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12" yWindow="-408" windowWidth="23256" windowHeight="13176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прилож'!$A$1:$U$1153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24519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L1133" i="13"/>
  <c r="V367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N889"/>
  <c r="D889"/>
  <c r="U878"/>
  <c r="T878"/>
  <c r="S878"/>
  <c r="Q878"/>
  <c r="P878"/>
  <c r="O878"/>
  <c r="M878"/>
  <c r="L878"/>
  <c r="K878"/>
  <c r="N879"/>
  <c r="J879"/>
  <c r="U837"/>
  <c r="T837"/>
  <c r="S837"/>
  <c r="R837"/>
  <c r="Q837"/>
  <c r="P837"/>
  <c r="O837"/>
  <c r="M837"/>
  <c r="L837"/>
  <c r="K837"/>
  <c r="J837"/>
  <c r="I837"/>
  <c r="H837"/>
  <c r="G837"/>
  <c r="F837"/>
  <c r="E837"/>
  <c r="U833"/>
  <c r="T833"/>
  <c r="S833"/>
  <c r="R833"/>
  <c r="Q833"/>
  <c r="P833"/>
  <c r="O833"/>
  <c r="M833"/>
  <c r="L833"/>
  <c r="K833"/>
  <c r="J833"/>
  <c r="I833"/>
  <c r="H833"/>
  <c r="G833"/>
  <c r="F833"/>
  <c r="E833"/>
  <c r="N834"/>
  <c r="N833" s="1"/>
  <c r="D834"/>
  <c r="D833" s="1"/>
  <c r="U824"/>
  <c r="T824"/>
  <c r="S824"/>
  <c r="R824"/>
  <c r="Q824"/>
  <c r="P824"/>
  <c r="O824"/>
  <c r="M824"/>
  <c r="L824"/>
  <c r="K824"/>
  <c r="J824"/>
  <c r="I824"/>
  <c r="H824"/>
  <c r="G824"/>
  <c r="F824"/>
  <c r="E824"/>
  <c r="D827"/>
  <c r="C827" s="1"/>
  <c r="R866"/>
  <c r="N866"/>
  <c r="V866" s="1"/>
  <c r="J866"/>
  <c r="I866"/>
  <c r="H866"/>
  <c r="G866"/>
  <c r="F866"/>
  <c r="E866"/>
  <c r="R1029"/>
  <c r="V1029"/>
  <c r="I1029"/>
  <c r="H1029"/>
  <c r="G1029"/>
  <c r="F1029"/>
  <c r="E1029"/>
  <c r="I1141"/>
  <c r="G1141"/>
  <c r="F1141"/>
  <c r="E1141"/>
  <c r="I466"/>
  <c r="H466"/>
  <c r="G466"/>
  <c r="F466"/>
  <c r="E466"/>
  <c r="R363"/>
  <c r="E420"/>
  <c r="I711"/>
  <c r="G711"/>
  <c r="F711"/>
  <c r="E711"/>
  <c r="I709"/>
  <c r="G709"/>
  <c r="F709"/>
  <c r="E709"/>
  <c r="E719"/>
  <c r="E356"/>
  <c r="E752"/>
  <c r="L303"/>
  <c r="I400"/>
  <c r="G400"/>
  <c r="F400"/>
  <c r="E400"/>
  <c r="I391"/>
  <c r="G391"/>
  <c r="F391"/>
  <c r="E391"/>
  <c r="I390"/>
  <c r="G390"/>
  <c r="F390"/>
  <c r="E390"/>
  <c r="E388"/>
  <c r="I386"/>
  <c r="G386"/>
  <c r="E386"/>
  <c r="N369"/>
  <c r="N294"/>
  <c r="I619"/>
  <c r="H619"/>
  <c r="G619"/>
  <c r="F619"/>
  <c r="E619"/>
  <c r="I747"/>
  <c r="G747"/>
  <c r="F747"/>
  <c r="E747"/>
  <c r="I550"/>
  <c r="H550"/>
  <c r="G550"/>
  <c r="F550"/>
  <c r="E550"/>
  <c r="R890"/>
  <c r="N890"/>
  <c r="V890" s="1"/>
  <c r="J890"/>
  <c r="I890"/>
  <c r="H890"/>
  <c r="G890"/>
  <c r="F890"/>
  <c r="E890"/>
  <c r="R1021"/>
  <c r="N1021"/>
  <c r="V1021" s="1"/>
  <c r="D1021"/>
  <c r="R1020"/>
  <c r="N1020"/>
  <c r="V1020" s="1"/>
  <c r="D1020"/>
  <c r="C889" l="1"/>
  <c r="D879"/>
  <c r="V879"/>
  <c r="V834"/>
  <c r="C1020"/>
  <c r="C1021"/>
  <c r="D890"/>
  <c r="C890" s="1"/>
  <c r="D866"/>
  <c r="C866" s="1"/>
  <c r="C834"/>
  <c r="C833" s="1"/>
  <c r="D1029"/>
  <c r="C1029" s="1"/>
  <c r="F553"/>
  <c r="I970"/>
  <c r="H970"/>
  <c r="G970"/>
  <c r="F970"/>
  <c r="E970"/>
  <c r="D607"/>
  <c r="N607"/>
  <c r="V607" s="1"/>
  <c r="R607"/>
  <c r="R1130"/>
  <c r="R1129" s="1"/>
  <c r="N1130"/>
  <c r="V1130" s="1"/>
  <c r="D1130"/>
  <c r="D1129" s="1"/>
  <c r="U1129"/>
  <c r="T1129"/>
  <c r="S1129"/>
  <c r="Q1129"/>
  <c r="P1129"/>
  <c r="O1129"/>
  <c r="M1129"/>
  <c r="L1129"/>
  <c r="K1129"/>
  <c r="J1129"/>
  <c r="I1129"/>
  <c r="H1129"/>
  <c r="G1129"/>
  <c r="F1129"/>
  <c r="E1129"/>
  <c r="N803"/>
  <c r="V803" s="1"/>
  <c r="D803"/>
  <c r="R1134"/>
  <c r="N1134"/>
  <c r="V1134" s="1"/>
  <c r="D1134"/>
  <c r="R1034"/>
  <c r="N1034"/>
  <c r="V1034" s="1"/>
  <c r="D1034"/>
  <c r="R885"/>
  <c r="N885"/>
  <c r="V885" s="1"/>
  <c r="J885"/>
  <c r="H885"/>
  <c r="I482"/>
  <c r="H482"/>
  <c r="G482"/>
  <c r="F482"/>
  <c r="E482"/>
  <c r="N771"/>
  <c r="C879" l="1"/>
  <c r="C607"/>
  <c r="C803"/>
  <c r="N1129"/>
  <c r="C1130"/>
  <c r="C1129" s="1"/>
  <c r="D885"/>
  <c r="C885" s="1"/>
  <c r="C1134"/>
  <c r="C1034"/>
  <c r="D771"/>
  <c r="C771" s="1"/>
  <c r="P296"/>
  <c r="I602"/>
  <c r="H602"/>
  <c r="G602"/>
  <c r="F602"/>
  <c r="E602"/>
  <c r="I470"/>
  <c r="G470"/>
  <c r="F470"/>
  <c r="E470"/>
  <c r="I476"/>
  <c r="G476"/>
  <c r="F476"/>
  <c r="E476"/>
  <c r="I508"/>
  <c r="G508"/>
  <c r="F508"/>
  <c r="E508"/>
  <c r="I700"/>
  <c r="G700"/>
  <c r="F700"/>
  <c r="E700"/>
  <c r="I481"/>
  <c r="H481"/>
  <c r="G481"/>
  <c r="F481"/>
  <c r="E481"/>
  <c r="I491"/>
  <c r="G491"/>
  <c r="F491"/>
  <c r="E491"/>
  <c r="R937"/>
  <c r="N937"/>
  <c r="V937" s="1"/>
  <c r="D937"/>
  <c r="N96"/>
  <c r="R96"/>
  <c r="U96"/>
  <c r="U68"/>
  <c r="N456"/>
  <c r="V456" s="1"/>
  <c r="J456"/>
  <c r="J455" s="1"/>
  <c r="H456"/>
  <c r="F456"/>
  <c r="F455" s="1"/>
  <c r="U455"/>
  <c r="T455"/>
  <c r="S455"/>
  <c r="R455"/>
  <c r="Q455"/>
  <c r="P455"/>
  <c r="O455"/>
  <c r="M455"/>
  <c r="L455"/>
  <c r="K455"/>
  <c r="I455"/>
  <c r="G455"/>
  <c r="E455"/>
  <c r="C937" l="1"/>
  <c r="D456"/>
  <c r="C456" s="1"/>
  <c r="C455" s="1"/>
  <c r="V455" s="1"/>
  <c r="H455"/>
  <c r="N455"/>
  <c r="N838"/>
  <c r="D838"/>
  <c r="R1126"/>
  <c r="N1126"/>
  <c r="I1126"/>
  <c r="G1126"/>
  <c r="F1126"/>
  <c r="E1126"/>
  <c r="H1126"/>
  <c r="V838" l="1"/>
  <c r="D455"/>
  <c r="C838"/>
  <c r="D1126"/>
  <c r="C1126" s="1"/>
  <c r="R931"/>
  <c r="N931"/>
  <c r="V931" s="1"/>
  <c r="D931"/>
  <c r="R930"/>
  <c r="N930"/>
  <c r="V930" s="1"/>
  <c r="D930"/>
  <c r="R976"/>
  <c r="N976"/>
  <c r="V976" s="1"/>
  <c r="D976"/>
  <c r="R938"/>
  <c r="N938"/>
  <c r="V938" s="1"/>
  <c r="D938"/>
  <c r="R909"/>
  <c r="N909"/>
  <c r="V909" s="1"/>
  <c r="D909"/>
  <c r="V887"/>
  <c r="R887"/>
  <c r="J887"/>
  <c r="I887"/>
  <c r="H887"/>
  <c r="G887"/>
  <c r="F887"/>
  <c r="E887"/>
  <c r="R868"/>
  <c r="N868"/>
  <c r="V868" s="1"/>
  <c r="J868"/>
  <c r="I868"/>
  <c r="H868"/>
  <c r="G868"/>
  <c r="F868"/>
  <c r="E868"/>
  <c r="R867"/>
  <c r="N867"/>
  <c r="V867" s="1"/>
  <c r="J867"/>
  <c r="I867"/>
  <c r="H867"/>
  <c r="G867"/>
  <c r="F867"/>
  <c r="E867"/>
  <c r="N785"/>
  <c r="V785" s="1"/>
  <c r="D785"/>
  <c r="U784"/>
  <c r="T784"/>
  <c r="S784"/>
  <c r="R784"/>
  <c r="Q784"/>
  <c r="P784"/>
  <c r="O784"/>
  <c r="M784"/>
  <c r="L784"/>
  <c r="K784"/>
  <c r="J784"/>
  <c r="I784"/>
  <c r="H784"/>
  <c r="G784"/>
  <c r="F784"/>
  <c r="E784"/>
  <c r="N772"/>
  <c r="V772" s="1"/>
  <c r="D772"/>
  <c r="R774"/>
  <c r="N774"/>
  <c r="V774" s="1"/>
  <c r="D774"/>
  <c r="V507"/>
  <c r="J507"/>
  <c r="I507"/>
  <c r="H507"/>
  <c r="G507"/>
  <c r="E507"/>
  <c r="R958"/>
  <c r="N958"/>
  <c r="V958" s="1"/>
  <c r="D958"/>
  <c r="R1075"/>
  <c r="N1075"/>
  <c r="V1075" s="1"/>
  <c r="D1075"/>
  <c r="R1073"/>
  <c r="N1073"/>
  <c r="V1073" s="1"/>
  <c r="D1073"/>
  <c r="C938" l="1"/>
  <c r="D507"/>
  <c r="C507" s="1"/>
  <c r="C930"/>
  <c r="C1075"/>
  <c r="N784"/>
  <c r="C785"/>
  <c r="C784" s="1"/>
  <c r="V784" s="1"/>
  <c r="D868"/>
  <c r="C868" s="1"/>
  <c r="D887"/>
  <c r="C887" s="1"/>
  <c r="C958"/>
  <c r="C931"/>
  <c r="C1073"/>
  <c r="C774"/>
  <c r="C772"/>
  <c r="D867"/>
  <c r="C867" s="1"/>
  <c r="D784"/>
  <c r="C909"/>
  <c r="C976"/>
  <c r="R1059"/>
  <c r="N1059"/>
  <c r="V1059" s="1"/>
  <c r="D1059"/>
  <c r="R966"/>
  <c r="N966"/>
  <c r="V966" s="1"/>
  <c r="D966"/>
  <c r="R1070"/>
  <c r="N1070"/>
  <c r="V1070" s="1"/>
  <c r="D1070"/>
  <c r="R1074"/>
  <c r="N1074"/>
  <c r="V1074" s="1"/>
  <c r="D1074"/>
  <c r="N913"/>
  <c r="V913" s="1"/>
  <c r="J913"/>
  <c r="I913"/>
  <c r="H913"/>
  <c r="G913"/>
  <c r="F913"/>
  <c r="E913"/>
  <c r="N1004"/>
  <c r="V1004" s="1"/>
  <c r="D1004"/>
  <c r="R962"/>
  <c r="N962"/>
  <c r="V962" s="1"/>
  <c r="D962"/>
  <c r="R1066"/>
  <c r="N1066"/>
  <c r="V1066" s="1"/>
  <c r="D1066"/>
  <c r="N1024"/>
  <c r="V1024" s="1"/>
  <c r="D1024"/>
  <c r="V1041"/>
  <c r="R1041"/>
  <c r="J1041"/>
  <c r="I1041"/>
  <c r="H1041"/>
  <c r="G1041"/>
  <c r="F1041"/>
  <c r="E1041"/>
  <c r="C1024" l="1"/>
  <c r="C1059"/>
  <c r="C966"/>
  <c r="C1004"/>
  <c r="D913"/>
  <c r="C913" s="1"/>
  <c r="D1041"/>
  <c r="C1041" s="1"/>
  <c r="C1066"/>
  <c r="C962"/>
  <c r="C1074"/>
  <c r="C1070"/>
  <c r="R1086"/>
  <c r="N1086"/>
  <c r="V1086" s="1"/>
  <c r="D1086"/>
  <c r="U286"/>
  <c r="T286"/>
  <c r="S286"/>
  <c r="Q286"/>
  <c r="P286"/>
  <c r="O286"/>
  <c r="M286"/>
  <c r="L286"/>
  <c r="K286"/>
  <c r="U291"/>
  <c r="T291"/>
  <c r="S291"/>
  <c r="Q291"/>
  <c r="P291"/>
  <c r="O291"/>
  <c r="M291"/>
  <c r="K291"/>
  <c r="U313"/>
  <c r="T313"/>
  <c r="S313"/>
  <c r="R313"/>
  <c r="Q313"/>
  <c r="P313"/>
  <c r="O313"/>
  <c r="M313"/>
  <c r="L313"/>
  <c r="K313"/>
  <c r="J313"/>
  <c r="I313"/>
  <c r="H313"/>
  <c r="G313"/>
  <c r="F313"/>
  <c r="E313"/>
  <c r="U315"/>
  <c r="T315"/>
  <c r="S315"/>
  <c r="R315"/>
  <c r="Q315"/>
  <c r="P315"/>
  <c r="O315"/>
  <c r="M315"/>
  <c r="L315"/>
  <c r="K315"/>
  <c r="J315"/>
  <c r="I315"/>
  <c r="H315"/>
  <c r="G315"/>
  <c r="F315"/>
  <c r="E315"/>
  <c r="U319"/>
  <c r="T319"/>
  <c r="S319"/>
  <c r="Q319"/>
  <c r="O319"/>
  <c r="N319"/>
  <c r="M319"/>
  <c r="L319"/>
  <c r="K319"/>
  <c r="J319"/>
  <c r="I319"/>
  <c r="H319"/>
  <c r="G319"/>
  <c r="F319"/>
  <c r="E319"/>
  <c r="U321"/>
  <c r="T321"/>
  <c r="S321"/>
  <c r="Q321"/>
  <c r="P321"/>
  <c r="O321"/>
  <c r="M321"/>
  <c r="L321"/>
  <c r="K321"/>
  <c r="U325"/>
  <c r="T325"/>
  <c r="S325"/>
  <c r="Q325"/>
  <c r="P325"/>
  <c r="O325"/>
  <c r="N325"/>
  <c r="M325"/>
  <c r="L325"/>
  <c r="K325"/>
  <c r="I325"/>
  <c r="H325"/>
  <c r="G325"/>
  <c r="F325"/>
  <c r="U327"/>
  <c r="T327"/>
  <c r="S327"/>
  <c r="Q327"/>
  <c r="P327"/>
  <c r="O327"/>
  <c r="M327"/>
  <c r="L327"/>
  <c r="K327"/>
  <c r="J327"/>
  <c r="I327"/>
  <c r="H327"/>
  <c r="G327"/>
  <c r="F327"/>
  <c r="E327"/>
  <c r="U331"/>
  <c r="T331"/>
  <c r="S331"/>
  <c r="R331"/>
  <c r="Q331"/>
  <c r="P331"/>
  <c r="O331"/>
  <c r="M331"/>
  <c r="L331"/>
  <c r="K331"/>
  <c r="I331"/>
  <c r="G331"/>
  <c r="F331"/>
  <c r="U333"/>
  <c r="T333"/>
  <c r="S333"/>
  <c r="R333"/>
  <c r="Q333"/>
  <c r="P333"/>
  <c r="O333"/>
  <c r="M333"/>
  <c r="L333"/>
  <c r="K333"/>
  <c r="I333"/>
  <c r="U339"/>
  <c r="T339"/>
  <c r="S339"/>
  <c r="Q339"/>
  <c r="P339"/>
  <c r="O339"/>
  <c r="M339"/>
  <c r="L339"/>
  <c r="K339"/>
  <c r="J339"/>
  <c r="U347"/>
  <c r="T347"/>
  <c r="S347"/>
  <c r="R347"/>
  <c r="Q347"/>
  <c r="P347"/>
  <c r="O347"/>
  <c r="M347"/>
  <c r="L347"/>
  <c r="K347"/>
  <c r="J347"/>
  <c r="I347"/>
  <c r="H347"/>
  <c r="G347"/>
  <c r="F347"/>
  <c r="E347"/>
  <c r="U349"/>
  <c r="T349"/>
  <c r="S349"/>
  <c r="R349"/>
  <c r="Q349"/>
  <c r="P349"/>
  <c r="O349"/>
  <c r="N349"/>
  <c r="M349"/>
  <c r="L349"/>
  <c r="K349"/>
  <c r="J349"/>
  <c r="I349"/>
  <c r="H349"/>
  <c r="G349"/>
  <c r="F349"/>
  <c r="E349"/>
  <c r="U351"/>
  <c r="T351"/>
  <c r="S351"/>
  <c r="R351"/>
  <c r="Q351"/>
  <c r="P351"/>
  <c r="O351"/>
  <c r="M351"/>
  <c r="L351"/>
  <c r="K351"/>
  <c r="J351"/>
  <c r="I351"/>
  <c r="H351"/>
  <c r="G351"/>
  <c r="F351"/>
  <c r="E351"/>
  <c r="U355"/>
  <c r="T355"/>
  <c r="S355"/>
  <c r="Q355"/>
  <c r="P355"/>
  <c r="O355"/>
  <c r="M355"/>
  <c r="L355"/>
  <c r="K355"/>
  <c r="J355"/>
  <c r="U357"/>
  <c r="T357"/>
  <c r="S357"/>
  <c r="R357"/>
  <c r="Q357"/>
  <c r="P357"/>
  <c r="O357"/>
  <c r="M357"/>
  <c r="L357"/>
  <c r="K357"/>
  <c r="J357"/>
  <c r="I357"/>
  <c r="H357"/>
  <c r="G357"/>
  <c r="F357"/>
  <c r="E357"/>
  <c r="U360"/>
  <c r="T360"/>
  <c r="S360"/>
  <c r="R360"/>
  <c r="Q360"/>
  <c r="P360"/>
  <c r="O360"/>
  <c r="M360"/>
  <c r="L360"/>
  <c r="K360"/>
  <c r="J360"/>
  <c r="I360"/>
  <c r="H360"/>
  <c r="G360"/>
  <c r="F360"/>
  <c r="E360"/>
  <c r="U362"/>
  <c r="T362"/>
  <c r="S362"/>
  <c r="R362"/>
  <c r="Q362"/>
  <c r="P362"/>
  <c r="O362"/>
  <c r="N362"/>
  <c r="M362"/>
  <c r="L362"/>
  <c r="K362"/>
  <c r="J362"/>
  <c r="I362"/>
  <c r="H362"/>
  <c r="G362"/>
  <c r="F362"/>
  <c r="E362"/>
  <c r="U364"/>
  <c r="T364"/>
  <c r="S364"/>
  <c r="R364"/>
  <c r="Q364"/>
  <c r="P364"/>
  <c r="O364"/>
  <c r="M364"/>
  <c r="L364"/>
  <c r="K364"/>
  <c r="J364"/>
  <c r="I364"/>
  <c r="H364"/>
  <c r="G364"/>
  <c r="F364"/>
  <c r="E364"/>
  <c r="U368"/>
  <c r="T368"/>
  <c r="S368"/>
  <c r="R368"/>
  <c r="Q368"/>
  <c r="P368"/>
  <c r="O368"/>
  <c r="M368"/>
  <c r="L368"/>
  <c r="K368"/>
  <c r="J368"/>
  <c r="I368"/>
  <c r="H368"/>
  <c r="G368"/>
  <c r="F368"/>
  <c r="E368"/>
  <c r="U372"/>
  <c r="T372"/>
  <c r="S372"/>
  <c r="Q372"/>
  <c r="P372"/>
  <c r="O372"/>
  <c r="M372"/>
  <c r="L372"/>
  <c r="K372"/>
  <c r="J372"/>
  <c r="I372"/>
  <c r="H372"/>
  <c r="G372"/>
  <c r="F372"/>
  <c r="E372"/>
  <c r="U379"/>
  <c r="T379"/>
  <c r="S379"/>
  <c r="R379"/>
  <c r="Q379"/>
  <c r="P379"/>
  <c r="O379"/>
  <c r="M379"/>
  <c r="L379"/>
  <c r="K379"/>
  <c r="J379"/>
  <c r="I379"/>
  <c r="H379"/>
  <c r="G379"/>
  <c r="F379"/>
  <c r="E379"/>
  <c r="U381"/>
  <c r="T381"/>
  <c r="Q381"/>
  <c r="O381"/>
  <c r="M381"/>
  <c r="L381"/>
  <c r="K381"/>
  <c r="U403"/>
  <c r="T403"/>
  <c r="S403"/>
  <c r="Q403"/>
  <c r="P403"/>
  <c r="O403"/>
  <c r="M403"/>
  <c r="L403"/>
  <c r="K403"/>
  <c r="U405"/>
  <c r="T405"/>
  <c r="S405"/>
  <c r="Q405"/>
  <c r="P405"/>
  <c r="O405"/>
  <c r="M405"/>
  <c r="L405"/>
  <c r="K405"/>
  <c r="U415"/>
  <c r="T415"/>
  <c r="S415"/>
  <c r="Q415"/>
  <c r="P415"/>
  <c r="O415"/>
  <c r="M415"/>
  <c r="L415"/>
  <c r="K415"/>
  <c r="U423"/>
  <c r="T423"/>
  <c r="S423"/>
  <c r="Q423"/>
  <c r="P423"/>
  <c r="O423"/>
  <c r="M423"/>
  <c r="L423"/>
  <c r="K423"/>
  <c r="J423"/>
  <c r="I423"/>
  <c r="H423"/>
  <c r="G423"/>
  <c r="F423"/>
  <c r="E423"/>
  <c r="U425"/>
  <c r="T425"/>
  <c r="S425"/>
  <c r="Q425"/>
  <c r="P425"/>
  <c r="O425"/>
  <c r="M425"/>
  <c r="L425"/>
  <c r="K425"/>
  <c r="H425"/>
  <c r="F425"/>
  <c r="U427"/>
  <c r="T427"/>
  <c r="S427"/>
  <c r="Q427"/>
  <c r="O427"/>
  <c r="M427"/>
  <c r="L427"/>
  <c r="K427"/>
  <c r="U446"/>
  <c r="T446"/>
  <c r="S446"/>
  <c r="Q446"/>
  <c r="P446"/>
  <c r="O446"/>
  <c r="N446"/>
  <c r="M446"/>
  <c r="L446"/>
  <c r="K446"/>
  <c r="J446"/>
  <c r="I446"/>
  <c r="H446"/>
  <c r="G446"/>
  <c r="F446"/>
  <c r="E446"/>
  <c r="U448"/>
  <c r="T448"/>
  <c r="S448"/>
  <c r="R448"/>
  <c r="Q448"/>
  <c r="P448"/>
  <c r="O448"/>
  <c r="N448"/>
  <c r="M448"/>
  <c r="L448"/>
  <c r="K448"/>
  <c r="I448"/>
  <c r="H448"/>
  <c r="G448"/>
  <c r="F448"/>
  <c r="E448"/>
  <c r="U450"/>
  <c r="T450"/>
  <c r="S450"/>
  <c r="Q450"/>
  <c r="P450"/>
  <c r="O450"/>
  <c r="M450"/>
  <c r="L450"/>
  <c r="K450"/>
  <c r="J450"/>
  <c r="I450"/>
  <c r="H450"/>
  <c r="G450"/>
  <c r="F450"/>
  <c r="E450"/>
  <c r="U453"/>
  <c r="T453"/>
  <c r="S453"/>
  <c r="Q453"/>
  <c r="P453"/>
  <c r="O453"/>
  <c r="M453"/>
  <c r="L453"/>
  <c r="K453"/>
  <c r="U457"/>
  <c r="T457"/>
  <c r="S457"/>
  <c r="Q457"/>
  <c r="O457"/>
  <c r="M457"/>
  <c r="K457"/>
  <c r="U695"/>
  <c r="T695"/>
  <c r="S695"/>
  <c r="Q695"/>
  <c r="P695"/>
  <c r="O695"/>
  <c r="M695"/>
  <c r="L695"/>
  <c r="K695"/>
  <c r="J695"/>
  <c r="U699"/>
  <c r="T699"/>
  <c r="S699"/>
  <c r="Q699"/>
  <c r="P699"/>
  <c r="O699"/>
  <c r="M699"/>
  <c r="L699"/>
  <c r="K699"/>
  <c r="J699"/>
  <c r="H699"/>
  <c r="U701"/>
  <c r="T701"/>
  <c r="S701"/>
  <c r="Q701"/>
  <c r="P701"/>
  <c r="O701"/>
  <c r="M701"/>
  <c r="L701"/>
  <c r="K701"/>
  <c r="J701"/>
  <c r="U704"/>
  <c r="T704"/>
  <c r="S704"/>
  <c r="Q704"/>
  <c r="P704"/>
  <c r="O704"/>
  <c r="M704"/>
  <c r="L704"/>
  <c r="K704"/>
  <c r="J704"/>
  <c r="U715"/>
  <c r="T715"/>
  <c r="S715"/>
  <c r="Q715"/>
  <c r="P715"/>
  <c r="O715"/>
  <c r="M715"/>
  <c r="L715"/>
  <c r="K715"/>
  <c r="J715"/>
  <c r="I715"/>
  <c r="H715"/>
  <c r="G715"/>
  <c r="F715"/>
  <c r="U717"/>
  <c r="T717"/>
  <c r="S717"/>
  <c r="Q717"/>
  <c r="P717"/>
  <c r="O717"/>
  <c r="M717"/>
  <c r="L717"/>
  <c r="K717"/>
  <c r="J717"/>
  <c r="I717"/>
  <c r="H717"/>
  <c r="G717"/>
  <c r="F717"/>
  <c r="U721"/>
  <c r="T721"/>
  <c r="S721"/>
  <c r="Q721"/>
  <c r="P721"/>
  <c r="O721"/>
  <c r="M721"/>
  <c r="L721"/>
  <c r="K721"/>
  <c r="J721"/>
  <c r="U723"/>
  <c r="T723"/>
  <c r="S723"/>
  <c r="Q723"/>
  <c r="P723"/>
  <c r="O723"/>
  <c r="M723"/>
  <c r="L723"/>
  <c r="K723"/>
  <c r="J723"/>
  <c r="F723"/>
  <c r="U727"/>
  <c r="T727"/>
  <c r="S727"/>
  <c r="Q727"/>
  <c r="P727"/>
  <c r="O727"/>
  <c r="M727"/>
  <c r="L727"/>
  <c r="K727"/>
  <c r="J727"/>
  <c r="I727"/>
  <c r="H727"/>
  <c r="G727"/>
  <c r="F727"/>
  <c r="E727"/>
  <c r="U729"/>
  <c r="T729"/>
  <c r="S729"/>
  <c r="R729"/>
  <c r="Q729"/>
  <c r="P729"/>
  <c r="O729"/>
  <c r="N729"/>
  <c r="M729"/>
  <c r="L729"/>
  <c r="K729"/>
  <c r="J729"/>
  <c r="I729"/>
  <c r="H729"/>
  <c r="G729"/>
  <c r="F729"/>
  <c r="U731"/>
  <c r="T731"/>
  <c r="S731"/>
  <c r="Q731"/>
  <c r="P731"/>
  <c r="O731"/>
  <c r="M731"/>
  <c r="L731"/>
  <c r="K731"/>
  <c r="U734"/>
  <c r="T734"/>
  <c r="S734"/>
  <c r="Q734"/>
  <c r="P734"/>
  <c r="O734"/>
  <c r="M734"/>
  <c r="L734"/>
  <c r="K734"/>
  <c r="J734"/>
  <c r="U751"/>
  <c r="T751"/>
  <c r="S751"/>
  <c r="Q751"/>
  <c r="P751"/>
  <c r="O751"/>
  <c r="M751"/>
  <c r="L751"/>
  <c r="K751"/>
  <c r="J751"/>
  <c r="U754"/>
  <c r="T754"/>
  <c r="S754"/>
  <c r="R754"/>
  <c r="Q754"/>
  <c r="P754"/>
  <c r="O754"/>
  <c r="M754"/>
  <c r="L754"/>
  <c r="K754"/>
  <c r="J754"/>
  <c r="E754"/>
  <c r="C1086" l="1"/>
  <c r="V653" l="1"/>
  <c r="J653"/>
  <c r="D653" s="1"/>
  <c r="C653" s="1"/>
  <c r="V651"/>
  <c r="J651"/>
  <c r="D651" s="1"/>
  <c r="C651" s="1"/>
  <c r="V634"/>
  <c r="D634"/>
  <c r="C634" s="1"/>
  <c r="V545"/>
  <c r="J545"/>
  <c r="D545" s="1"/>
  <c r="C545" s="1"/>
  <c r="V505"/>
  <c r="J505"/>
  <c r="D505" s="1"/>
  <c r="C505" s="1"/>
  <c r="V504"/>
  <c r="J504"/>
  <c r="D504" s="1"/>
  <c r="C504" s="1"/>
  <c r="V503"/>
  <c r="J503"/>
  <c r="D503" s="1"/>
  <c r="C503" s="1"/>
  <c r="V506"/>
  <c r="J506"/>
  <c r="D506" s="1"/>
  <c r="C506" s="1"/>
  <c r="V449"/>
  <c r="J449"/>
  <c r="V433"/>
  <c r="J433"/>
  <c r="H433"/>
  <c r="V429"/>
  <c r="J429"/>
  <c r="H429"/>
  <c r="D449" l="1"/>
  <c r="D448" s="1"/>
  <c r="J448"/>
  <c r="D433"/>
  <c r="C433" s="1"/>
  <c r="D429"/>
  <c r="C429" s="1"/>
  <c r="C449" l="1"/>
  <c r="V667"/>
  <c r="D667"/>
  <c r="C667" s="1"/>
  <c r="C448" l="1"/>
  <c r="V448" s="1"/>
  <c r="E546"/>
  <c r="F546"/>
  <c r="G546"/>
  <c r="H546"/>
  <c r="I546"/>
  <c r="E426"/>
  <c r="E425" s="1"/>
  <c r="G426"/>
  <c r="G425" s="1"/>
  <c r="I426"/>
  <c r="I425" s="1"/>
  <c r="E738"/>
  <c r="F738"/>
  <c r="G738"/>
  <c r="I738"/>
  <c r="E703"/>
  <c r="F703"/>
  <c r="G703"/>
  <c r="H703"/>
  <c r="I703"/>
  <c r="E702"/>
  <c r="F702"/>
  <c r="G702"/>
  <c r="H702"/>
  <c r="I702"/>
  <c r="E697"/>
  <c r="F697"/>
  <c r="G697"/>
  <c r="H697"/>
  <c r="I697"/>
  <c r="E696"/>
  <c r="F696"/>
  <c r="G696"/>
  <c r="H696"/>
  <c r="I696"/>
  <c r="E662"/>
  <c r="F662"/>
  <c r="G662"/>
  <c r="I662"/>
  <c r="E661"/>
  <c r="F661"/>
  <c r="G661"/>
  <c r="I661"/>
  <c r="E660"/>
  <c r="F660"/>
  <c r="G660"/>
  <c r="I660"/>
  <c r="H660"/>
  <c r="E659"/>
  <c r="F659"/>
  <c r="G659"/>
  <c r="H659"/>
  <c r="I659"/>
  <c r="V184"/>
  <c r="J184"/>
  <c r="D184" s="1"/>
  <c r="C184" s="1"/>
  <c r="F701" l="1"/>
  <c r="G701"/>
  <c r="H701"/>
  <c r="I701"/>
  <c r="E701"/>
  <c r="V197"/>
  <c r="J197"/>
  <c r="D197" s="1"/>
  <c r="C197" s="1"/>
  <c r="R1032" l="1"/>
  <c r="N1032"/>
  <c r="V1032" s="1"/>
  <c r="D1032"/>
  <c r="V555"/>
  <c r="J555"/>
  <c r="I555"/>
  <c r="H555"/>
  <c r="G555"/>
  <c r="F555"/>
  <c r="E555"/>
  <c r="V554"/>
  <c r="J554"/>
  <c r="H554"/>
  <c r="V514"/>
  <c r="J514"/>
  <c r="I514"/>
  <c r="H514"/>
  <c r="G514"/>
  <c r="F514"/>
  <c r="E514"/>
  <c r="V510"/>
  <c r="J510"/>
  <c r="F510"/>
  <c r="V509"/>
  <c r="J509"/>
  <c r="I509"/>
  <c r="H509"/>
  <c r="G509"/>
  <c r="F509"/>
  <c r="E509"/>
  <c r="S389"/>
  <c r="R389"/>
  <c r="N389"/>
  <c r="V389" s="1"/>
  <c r="J389"/>
  <c r="H389"/>
  <c r="N736"/>
  <c r="V736" s="1"/>
  <c r="D736"/>
  <c r="C1032" l="1"/>
  <c r="C736"/>
  <c r="D554"/>
  <c r="C554" s="1"/>
  <c r="D555"/>
  <c r="C555" s="1"/>
  <c r="D514"/>
  <c r="C514" s="1"/>
  <c r="D389"/>
  <c r="C389" s="1"/>
  <c r="D509"/>
  <c r="C509" s="1"/>
  <c r="D510"/>
  <c r="C510" s="1"/>
  <c r="V608"/>
  <c r="J608"/>
  <c r="I608"/>
  <c r="H608"/>
  <c r="G608"/>
  <c r="F608"/>
  <c r="E608"/>
  <c r="R198"/>
  <c r="V198"/>
  <c r="D198"/>
  <c r="V187"/>
  <c r="J187"/>
  <c r="D187" s="1"/>
  <c r="C187" s="1"/>
  <c r="V130"/>
  <c r="D130"/>
  <c r="C130" s="1"/>
  <c r="V129"/>
  <c r="D129"/>
  <c r="C129" s="1"/>
  <c r="V128"/>
  <c r="D128"/>
  <c r="C128" s="1"/>
  <c r="V363"/>
  <c r="D363"/>
  <c r="U24"/>
  <c r="T24"/>
  <c r="S24"/>
  <c r="R24"/>
  <c r="Q24"/>
  <c r="P24"/>
  <c r="O24"/>
  <c r="N24"/>
  <c r="M24"/>
  <c r="L24"/>
  <c r="K24"/>
  <c r="J24"/>
  <c r="I24"/>
  <c r="H24"/>
  <c r="G24"/>
  <c r="F24"/>
  <c r="E24"/>
  <c r="U11"/>
  <c r="T11"/>
  <c r="S11"/>
  <c r="R11"/>
  <c r="Q11"/>
  <c r="P11"/>
  <c r="O11"/>
  <c r="N11"/>
  <c r="M11"/>
  <c r="L11"/>
  <c r="K11"/>
  <c r="I11"/>
  <c r="H11"/>
  <c r="G11"/>
  <c r="F11"/>
  <c r="E11"/>
  <c r="C363" l="1"/>
  <c r="C362" s="1"/>
  <c r="V362" s="1"/>
  <c r="D362"/>
  <c r="D608"/>
  <c r="C608" s="1"/>
  <c r="C198"/>
  <c r="V730"/>
  <c r="E730"/>
  <c r="N670"/>
  <c r="D369"/>
  <c r="I493"/>
  <c r="F493"/>
  <c r="U45"/>
  <c r="T45"/>
  <c r="S45"/>
  <c r="R45"/>
  <c r="Q45"/>
  <c r="P45"/>
  <c r="O45"/>
  <c r="N45"/>
  <c r="M45"/>
  <c r="L45"/>
  <c r="K45"/>
  <c r="J45"/>
  <c r="I45"/>
  <c r="H45"/>
  <c r="G45"/>
  <c r="F45"/>
  <c r="E45"/>
  <c r="R749"/>
  <c r="R743"/>
  <c r="N743"/>
  <c r="V743" s="1"/>
  <c r="R648"/>
  <c r="N648"/>
  <c r="R647"/>
  <c r="N647"/>
  <c r="I647"/>
  <c r="H647"/>
  <c r="F647"/>
  <c r="R646"/>
  <c r="N646"/>
  <c r="N635"/>
  <c r="N629"/>
  <c r="N603"/>
  <c r="R584"/>
  <c r="N584"/>
  <c r="N552"/>
  <c r="R549"/>
  <c r="N549"/>
  <c r="N464"/>
  <c r="N463"/>
  <c r="N462"/>
  <c r="U33"/>
  <c r="T33"/>
  <c r="S33"/>
  <c r="R33"/>
  <c r="Q33"/>
  <c r="P33"/>
  <c r="O33"/>
  <c r="N33"/>
  <c r="M33"/>
  <c r="L33"/>
  <c r="K33"/>
  <c r="J33"/>
  <c r="I33"/>
  <c r="H33"/>
  <c r="G33"/>
  <c r="F33"/>
  <c r="E33"/>
  <c r="V369" l="1"/>
  <c r="D730"/>
  <c r="D729" s="1"/>
  <c r="E729"/>
  <c r="C369"/>
  <c r="R430"/>
  <c r="N430"/>
  <c r="D430"/>
  <c r="V750"/>
  <c r="D750"/>
  <c r="C750" s="1"/>
  <c r="V600"/>
  <c r="L600"/>
  <c r="D600"/>
  <c r="V575"/>
  <c r="L575"/>
  <c r="D575"/>
  <c r="N328"/>
  <c r="N654"/>
  <c r="N609"/>
  <c r="R594"/>
  <c r="N593"/>
  <c r="N581"/>
  <c r="P502"/>
  <c r="P457" s="1"/>
  <c r="N394"/>
  <c r="I289"/>
  <c r="I288"/>
  <c r="F289"/>
  <c r="F288"/>
  <c r="I741"/>
  <c r="G741"/>
  <c r="F741"/>
  <c r="E741"/>
  <c r="I740"/>
  <c r="G740"/>
  <c r="F740"/>
  <c r="E740"/>
  <c r="I739"/>
  <c r="G739"/>
  <c r="F739"/>
  <c r="E739"/>
  <c r="I737"/>
  <c r="G737"/>
  <c r="F737"/>
  <c r="E737"/>
  <c r="D281"/>
  <c r="C281" s="1"/>
  <c r="U1147"/>
  <c r="T1147"/>
  <c r="S1147"/>
  <c r="Q1147"/>
  <c r="P1147"/>
  <c r="O1147"/>
  <c r="M1147"/>
  <c r="L1147"/>
  <c r="K1147"/>
  <c r="J1147"/>
  <c r="E1147"/>
  <c r="D1148"/>
  <c r="C1148" s="1"/>
  <c r="D1150"/>
  <c r="C730" l="1"/>
  <c r="C729" s="1"/>
  <c r="V729" s="1"/>
  <c r="V430"/>
  <c r="C600"/>
  <c r="C575"/>
  <c r="C430"/>
  <c r="C1150"/>
  <c r="V490"/>
  <c r="J490"/>
  <c r="H490"/>
  <c r="F490"/>
  <c r="V569"/>
  <c r="J569"/>
  <c r="I569"/>
  <c r="H569"/>
  <c r="G569"/>
  <c r="F569"/>
  <c r="D828"/>
  <c r="C828" s="1"/>
  <c r="V303"/>
  <c r="D303"/>
  <c r="U865"/>
  <c r="T865"/>
  <c r="S865"/>
  <c r="Q865"/>
  <c r="P865"/>
  <c r="O865"/>
  <c r="M865"/>
  <c r="L865"/>
  <c r="K865"/>
  <c r="J865"/>
  <c r="E870"/>
  <c r="D870" s="1"/>
  <c r="V870"/>
  <c r="I458"/>
  <c r="H458"/>
  <c r="G458"/>
  <c r="F458"/>
  <c r="E458"/>
  <c r="I585"/>
  <c r="H585"/>
  <c r="G585"/>
  <c r="F585"/>
  <c r="E585"/>
  <c r="I492"/>
  <c r="G492"/>
  <c r="F492"/>
  <c r="E492"/>
  <c r="D490" l="1"/>
  <c r="C490" s="1"/>
  <c r="D569"/>
  <c r="C569" s="1"/>
  <c r="C303"/>
  <c r="C870"/>
  <c r="I441" l="1"/>
  <c r="G441"/>
  <c r="F441"/>
  <c r="E441"/>
  <c r="I440"/>
  <c r="G440"/>
  <c r="F440"/>
  <c r="E440"/>
  <c r="I436"/>
  <c r="G436"/>
  <c r="F436"/>
  <c r="E436"/>
  <c r="I434"/>
  <c r="G434"/>
  <c r="F434"/>
  <c r="E434"/>
  <c r="N454"/>
  <c r="N453" s="1"/>
  <c r="E454"/>
  <c r="E453" s="1"/>
  <c r="I322"/>
  <c r="I321" s="1"/>
  <c r="G322"/>
  <c r="G321" s="1"/>
  <c r="E322"/>
  <c r="E321" s="1"/>
  <c r="E724"/>
  <c r="E723" s="1"/>
  <c r="G419"/>
  <c r="E419"/>
  <c r="I417"/>
  <c r="H417"/>
  <c r="G417"/>
  <c r="F417"/>
  <c r="E417"/>
  <c r="I416"/>
  <c r="H416"/>
  <c r="G416"/>
  <c r="F416"/>
  <c r="E416"/>
  <c r="E332"/>
  <c r="E331" s="1"/>
  <c r="E326"/>
  <c r="E325" s="1"/>
  <c r="I414"/>
  <c r="H414"/>
  <c r="G414"/>
  <c r="F414"/>
  <c r="E414"/>
  <c r="I413"/>
  <c r="H413"/>
  <c r="G413"/>
  <c r="F413"/>
  <c r="E413"/>
  <c r="I411"/>
  <c r="G411"/>
  <c r="F411"/>
  <c r="E411"/>
  <c r="I410"/>
  <c r="G410"/>
  <c r="F410"/>
  <c r="E410"/>
  <c r="E404"/>
  <c r="E403" s="1"/>
  <c r="I432"/>
  <c r="G432"/>
  <c r="F432"/>
  <c r="E432"/>
  <c r="I431"/>
  <c r="G431"/>
  <c r="F431"/>
  <c r="E431"/>
  <c r="I437"/>
  <c r="G437"/>
  <c r="F437"/>
  <c r="E437"/>
  <c r="I435"/>
  <c r="G435"/>
  <c r="F435"/>
  <c r="E435"/>
  <c r="I438"/>
  <c r="G438"/>
  <c r="F438"/>
  <c r="E438"/>
  <c r="E290"/>
  <c r="E287"/>
  <c r="I286" l="1"/>
  <c r="E427"/>
  <c r="I427"/>
  <c r="I415"/>
  <c r="G427"/>
  <c r="F427"/>
  <c r="G415"/>
  <c r="I819"/>
  <c r="H819"/>
  <c r="G819"/>
  <c r="F819"/>
  <c r="E819"/>
  <c r="N818"/>
  <c r="D818"/>
  <c r="P440"/>
  <c r="P434"/>
  <c r="U1133"/>
  <c r="T1133"/>
  <c r="S1133"/>
  <c r="Q1133"/>
  <c r="P1133"/>
  <c r="O1133"/>
  <c r="M1133"/>
  <c r="K1133"/>
  <c r="J1133"/>
  <c r="I1153"/>
  <c r="I1152"/>
  <c r="I1149"/>
  <c r="I1147" s="1"/>
  <c r="I1146"/>
  <c r="I1145"/>
  <c r="I1144"/>
  <c r="I1143"/>
  <c r="I1142"/>
  <c r="I1137"/>
  <c r="I1136"/>
  <c r="I1135"/>
  <c r="I1140"/>
  <c r="I1139"/>
  <c r="I1138"/>
  <c r="I1132"/>
  <c r="I1124"/>
  <c r="I1122"/>
  <c r="I1115"/>
  <c r="I1111"/>
  <c r="I1108"/>
  <c r="I1106"/>
  <c r="I1104"/>
  <c r="I1102"/>
  <c r="I1092"/>
  <c r="I1091"/>
  <c r="I1090"/>
  <c r="I1064"/>
  <c r="I1043"/>
  <c r="I1030"/>
  <c r="I1026"/>
  <c r="I999"/>
  <c r="I993"/>
  <c r="I992"/>
  <c r="I965"/>
  <c r="I961"/>
  <c r="I940"/>
  <c r="I928"/>
  <c r="I911"/>
  <c r="I901"/>
  <c r="I900"/>
  <c r="I898"/>
  <c r="I897"/>
  <c r="I895"/>
  <c r="I894"/>
  <c r="I893"/>
  <c r="I892"/>
  <c r="I891"/>
  <c r="I886"/>
  <c r="I884"/>
  <c r="I882"/>
  <c r="I880"/>
  <c r="I878" s="1"/>
  <c r="I875"/>
  <c r="I876"/>
  <c r="I874"/>
  <c r="I872"/>
  <c r="I871"/>
  <c r="I869"/>
  <c r="I864"/>
  <c r="I863"/>
  <c r="I862"/>
  <c r="I860"/>
  <c r="I857"/>
  <c r="I856"/>
  <c r="I855"/>
  <c r="I854"/>
  <c r="I853"/>
  <c r="I852"/>
  <c r="I851"/>
  <c r="I845"/>
  <c r="I841"/>
  <c r="I832"/>
  <c r="I823"/>
  <c r="I802"/>
  <c r="I801"/>
  <c r="I800"/>
  <c r="I795"/>
  <c r="I794"/>
  <c r="I788"/>
  <c r="I787"/>
  <c r="I780"/>
  <c r="I779"/>
  <c r="I773"/>
  <c r="I765"/>
  <c r="I755"/>
  <c r="I754" s="1"/>
  <c r="I752"/>
  <c r="I751" s="1"/>
  <c r="I748"/>
  <c r="I746"/>
  <c r="I745"/>
  <c r="I744"/>
  <c r="I743"/>
  <c r="I735"/>
  <c r="I724"/>
  <c r="I723" s="1"/>
  <c r="I722"/>
  <c r="I721" s="1"/>
  <c r="I713"/>
  <c r="I712"/>
  <c r="I699"/>
  <c r="I698"/>
  <c r="I695" s="1"/>
  <c r="I668"/>
  <c r="I658"/>
  <c r="I652"/>
  <c r="I650"/>
  <c r="I649"/>
  <c r="I642"/>
  <c r="I1038"/>
  <c r="I1037"/>
  <c r="I596"/>
  <c r="I580"/>
  <c r="I579"/>
  <c r="I533"/>
  <c r="I511"/>
  <c r="I927"/>
  <c r="I454"/>
  <c r="I453" s="1"/>
  <c r="I409"/>
  <c r="I408"/>
  <c r="I407"/>
  <c r="I406"/>
  <c r="I404"/>
  <c r="I403" s="1"/>
  <c r="I398"/>
  <c r="I394"/>
  <c r="I397"/>
  <c r="I392"/>
  <c r="I393"/>
  <c r="I387"/>
  <c r="I356"/>
  <c r="I355" s="1"/>
  <c r="I343"/>
  <c r="I342"/>
  <c r="I312"/>
  <c r="I296"/>
  <c r="I294"/>
  <c r="H1152"/>
  <c r="H1149"/>
  <c r="H1147" s="1"/>
  <c r="H1146"/>
  <c r="H1145"/>
  <c r="H1144"/>
  <c r="H1143"/>
  <c r="H1142"/>
  <c r="H1137"/>
  <c r="H1136"/>
  <c r="H1135"/>
  <c r="H1141"/>
  <c r="H1140"/>
  <c r="H1139"/>
  <c r="H1138"/>
  <c r="H1132"/>
  <c r="H1124"/>
  <c r="H1122"/>
  <c r="H1115"/>
  <c r="H1111"/>
  <c r="H1108"/>
  <c r="H1106"/>
  <c r="H1104"/>
  <c r="H1102"/>
  <c r="H1092"/>
  <c r="H1091"/>
  <c r="H1090"/>
  <c r="H1064"/>
  <c r="H1043"/>
  <c r="H1030"/>
  <c r="H1026"/>
  <c r="H999"/>
  <c r="H993"/>
  <c r="H992"/>
  <c r="H965"/>
  <c r="H961"/>
  <c r="H940"/>
  <c r="H928"/>
  <c r="H911"/>
  <c r="H901"/>
  <c r="H900"/>
  <c r="H898"/>
  <c r="H897"/>
  <c r="H895"/>
  <c r="H894"/>
  <c r="H893"/>
  <c r="H892"/>
  <c r="H891"/>
  <c r="H886"/>
  <c r="H884"/>
  <c r="H880"/>
  <c r="H878" s="1"/>
  <c r="H877"/>
  <c r="H875"/>
  <c r="H876"/>
  <c r="H874"/>
  <c r="H872"/>
  <c r="H871"/>
  <c r="H869"/>
  <c r="H864"/>
  <c r="H863"/>
  <c r="H862"/>
  <c r="H860"/>
  <c r="H857"/>
  <c r="H856"/>
  <c r="H855"/>
  <c r="H852"/>
  <c r="H851"/>
  <c r="H845"/>
  <c r="H841"/>
  <c r="H832"/>
  <c r="H802"/>
  <c r="H801"/>
  <c r="H795"/>
  <c r="H794"/>
  <c r="H787"/>
  <c r="H779"/>
  <c r="H773"/>
  <c r="H765"/>
  <c r="H755"/>
  <c r="H754" s="1"/>
  <c r="H752"/>
  <c r="H751" s="1"/>
  <c r="H748"/>
  <c r="H745"/>
  <c r="H744"/>
  <c r="H743"/>
  <c r="H741"/>
  <c r="H740"/>
  <c r="H739"/>
  <c r="H738"/>
  <c r="H737"/>
  <c r="H735"/>
  <c r="H724"/>
  <c r="H723" s="1"/>
  <c r="H722"/>
  <c r="H721" s="1"/>
  <c r="H711"/>
  <c r="H713"/>
  <c r="H712"/>
  <c r="H709"/>
  <c r="H698"/>
  <c r="H695" s="1"/>
  <c r="H658"/>
  <c r="H652"/>
  <c r="H650"/>
  <c r="H649"/>
  <c r="H642"/>
  <c r="H1038"/>
  <c r="H1037"/>
  <c r="H596"/>
  <c r="H580"/>
  <c r="H579"/>
  <c r="H533"/>
  <c r="H511"/>
  <c r="H927"/>
  <c r="H476"/>
  <c r="H1153"/>
  <c r="I339" l="1"/>
  <c r="I381"/>
  <c r="I405"/>
  <c r="I291"/>
  <c r="P427"/>
  <c r="H734"/>
  <c r="I734"/>
  <c r="H704"/>
  <c r="I704"/>
  <c r="H865"/>
  <c r="I865"/>
  <c r="I1133"/>
  <c r="H1133"/>
  <c r="C818"/>
  <c r="D819"/>
  <c r="C819" s="1"/>
  <c r="H454"/>
  <c r="H453" s="1"/>
  <c r="H443"/>
  <c r="H441"/>
  <c r="H440"/>
  <c r="H439"/>
  <c r="H437"/>
  <c r="H436"/>
  <c r="H435"/>
  <c r="H434"/>
  <c r="H438"/>
  <c r="H432"/>
  <c r="H431"/>
  <c r="H420"/>
  <c r="H415" s="1"/>
  <c r="H409"/>
  <c r="H408"/>
  <c r="H407"/>
  <c r="H406"/>
  <c r="H404"/>
  <c r="H403" s="1"/>
  <c r="H400"/>
  <c r="H398"/>
  <c r="H396"/>
  <c r="H395"/>
  <c r="H394"/>
  <c r="H392"/>
  <c r="H393"/>
  <c r="H391"/>
  <c r="H390"/>
  <c r="H388"/>
  <c r="H387"/>
  <c r="H386"/>
  <c r="H356"/>
  <c r="H355" s="1"/>
  <c r="H343"/>
  <c r="H342"/>
  <c r="H332"/>
  <c r="H331" s="1"/>
  <c r="H322"/>
  <c r="H321" s="1"/>
  <c r="H312"/>
  <c r="H296"/>
  <c r="H294"/>
  <c r="H290"/>
  <c r="H287"/>
  <c r="F1153"/>
  <c r="F1152"/>
  <c r="F1149"/>
  <c r="F1147" s="1"/>
  <c r="F1146"/>
  <c r="F1145"/>
  <c r="F1144"/>
  <c r="F1143"/>
  <c r="F1142"/>
  <c r="F1137"/>
  <c r="F1136"/>
  <c r="F1135"/>
  <c r="F1140"/>
  <c r="F1139"/>
  <c r="F1138"/>
  <c r="F1132"/>
  <c r="F1124"/>
  <c r="F1122"/>
  <c r="F1115"/>
  <c r="F1111"/>
  <c r="F1108"/>
  <c r="F1106"/>
  <c r="F1104"/>
  <c r="F1102"/>
  <c r="F1092"/>
  <c r="F1091"/>
  <c r="F1090"/>
  <c r="F1064"/>
  <c r="F1043"/>
  <c r="F1030"/>
  <c r="F1026"/>
  <c r="F999"/>
  <c r="F993"/>
  <c r="F992"/>
  <c r="F965"/>
  <c r="F961"/>
  <c r="F940"/>
  <c r="F928"/>
  <c r="F911"/>
  <c r="F901"/>
  <c r="F900"/>
  <c r="F898"/>
  <c r="F897"/>
  <c r="F895"/>
  <c r="F894"/>
  <c r="F893"/>
  <c r="F892"/>
  <c r="F891"/>
  <c r="F886"/>
  <c r="F884"/>
  <c r="F882"/>
  <c r="F880"/>
  <c r="F878" s="1"/>
  <c r="F872"/>
  <c r="F871"/>
  <c r="F869"/>
  <c r="F864"/>
  <c r="F863"/>
  <c r="F862"/>
  <c r="F860"/>
  <c r="F857"/>
  <c r="F856"/>
  <c r="F855"/>
  <c r="F854"/>
  <c r="F853"/>
  <c r="F852"/>
  <c r="F851"/>
  <c r="F845"/>
  <c r="F841"/>
  <c r="F832"/>
  <c r="F802"/>
  <c r="F801"/>
  <c r="F795"/>
  <c r="F794"/>
  <c r="F788"/>
  <c r="F787"/>
  <c r="F780"/>
  <c r="F779"/>
  <c r="F773"/>
  <c r="F765"/>
  <c r="F755"/>
  <c r="F754" s="1"/>
  <c r="F752"/>
  <c r="F751" s="1"/>
  <c r="F748"/>
  <c r="F746"/>
  <c r="F745"/>
  <c r="F744"/>
  <c r="F743"/>
  <c r="F735"/>
  <c r="F722"/>
  <c r="F721" s="1"/>
  <c r="F713"/>
  <c r="F712"/>
  <c r="F699"/>
  <c r="F698"/>
  <c r="F695" s="1"/>
  <c r="F668"/>
  <c r="F658"/>
  <c r="F652"/>
  <c r="F650"/>
  <c r="F649"/>
  <c r="F642"/>
  <c r="F1038"/>
  <c r="F1037"/>
  <c r="F596"/>
  <c r="F580"/>
  <c r="F579"/>
  <c r="F533"/>
  <c r="F511"/>
  <c r="F927"/>
  <c r="F409"/>
  <c r="F404"/>
  <c r="F403" s="1"/>
  <c r="F398"/>
  <c r="F396"/>
  <c r="F395"/>
  <c r="F394"/>
  <c r="F397"/>
  <c r="F392"/>
  <c r="F393"/>
  <c r="F387"/>
  <c r="F343"/>
  <c r="F312"/>
  <c r="F296"/>
  <c r="F294"/>
  <c r="F704" l="1"/>
  <c r="H339"/>
  <c r="H381"/>
  <c r="H427"/>
  <c r="H291"/>
  <c r="F405"/>
  <c r="F291"/>
  <c r="F734"/>
  <c r="H405"/>
  <c r="F865"/>
  <c r="F1133"/>
  <c r="G1149"/>
  <c r="G1147" s="1"/>
  <c r="G1152"/>
  <c r="G1153"/>
  <c r="G1146"/>
  <c r="G1145"/>
  <c r="G1144"/>
  <c r="G1143"/>
  <c r="G1142"/>
  <c r="G1137"/>
  <c r="G1136"/>
  <c r="G1135"/>
  <c r="G1140"/>
  <c r="G1139"/>
  <c r="G1138"/>
  <c r="G1132"/>
  <c r="G1124"/>
  <c r="G1122"/>
  <c r="G1115"/>
  <c r="G1111"/>
  <c r="G1108"/>
  <c r="G1106"/>
  <c r="G1092"/>
  <c r="G1091"/>
  <c r="G1090"/>
  <c r="G1064"/>
  <c r="G1043"/>
  <c r="G1030"/>
  <c r="G1026"/>
  <c r="G999"/>
  <c r="G993"/>
  <c r="G992"/>
  <c r="G965"/>
  <c r="G961"/>
  <c r="G940"/>
  <c r="G928"/>
  <c r="G911"/>
  <c r="G901"/>
  <c r="G900"/>
  <c r="G882"/>
  <c r="G872"/>
  <c r="G871"/>
  <c r="G869"/>
  <c r="G864"/>
  <c r="G863"/>
  <c r="G862"/>
  <c r="G860"/>
  <c r="G857"/>
  <c r="G856"/>
  <c r="G855"/>
  <c r="G852"/>
  <c r="G851"/>
  <c r="G845"/>
  <c r="G841"/>
  <c r="G832"/>
  <c r="G823"/>
  <c r="G802"/>
  <c r="G801"/>
  <c r="G780"/>
  <c r="G779"/>
  <c r="G773"/>
  <c r="G765"/>
  <c r="G748"/>
  <c r="G746"/>
  <c r="G745"/>
  <c r="G744"/>
  <c r="G743"/>
  <c r="G735"/>
  <c r="G734" l="1"/>
  <c r="G865"/>
  <c r="G1133"/>
  <c r="G713"/>
  <c r="G712"/>
  <c r="G699"/>
  <c r="G698"/>
  <c r="G695" s="1"/>
  <c r="G668"/>
  <c r="G652"/>
  <c r="G642"/>
  <c r="G1038"/>
  <c r="G1037"/>
  <c r="G343"/>
  <c r="G312"/>
  <c r="E312"/>
  <c r="G296"/>
  <c r="E296"/>
  <c r="G294"/>
  <c r="N287"/>
  <c r="E355"/>
  <c r="G927"/>
  <c r="E927"/>
  <c r="G533"/>
  <c r="E533"/>
  <c r="G291" l="1"/>
  <c r="G704"/>
  <c r="U902"/>
  <c r="T902"/>
  <c r="S902"/>
  <c r="Q902"/>
  <c r="P902"/>
  <c r="O902"/>
  <c r="M902"/>
  <c r="K902"/>
  <c r="I902"/>
  <c r="H902"/>
  <c r="G902"/>
  <c r="F902"/>
  <c r="V1088"/>
  <c r="D1088"/>
  <c r="U786"/>
  <c r="T786"/>
  <c r="S786"/>
  <c r="Q786"/>
  <c r="P786"/>
  <c r="O786"/>
  <c r="M786"/>
  <c r="L786"/>
  <c r="K786"/>
  <c r="J786"/>
  <c r="U789"/>
  <c r="T789"/>
  <c r="S789"/>
  <c r="Q789"/>
  <c r="P789"/>
  <c r="O789"/>
  <c r="M789"/>
  <c r="L789"/>
  <c r="K789"/>
  <c r="J789"/>
  <c r="I789"/>
  <c r="H789"/>
  <c r="G789"/>
  <c r="F789"/>
  <c r="E789"/>
  <c r="U793"/>
  <c r="T793"/>
  <c r="S793"/>
  <c r="Q793"/>
  <c r="P793"/>
  <c r="O793"/>
  <c r="N793"/>
  <c r="M793"/>
  <c r="L793"/>
  <c r="K793"/>
  <c r="U796"/>
  <c r="T796"/>
  <c r="S796"/>
  <c r="Q796"/>
  <c r="P796"/>
  <c r="O796"/>
  <c r="M796"/>
  <c r="L796"/>
  <c r="K796"/>
  <c r="J796"/>
  <c r="I796"/>
  <c r="H796"/>
  <c r="G796"/>
  <c r="F796"/>
  <c r="E796"/>
  <c r="U799"/>
  <c r="T799"/>
  <c r="S799"/>
  <c r="Q799"/>
  <c r="P799"/>
  <c r="O799"/>
  <c r="M799"/>
  <c r="L799"/>
  <c r="K799"/>
  <c r="U804"/>
  <c r="T804"/>
  <c r="S804"/>
  <c r="Q804"/>
  <c r="P804"/>
  <c r="O804"/>
  <c r="M804"/>
  <c r="L804"/>
  <c r="K804"/>
  <c r="J804"/>
  <c r="I804"/>
  <c r="H804"/>
  <c r="G804"/>
  <c r="F804"/>
  <c r="E804"/>
  <c r="U806"/>
  <c r="T806"/>
  <c r="S806"/>
  <c r="Q806"/>
  <c r="P806"/>
  <c r="O806"/>
  <c r="N806"/>
  <c r="M806"/>
  <c r="L806"/>
  <c r="K806"/>
  <c r="J806"/>
  <c r="I806"/>
  <c r="H806"/>
  <c r="G806"/>
  <c r="F806"/>
  <c r="E806"/>
  <c r="U809"/>
  <c r="T809"/>
  <c r="S809"/>
  <c r="Q809"/>
  <c r="P809"/>
  <c r="O809"/>
  <c r="M809"/>
  <c r="L809"/>
  <c r="K809"/>
  <c r="J809"/>
  <c r="I809"/>
  <c r="H809"/>
  <c r="G809"/>
  <c r="F809"/>
  <c r="E809"/>
  <c r="U814"/>
  <c r="T814"/>
  <c r="S814"/>
  <c r="Q814"/>
  <c r="P814"/>
  <c r="O814"/>
  <c r="M814"/>
  <c r="L814"/>
  <c r="K814"/>
  <c r="J814"/>
  <c r="I814"/>
  <c r="H814"/>
  <c r="G814"/>
  <c r="F814"/>
  <c r="E814"/>
  <c r="U816"/>
  <c r="T816"/>
  <c r="S816"/>
  <c r="Q816"/>
  <c r="P816"/>
  <c r="O816"/>
  <c r="M816"/>
  <c r="L816"/>
  <c r="K816"/>
  <c r="J816"/>
  <c r="I816"/>
  <c r="H816"/>
  <c r="G816"/>
  <c r="F816"/>
  <c r="E816"/>
  <c r="U822"/>
  <c r="T822"/>
  <c r="S822"/>
  <c r="R822"/>
  <c r="Q822"/>
  <c r="P822"/>
  <c r="O822"/>
  <c r="N822"/>
  <c r="M822"/>
  <c r="L822"/>
  <c r="K822"/>
  <c r="J822"/>
  <c r="H822"/>
  <c r="F822"/>
  <c r="U829"/>
  <c r="T829"/>
  <c r="S829"/>
  <c r="R829"/>
  <c r="Q829"/>
  <c r="P829"/>
  <c r="O829"/>
  <c r="M829"/>
  <c r="L829"/>
  <c r="K829"/>
  <c r="J829"/>
  <c r="I829"/>
  <c r="H829"/>
  <c r="G829"/>
  <c r="F829"/>
  <c r="E829"/>
  <c r="U831"/>
  <c r="T831"/>
  <c r="S831"/>
  <c r="Q831"/>
  <c r="P831"/>
  <c r="O831"/>
  <c r="M831"/>
  <c r="L831"/>
  <c r="K831"/>
  <c r="J831"/>
  <c r="U835"/>
  <c r="T835"/>
  <c r="S835"/>
  <c r="R835"/>
  <c r="Q835"/>
  <c r="P835"/>
  <c r="O835"/>
  <c r="M835"/>
  <c r="L835"/>
  <c r="K835"/>
  <c r="J835"/>
  <c r="I835"/>
  <c r="H835"/>
  <c r="G835"/>
  <c r="F835"/>
  <c r="E835"/>
  <c r="U840"/>
  <c r="T840"/>
  <c r="S840"/>
  <c r="Q840"/>
  <c r="P840"/>
  <c r="O840"/>
  <c r="M840"/>
  <c r="L840"/>
  <c r="K840"/>
  <c r="J840"/>
  <c r="U842"/>
  <c r="T842"/>
  <c r="S842"/>
  <c r="Q842"/>
  <c r="P842"/>
  <c r="O842"/>
  <c r="M842"/>
  <c r="L842"/>
  <c r="K842"/>
  <c r="J842"/>
  <c r="U847"/>
  <c r="T847"/>
  <c r="S847"/>
  <c r="R847"/>
  <c r="Q847"/>
  <c r="P847"/>
  <c r="O847"/>
  <c r="M847"/>
  <c r="L847"/>
  <c r="K847"/>
  <c r="J847"/>
  <c r="I847"/>
  <c r="H847"/>
  <c r="G847"/>
  <c r="F847"/>
  <c r="E847"/>
  <c r="U849"/>
  <c r="T849"/>
  <c r="Q849"/>
  <c r="O849"/>
  <c r="M849"/>
  <c r="L849"/>
  <c r="K849"/>
  <c r="U873"/>
  <c r="T873"/>
  <c r="S873"/>
  <c r="Q873"/>
  <c r="P873"/>
  <c r="O873"/>
  <c r="M873"/>
  <c r="L873"/>
  <c r="K873"/>
  <c r="F873"/>
  <c r="U881"/>
  <c r="T881"/>
  <c r="S881"/>
  <c r="Q881"/>
  <c r="P881"/>
  <c r="O881"/>
  <c r="M881"/>
  <c r="L881"/>
  <c r="K881"/>
  <c r="U896"/>
  <c r="T896"/>
  <c r="S896"/>
  <c r="Q896"/>
  <c r="P896"/>
  <c r="O896"/>
  <c r="M896"/>
  <c r="L896"/>
  <c r="K896"/>
  <c r="U899"/>
  <c r="T899"/>
  <c r="S899"/>
  <c r="Q899"/>
  <c r="P899"/>
  <c r="O899"/>
  <c r="M899"/>
  <c r="L899"/>
  <c r="K899"/>
  <c r="J899"/>
  <c r="U1101"/>
  <c r="T1101"/>
  <c r="S1101"/>
  <c r="Q1101"/>
  <c r="P1101"/>
  <c r="O1101"/>
  <c r="N1101"/>
  <c r="M1101"/>
  <c r="L1101"/>
  <c r="K1101"/>
  <c r="U1103"/>
  <c r="T1103"/>
  <c r="S1103"/>
  <c r="Q1103"/>
  <c r="P1103"/>
  <c r="O1103"/>
  <c r="M1103"/>
  <c r="L1103"/>
  <c r="K1103"/>
  <c r="U1105"/>
  <c r="T1105"/>
  <c r="S1105"/>
  <c r="R1105"/>
  <c r="Q1105"/>
  <c r="P1105"/>
  <c r="O1105"/>
  <c r="N1105"/>
  <c r="M1105"/>
  <c r="L1105"/>
  <c r="K1105"/>
  <c r="J1105"/>
  <c r="U1107"/>
  <c r="T1107"/>
  <c r="S1107"/>
  <c r="Q1107"/>
  <c r="P1107"/>
  <c r="O1107"/>
  <c r="M1107"/>
  <c r="L1107"/>
  <c r="K1107"/>
  <c r="J1107"/>
  <c r="U1109"/>
  <c r="T1109"/>
  <c r="S1109"/>
  <c r="Q1109"/>
  <c r="P1109"/>
  <c r="O1109"/>
  <c r="M1109"/>
  <c r="L1109"/>
  <c r="K1109"/>
  <c r="J1109"/>
  <c r="U1113"/>
  <c r="T1113"/>
  <c r="S1113"/>
  <c r="Q1113"/>
  <c r="P1113"/>
  <c r="O1113"/>
  <c r="M1113"/>
  <c r="L1113"/>
  <c r="K1113"/>
  <c r="J1113"/>
  <c r="U1116"/>
  <c r="T1116"/>
  <c r="S1116"/>
  <c r="Q1116"/>
  <c r="P1116"/>
  <c r="O1116"/>
  <c r="M1116"/>
  <c r="L1116"/>
  <c r="K1116"/>
  <c r="J1116"/>
  <c r="I1116"/>
  <c r="H1116"/>
  <c r="G1116"/>
  <c r="F1116"/>
  <c r="U1119"/>
  <c r="T1119"/>
  <c r="S1119"/>
  <c r="Q1119"/>
  <c r="P1119"/>
  <c r="O1119"/>
  <c r="M1119"/>
  <c r="L1119"/>
  <c r="K1119"/>
  <c r="J1119"/>
  <c r="I1119"/>
  <c r="H1119"/>
  <c r="G1119"/>
  <c r="F1119"/>
  <c r="E1119"/>
  <c r="U1121"/>
  <c r="T1121"/>
  <c r="S1121"/>
  <c r="R1121"/>
  <c r="Q1121"/>
  <c r="P1121"/>
  <c r="O1121"/>
  <c r="N1121"/>
  <c r="M1121"/>
  <c r="L1121"/>
  <c r="K1121"/>
  <c r="J1121"/>
  <c r="U1123"/>
  <c r="T1123"/>
  <c r="S1123"/>
  <c r="Q1123"/>
  <c r="P1123"/>
  <c r="O1123"/>
  <c r="M1123"/>
  <c r="L1123"/>
  <c r="K1123"/>
  <c r="J1123"/>
  <c r="U1125"/>
  <c r="T1125"/>
  <c r="S1125"/>
  <c r="Q1125"/>
  <c r="P1125"/>
  <c r="O1125"/>
  <c r="M1125"/>
  <c r="L1125"/>
  <c r="K1125"/>
  <c r="J1125"/>
  <c r="I1125"/>
  <c r="H1125"/>
  <c r="G1125"/>
  <c r="F1125"/>
  <c r="E1125"/>
  <c r="U1131"/>
  <c r="T1131"/>
  <c r="S1131"/>
  <c r="Q1131"/>
  <c r="P1131"/>
  <c r="O1131"/>
  <c r="N1131"/>
  <c r="M1131"/>
  <c r="L1131"/>
  <c r="K1131"/>
  <c r="J1131"/>
  <c r="U758"/>
  <c r="T758"/>
  <c r="S758"/>
  <c r="Q758"/>
  <c r="P758"/>
  <c r="O758"/>
  <c r="M758"/>
  <c r="L758"/>
  <c r="K758"/>
  <c r="J758"/>
  <c r="I758"/>
  <c r="H758"/>
  <c r="G758"/>
  <c r="F758"/>
  <c r="E758"/>
  <c r="U237"/>
  <c r="T237"/>
  <c r="S237"/>
  <c r="R237"/>
  <c r="Q237"/>
  <c r="P237"/>
  <c r="O237"/>
  <c r="N237"/>
  <c r="M237"/>
  <c r="L237"/>
  <c r="K237"/>
  <c r="H237"/>
  <c r="U120"/>
  <c r="T120"/>
  <c r="S120"/>
  <c r="Q120"/>
  <c r="O120"/>
  <c r="M120"/>
  <c r="K120"/>
  <c r="U118"/>
  <c r="T118"/>
  <c r="S118"/>
  <c r="R118"/>
  <c r="Q118"/>
  <c r="P118"/>
  <c r="O118"/>
  <c r="N118"/>
  <c r="M118"/>
  <c r="L118"/>
  <c r="K118"/>
  <c r="I118"/>
  <c r="G118"/>
  <c r="E118"/>
  <c r="U116"/>
  <c r="T116"/>
  <c r="S116"/>
  <c r="Q116"/>
  <c r="P116"/>
  <c r="O116"/>
  <c r="M116"/>
  <c r="L116"/>
  <c r="K116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U104"/>
  <c r="T104"/>
  <c r="S104"/>
  <c r="Q104"/>
  <c r="P104"/>
  <c r="O104"/>
  <c r="M104"/>
  <c r="L104"/>
  <c r="K104"/>
  <c r="T96"/>
  <c r="S96"/>
  <c r="Q96"/>
  <c r="P96"/>
  <c r="O96"/>
  <c r="M96"/>
  <c r="L96"/>
  <c r="K96"/>
  <c r="U89"/>
  <c r="T89"/>
  <c r="S89"/>
  <c r="R89"/>
  <c r="Q89"/>
  <c r="P89"/>
  <c r="O89"/>
  <c r="N89"/>
  <c r="M89"/>
  <c r="L89"/>
  <c r="K89"/>
  <c r="E89"/>
  <c r="U86"/>
  <c r="T86"/>
  <c r="S86"/>
  <c r="R86"/>
  <c r="Q86"/>
  <c r="P86"/>
  <c r="O86"/>
  <c r="N86"/>
  <c r="M86"/>
  <c r="L86"/>
  <c r="K86"/>
  <c r="I86"/>
  <c r="G86"/>
  <c r="F86"/>
  <c r="E86"/>
  <c r="T68"/>
  <c r="Q68"/>
  <c r="O68"/>
  <c r="M68"/>
  <c r="L68"/>
  <c r="K68"/>
  <c r="U66"/>
  <c r="T66"/>
  <c r="S66"/>
  <c r="R66"/>
  <c r="Q66"/>
  <c r="P66"/>
  <c r="O66"/>
  <c r="M66"/>
  <c r="L66"/>
  <c r="K66"/>
  <c r="J66"/>
  <c r="I66"/>
  <c r="H66"/>
  <c r="G66"/>
  <c r="F66"/>
  <c r="E66"/>
  <c r="U64"/>
  <c r="T64"/>
  <c r="S64"/>
  <c r="R64"/>
  <c r="Q64"/>
  <c r="P64"/>
  <c r="O64"/>
  <c r="N64"/>
  <c r="M64"/>
  <c r="L64"/>
  <c r="K64"/>
  <c r="J64"/>
  <c r="I64"/>
  <c r="H64"/>
  <c r="G64"/>
  <c r="F64"/>
  <c r="E64"/>
  <c r="U61"/>
  <c r="T61"/>
  <c r="S61"/>
  <c r="R61"/>
  <c r="Q61"/>
  <c r="P61"/>
  <c r="O61"/>
  <c r="N61"/>
  <c r="M61"/>
  <c r="L61"/>
  <c r="K61"/>
  <c r="J61"/>
  <c r="I61"/>
  <c r="H61"/>
  <c r="G61"/>
  <c r="F61"/>
  <c r="E61"/>
  <c r="U59"/>
  <c r="T59"/>
  <c r="S59"/>
  <c r="R59"/>
  <c r="Q59"/>
  <c r="P59"/>
  <c r="O59"/>
  <c r="N59"/>
  <c r="M59"/>
  <c r="L59"/>
  <c r="K59"/>
  <c r="I59"/>
  <c r="G59"/>
  <c r="F59"/>
  <c r="U57"/>
  <c r="T57"/>
  <c r="S57"/>
  <c r="R57"/>
  <c r="Q57"/>
  <c r="P57"/>
  <c r="O57"/>
  <c r="M57"/>
  <c r="L57"/>
  <c r="K57"/>
  <c r="J57"/>
  <c r="I57"/>
  <c r="H57"/>
  <c r="G57"/>
  <c r="F57"/>
  <c r="E57"/>
  <c r="U55"/>
  <c r="T55"/>
  <c r="S55"/>
  <c r="R55"/>
  <c r="Q55"/>
  <c r="P55"/>
  <c r="O55"/>
  <c r="N55"/>
  <c r="M55"/>
  <c r="L55"/>
  <c r="K55"/>
  <c r="J55"/>
  <c r="I55"/>
  <c r="H55"/>
  <c r="G55"/>
  <c r="F55"/>
  <c r="E55"/>
  <c r="U53"/>
  <c r="T53"/>
  <c r="S53"/>
  <c r="R53"/>
  <c r="Q53"/>
  <c r="P53"/>
  <c r="O53"/>
  <c r="N53"/>
  <c r="M53"/>
  <c r="L53"/>
  <c r="K53"/>
  <c r="J53"/>
  <c r="I53"/>
  <c r="H53"/>
  <c r="G53"/>
  <c r="F53"/>
  <c r="E53"/>
  <c r="U49"/>
  <c r="T49"/>
  <c r="S49"/>
  <c r="Q49"/>
  <c r="P49"/>
  <c r="O49"/>
  <c r="M49"/>
  <c r="L49"/>
  <c r="K49"/>
  <c r="J49"/>
  <c r="I49"/>
  <c r="H49"/>
  <c r="G49"/>
  <c r="F49"/>
  <c r="E49"/>
  <c r="U47"/>
  <c r="T47"/>
  <c r="S47"/>
  <c r="R47"/>
  <c r="Q47"/>
  <c r="P47"/>
  <c r="O47"/>
  <c r="N47"/>
  <c r="M47"/>
  <c r="L47"/>
  <c r="K47"/>
  <c r="J47"/>
  <c r="I47"/>
  <c r="H47"/>
  <c r="G47"/>
  <c r="F47"/>
  <c r="E47"/>
  <c r="U43"/>
  <c r="T43"/>
  <c r="S43"/>
  <c r="R43"/>
  <c r="Q43"/>
  <c r="P43"/>
  <c r="O43"/>
  <c r="N43"/>
  <c r="M43"/>
  <c r="L43"/>
  <c r="K43"/>
  <c r="J43"/>
  <c r="I43"/>
  <c r="H43"/>
  <c r="G43"/>
  <c r="F43"/>
  <c r="E43"/>
  <c r="U38"/>
  <c r="T38"/>
  <c r="S38"/>
  <c r="R38"/>
  <c r="Q38"/>
  <c r="P38"/>
  <c r="O38"/>
  <c r="M38"/>
  <c r="L38"/>
  <c r="K38"/>
  <c r="J38"/>
  <c r="I38"/>
  <c r="H38"/>
  <c r="G38"/>
  <c r="F38"/>
  <c r="E38"/>
  <c r="U35"/>
  <c r="T35"/>
  <c r="S35"/>
  <c r="R35"/>
  <c r="Q35"/>
  <c r="P35"/>
  <c r="O35"/>
  <c r="N35"/>
  <c r="M35"/>
  <c r="L35"/>
  <c r="K35"/>
  <c r="U30"/>
  <c r="T30"/>
  <c r="S30"/>
  <c r="R30"/>
  <c r="Q30"/>
  <c r="P30"/>
  <c r="O30"/>
  <c r="N30"/>
  <c r="M30"/>
  <c r="L30"/>
  <c r="K30"/>
  <c r="J30"/>
  <c r="I30"/>
  <c r="H30"/>
  <c r="G30"/>
  <c r="F30"/>
  <c r="E30"/>
  <c r="U28"/>
  <c r="T28"/>
  <c r="S28"/>
  <c r="R28"/>
  <c r="Q28"/>
  <c r="P28"/>
  <c r="O28"/>
  <c r="N28"/>
  <c r="M28"/>
  <c r="L28"/>
  <c r="K28"/>
  <c r="E28"/>
  <c r="U26"/>
  <c r="T26"/>
  <c r="S26"/>
  <c r="R26"/>
  <c r="Q26"/>
  <c r="P26"/>
  <c r="O26"/>
  <c r="M26"/>
  <c r="L26"/>
  <c r="K26"/>
  <c r="J26"/>
  <c r="I26"/>
  <c r="H26"/>
  <c r="G26"/>
  <c r="F26"/>
  <c r="E26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U244"/>
  <c r="T244"/>
  <c r="S244"/>
  <c r="Q244"/>
  <c r="P244"/>
  <c r="O244"/>
  <c r="M244"/>
  <c r="L244"/>
  <c r="K244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U251"/>
  <c r="T251"/>
  <c r="S251"/>
  <c r="Q251"/>
  <c r="P251"/>
  <c r="O251"/>
  <c r="M251"/>
  <c r="L251"/>
  <c r="K251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U257"/>
  <c r="T257"/>
  <c r="S257"/>
  <c r="Q257"/>
  <c r="P257"/>
  <c r="O257"/>
  <c r="M257"/>
  <c r="L257"/>
  <c r="K257"/>
  <c r="J257"/>
  <c r="I257"/>
  <c r="H257"/>
  <c r="G257"/>
  <c r="F257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U264"/>
  <c r="T264"/>
  <c r="S264"/>
  <c r="R264"/>
  <c r="Q264"/>
  <c r="P264"/>
  <c r="O264"/>
  <c r="M264"/>
  <c r="L264"/>
  <c r="K264"/>
  <c r="J264"/>
  <c r="I264"/>
  <c r="H264"/>
  <c r="G264"/>
  <c r="F264"/>
  <c r="E264"/>
  <c r="U266"/>
  <c r="T266"/>
  <c r="S266"/>
  <c r="R266"/>
  <c r="Q266"/>
  <c r="P266"/>
  <c r="O266"/>
  <c r="N266"/>
  <c r="M266"/>
  <c r="L266"/>
  <c r="K266"/>
  <c r="J266"/>
  <c r="I266"/>
  <c r="H266"/>
  <c r="G266"/>
  <c r="U268"/>
  <c r="T268"/>
  <c r="S268"/>
  <c r="R268"/>
  <c r="Q268"/>
  <c r="P268"/>
  <c r="O268"/>
  <c r="M268"/>
  <c r="L268"/>
  <c r="K268"/>
  <c r="J268"/>
  <c r="I268"/>
  <c r="H268"/>
  <c r="G268"/>
  <c r="F268"/>
  <c r="E268"/>
  <c r="U270"/>
  <c r="T270"/>
  <c r="S270"/>
  <c r="Q270"/>
  <c r="P270"/>
  <c r="O270"/>
  <c r="M270"/>
  <c r="L270"/>
  <c r="K270"/>
  <c r="J270"/>
  <c r="I270"/>
  <c r="H270"/>
  <c r="G270"/>
  <c r="F270"/>
  <c r="E270"/>
  <c r="M10" l="1"/>
  <c r="Q10"/>
  <c r="U10"/>
  <c r="K10"/>
  <c r="T10"/>
  <c r="O10"/>
  <c r="C1088"/>
  <c r="V511"/>
  <c r="J511"/>
  <c r="G511"/>
  <c r="E511"/>
  <c r="N387"/>
  <c r="D511" l="1"/>
  <c r="C511" s="1"/>
  <c r="N1149"/>
  <c r="N1147" s="1"/>
  <c r="R1149"/>
  <c r="R1147" s="1"/>
  <c r="N755"/>
  <c r="N754" s="1"/>
  <c r="G755"/>
  <c r="G754" s="1"/>
  <c r="V1149" l="1"/>
  <c r="V755"/>
  <c r="D755"/>
  <c r="D754" s="1"/>
  <c r="D1149"/>
  <c r="D1147" s="1"/>
  <c r="N753"/>
  <c r="V753" s="1"/>
  <c r="D753"/>
  <c r="D13"/>
  <c r="C13" s="1"/>
  <c r="V13"/>
  <c r="N57"/>
  <c r="C755" l="1"/>
  <c r="C754" s="1"/>
  <c r="C1149"/>
  <c r="C1147" s="1"/>
  <c r="C753"/>
  <c r="N353"/>
  <c r="V353" s="1"/>
  <c r="R320"/>
  <c r="R319" s="1"/>
  <c r="P320"/>
  <c r="P319" s="1"/>
  <c r="N299"/>
  <c r="V299" s="1"/>
  <c r="N298"/>
  <c r="V298" s="1"/>
  <c r="N289"/>
  <c r="V289" s="1"/>
  <c r="N288"/>
  <c r="R289"/>
  <c r="R288"/>
  <c r="V749"/>
  <c r="V281"/>
  <c r="V278"/>
  <c r="V277"/>
  <c r="V276"/>
  <c r="V279"/>
  <c r="V275"/>
  <c r="V274"/>
  <c r="V273"/>
  <c r="V272"/>
  <c r="V271"/>
  <c r="V732"/>
  <c r="V263"/>
  <c r="V261"/>
  <c r="V260"/>
  <c r="V256"/>
  <c r="V250"/>
  <c r="V249"/>
  <c r="V248"/>
  <c r="V243"/>
  <c r="V241"/>
  <c r="V240"/>
  <c r="V239"/>
  <c r="V238"/>
  <c r="V236"/>
  <c r="V235"/>
  <c r="V234"/>
  <c r="V232"/>
  <c r="V671"/>
  <c r="V231"/>
  <c r="V670"/>
  <c r="V229"/>
  <c r="V227"/>
  <c r="V226"/>
  <c r="V224"/>
  <c r="V223"/>
  <c r="V222"/>
  <c r="V654"/>
  <c r="V219"/>
  <c r="V218"/>
  <c r="V650"/>
  <c r="V649"/>
  <c r="V648"/>
  <c r="V647"/>
  <c r="V646"/>
  <c r="V217"/>
  <c r="V216"/>
  <c r="V215"/>
  <c r="V635"/>
  <c r="V212"/>
  <c r="V629"/>
  <c r="V211"/>
  <c r="V210"/>
  <c r="V209"/>
  <c r="V609"/>
  <c r="V208"/>
  <c r="V207"/>
  <c r="V205"/>
  <c r="V204"/>
  <c r="V603"/>
  <c r="V601"/>
  <c r="V203"/>
  <c r="V202"/>
  <c r="V201"/>
  <c r="V596"/>
  <c r="V595"/>
  <c r="V200"/>
  <c r="V594"/>
  <c r="V593"/>
  <c r="V584"/>
  <c r="V583"/>
  <c r="V582"/>
  <c r="V581"/>
  <c r="V580"/>
  <c r="V579"/>
  <c r="V578"/>
  <c r="V196"/>
  <c r="V195"/>
  <c r="V194"/>
  <c r="V193"/>
  <c r="V192"/>
  <c r="V191"/>
  <c r="V190"/>
  <c r="V189"/>
  <c r="V188"/>
  <c r="V553"/>
  <c r="V552"/>
  <c r="V186"/>
  <c r="V185"/>
  <c r="V549"/>
  <c r="V183"/>
  <c r="V182"/>
  <c r="V181"/>
  <c r="V180"/>
  <c r="V179"/>
  <c r="V178"/>
  <c r="V177"/>
  <c r="V176"/>
  <c r="V515"/>
  <c r="V175"/>
  <c r="V513"/>
  <c r="V512"/>
  <c r="V174"/>
  <c r="V173"/>
  <c r="V172"/>
  <c r="V171"/>
  <c r="V170"/>
  <c r="V169"/>
  <c r="V168"/>
  <c r="V502"/>
  <c r="V167"/>
  <c r="V166"/>
  <c r="V163"/>
  <c r="V162"/>
  <c r="V161"/>
  <c r="V160"/>
  <c r="V159"/>
  <c r="V158"/>
  <c r="V157"/>
  <c r="V493"/>
  <c r="V155"/>
  <c r="V154"/>
  <c r="V153"/>
  <c r="V152"/>
  <c r="V151"/>
  <c r="V150"/>
  <c r="V149"/>
  <c r="V148"/>
  <c r="V147"/>
  <c r="V142"/>
  <c r="V141"/>
  <c r="V479"/>
  <c r="V478"/>
  <c r="V140"/>
  <c r="V139"/>
  <c r="V138"/>
  <c r="V137"/>
  <c r="V136"/>
  <c r="V135"/>
  <c r="V134"/>
  <c r="V133"/>
  <c r="V132"/>
  <c r="V131"/>
  <c r="V464"/>
  <c r="V463"/>
  <c r="V462"/>
  <c r="V127"/>
  <c r="V126"/>
  <c r="V125"/>
  <c r="V124"/>
  <c r="V122"/>
  <c r="V121"/>
  <c r="V119"/>
  <c r="V113"/>
  <c r="V112"/>
  <c r="V111"/>
  <c r="V110"/>
  <c r="V109"/>
  <c r="V108"/>
  <c r="V103"/>
  <c r="V101"/>
  <c r="V97"/>
  <c r="V100"/>
  <c r="V98"/>
  <c r="V95"/>
  <c r="V94"/>
  <c r="V93"/>
  <c r="V92"/>
  <c r="V91"/>
  <c r="V90"/>
  <c r="V88"/>
  <c r="V87"/>
  <c r="V85"/>
  <c r="V80"/>
  <c r="V384"/>
  <c r="V382"/>
  <c r="V63"/>
  <c r="V62"/>
  <c r="V58"/>
  <c r="V56"/>
  <c r="V52"/>
  <c r="V50"/>
  <c r="V48"/>
  <c r="V44"/>
  <c r="V39"/>
  <c r="V338"/>
  <c r="V37"/>
  <c r="V36"/>
  <c r="V335"/>
  <c r="V328"/>
  <c r="V34"/>
  <c r="V32"/>
  <c r="V31"/>
  <c r="V320"/>
  <c r="V29"/>
  <c r="V20"/>
  <c r="V19"/>
  <c r="V18"/>
  <c r="V15"/>
  <c r="V14"/>
  <c r="V17"/>
  <c r="V12"/>
  <c r="V754" l="1"/>
  <c r="V1147"/>
  <c r="V288"/>
  <c r="N805"/>
  <c r="N1092"/>
  <c r="V1092" s="1"/>
  <c r="N1091"/>
  <c r="V1091" s="1"/>
  <c r="N1090"/>
  <c r="V1090" s="1"/>
  <c r="N1089"/>
  <c r="V1089" s="1"/>
  <c r="N1036"/>
  <c r="V1036" s="1"/>
  <c r="N1017"/>
  <c r="V1017" s="1"/>
  <c r="N1007"/>
  <c r="V1007" s="1"/>
  <c r="N939"/>
  <c r="V939" s="1"/>
  <c r="N892"/>
  <c r="V892" s="1"/>
  <c r="N891"/>
  <c r="V891" s="1"/>
  <c r="N859"/>
  <c r="V859" s="1"/>
  <c r="N812"/>
  <c r="V812" s="1"/>
  <c r="N777"/>
  <c r="V777" s="1"/>
  <c r="N770"/>
  <c r="V770" s="1"/>
  <c r="N768"/>
  <c r="V768" s="1"/>
  <c r="N762"/>
  <c r="V762" s="1"/>
  <c r="N682"/>
  <c r="V682" s="1"/>
  <c r="N602"/>
  <c r="V602" s="1"/>
  <c r="N592"/>
  <c r="V592" s="1"/>
  <c r="N445"/>
  <c r="V445" s="1"/>
  <c r="N444"/>
  <c r="V444" s="1"/>
  <c r="N443"/>
  <c r="V443" s="1"/>
  <c r="N440"/>
  <c r="V440" s="1"/>
  <c r="N435"/>
  <c r="V435" s="1"/>
  <c r="N438"/>
  <c r="V438" s="1"/>
  <c r="N421"/>
  <c r="V421" s="1"/>
  <c r="N383"/>
  <c r="N367"/>
  <c r="N366"/>
  <c r="V366" s="1"/>
  <c r="N365"/>
  <c r="N334"/>
  <c r="N333" s="1"/>
  <c r="N312"/>
  <c r="V312" s="1"/>
  <c r="N309"/>
  <c r="V309" s="1"/>
  <c r="N308"/>
  <c r="V308" s="1"/>
  <c r="N307"/>
  <c r="V307" s="1"/>
  <c r="N304"/>
  <c r="V304" s="1"/>
  <c r="N302"/>
  <c r="V302" s="1"/>
  <c r="V294"/>
  <c r="N290"/>
  <c r="V290" s="1"/>
  <c r="N293"/>
  <c r="V293" s="1"/>
  <c r="N292"/>
  <c r="N301"/>
  <c r="V301" s="1"/>
  <c r="N300"/>
  <c r="V300" s="1"/>
  <c r="N297"/>
  <c r="V297" s="1"/>
  <c r="N296"/>
  <c r="V296" s="1"/>
  <c r="N295"/>
  <c r="V295" s="1"/>
  <c r="N305"/>
  <c r="V305" s="1"/>
  <c r="N306"/>
  <c r="V306" s="1"/>
  <c r="N314"/>
  <c r="N313" s="1"/>
  <c r="N318"/>
  <c r="V318" s="1"/>
  <c r="N317"/>
  <c r="N324"/>
  <c r="V324" s="1"/>
  <c r="N323"/>
  <c r="V323" s="1"/>
  <c r="N322"/>
  <c r="N330"/>
  <c r="V330" s="1"/>
  <c r="N329"/>
  <c r="N332"/>
  <c r="N331" s="1"/>
  <c r="N341"/>
  <c r="V341" s="1"/>
  <c r="N340"/>
  <c r="N346"/>
  <c r="V346" s="1"/>
  <c r="N345"/>
  <c r="V345" s="1"/>
  <c r="N344"/>
  <c r="V344" s="1"/>
  <c r="N348"/>
  <c r="N354"/>
  <c r="V354" s="1"/>
  <c r="N352"/>
  <c r="N356"/>
  <c r="N355" s="1"/>
  <c r="N359"/>
  <c r="V359" s="1"/>
  <c r="N361"/>
  <c r="N360" s="1"/>
  <c r="N371"/>
  <c r="V371" s="1"/>
  <c r="N370"/>
  <c r="N839"/>
  <c r="N375"/>
  <c r="V375" s="1"/>
  <c r="N374"/>
  <c r="V374" s="1"/>
  <c r="N373"/>
  <c r="N377"/>
  <c r="V377" s="1"/>
  <c r="N380"/>
  <c r="N379" s="1"/>
  <c r="N393"/>
  <c r="V393" s="1"/>
  <c r="N391"/>
  <c r="V391" s="1"/>
  <c r="N390"/>
  <c r="V390" s="1"/>
  <c r="N388"/>
  <c r="V388" s="1"/>
  <c r="V387"/>
  <c r="N386"/>
  <c r="V386" s="1"/>
  <c r="N397"/>
  <c r="V397" s="1"/>
  <c r="N402"/>
  <c r="V402" s="1"/>
  <c r="N401"/>
  <c r="V401" s="1"/>
  <c r="N400"/>
  <c r="V400" s="1"/>
  <c r="N399"/>
  <c r="V399" s="1"/>
  <c r="N398"/>
  <c r="V398" s="1"/>
  <c r="N396"/>
  <c r="V396" s="1"/>
  <c r="N395"/>
  <c r="V395" s="1"/>
  <c r="N404"/>
  <c r="N403" s="1"/>
  <c r="N412"/>
  <c r="V412" s="1"/>
  <c r="N411"/>
  <c r="V411" s="1"/>
  <c r="N410"/>
  <c r="V410" s="1"/>
  <c r="N409"/>
  <c r="V409" s="1"/>
  <c r="V408"/>
  <c r="V407"/>
  <c r="N406"/>
  <c r="N418"/>
  <c r="V418" s="1"/>
  <c r="N419"/>
  <c r="V419" s="1"/>
  <c r="N420"/>
  <c r="V420" s="1"/>
  <c r="N422"/>
  <c r="V422" s="1"/>
  <c r="N424"/>
  <c r="N423" s="1"/>
  <c r="N426"/>
  <c r="N425" s="1"/>
  <c r="N432"/>
  <c r="V432" s="1"/>
  <c r="N431"/>
  <c r="N437"/>
  <c r="V437" s="1"/>
  <c r="N436"/>
  <c r="V436" s="1"/>
  <c r="N442"/>
  <c r="V442" s="1"/>
  <c r="N441"/>
  <c r="V441" s="1"/>
  <c r="N452"/>
  <c r="V452" s="1"/>
  <c r="N451"/>
  <c r="N469"/>
  <c r="V469" s="1"/>
  <c r="N468"/>
  <c r="V468" s="1"/>
  <c r="N466"/>
  <c r="V466" s="1"/>
  <c r="N467"/>
  <c r="V467" s="1"/>
  <c r="N465"/>
  <c r="V465" s="1"/>
  <c r="N461"/>
  <c r="V461" s="1"/>
  <c r="N460"/>
  <c r="V460" s="1"/>
  <c r="N459"/>
  <c r="N477"/>
  <c r="V477" s="1"/>
  <c r="N476"/>
  <c r="V476" s="1"/>
  <c r="N475"/>
  <c r="V475" s="1"/>
  <c r="N474"/>
  <c r="V474" s="1"/>
  <c r="N473"/>
  <c r="V473" s="1"/>
  <c r="N472"/>
  <c r="V472" s="1"/>
  <c r="N471"/>
  <c r="V471" s="1"/>
  <c r="N489"/>
  <c r="V489" s="1"/>
  <c r="N488"/>
  <c r="V488" s="1"/>
  <c r="N487"/>
  <c r="V487" s="1"/>
  <c r="N486"/>
  <c r="V486" s="1"/>
  <c r="N485"/>
  <c r="V485" s="1"/>
  <c r="N484"/>
  <c r="V484" s="1"/>
  <c r="N483"/>
  <c r="V483" s="1"/>
  <c r="N496"/>
  <c r="V496" s="1"/>
  <c r="N495"/>
  <c r="V495" s="1"/>
  <c r="N494"/>
  <c r="V494" s="1"/>
  <c r="N501"/>
  <c r="V501" s="1"/>
  <c r="N500"/>
  <c r="V500" s="1"/>
  <c r="N499"/>
  <c r="V499" s="1"/>
  <c r="N498"/>
  <c r="V498" s="1"/>
  <c r="N497"/>
  <c r="V497" s="1"/>
  <c r="N517"/>
  <c r="V517" s="1"/>
  <c r="N516"/>
  <c r="V516" s="1"/>
  <c r="N533"/>
  <c r="V533" s="1"/>
  <c r="N532"/>
  <c r="V532" s="1"/>
  <c r="N531"/>
  <c r="V531" s="1"/>
  <c r="N530"/>
  <c r="V530" s="1"/>
  <c r="N529"/>
  <c r="V529" s="1"/>
  <c r="N528"/>
  <c r="V528" s="1"/>
  <c r="N527"/>
  <c r="V527" s="1"/>
  <c r="N526"/>
  <c r="V526" s="1"/>
  <c r="N525"/>
  <c r="V525" s="1"/>
  <c r="N524"/>
  <c r="V524" s="1"/>
  <c r="N523"/>
  <c r="V523" s="1"/>
  <c r="N522"/>
  <c r="V522" s="1"/>
  <c r="N521"/>
  <c r="V521" s="1"/>
  <c r="N520"/>
  <c r="V520" s="1"/>
  <c r="N519"/>
  <c r="V519" s="1"/>
  <c r="N544"/>
  <c r="V544" s="1"/>
  <c r="N539"/>
  <c r="V539" s="1"/>
  <c r="N538"/>
  <c r="V538" s="1"/>
  <c r="N537"/>
  <c r="V537" s="1"/>
  <c r="N543"/>
  <c r="V543" s="1"/>
  <c r="N542"/>
  <c r="V542" s="1"/>
  <c r="N541"/>
  <c r="V541" s="1"/>
  <c r="N540"/>
  <c r="V540" s="1"/>
  <c r="N536"/>
  <c r="V536" s="1"/>
  <c r="N535"/>
  <c r="V535" s="1"/>
  <c r="N534"/>
  <c r="V534" s="1"/>
  <c r="N518"/>
  <c r="V518" s="1"/>
  <c r="N556"/>
  <c r="V556" s="1"/>
  <c r="N560"/>
  <c r="V560" s="1"/>
  <c r="N559"/>
  <c r="V559" s="1"/>
  <c r="N551"/>
  <c r="V551" s="1"/>
  <c r="N550"/>
  <c r="V550" s="1"/>
  <c r="N548"/>
  <c r="V548" s="1"/>
  <c r="N547"/>
  <c r="V547" s="1"/>
  <c r="N574"/>
  <c r="V574" s="1"/>
  <c r="N573"/>
  <c r="V573" s="1"/>
  <c r="N572"/>
  <c r="V572" s="1"/>
  <c r="N571"/>
  <c r="V571" s="1"/>
  <c r="N570"/>
  <c r="V570" s="1"/>
  <c r="N568"/>
  <c r="V568" s="1"/>
  <c r="N567"/>
  <c r="V567" s="1"/>
  <c r="N566"/>
  <c r="V566" s="1"/>
  <c r="N565"/>
  <c r="V565" s="1"/>
  <c r="N564"/>
  <c r="V564" s="1"/>
  <c r="N563"/>
  <c r="V563" s="1"/>
  <c r="N562"/>
  <c r="V562" s="1"/>
  <c r="N561"/>
  <c r="V561" s="1"/>
  <c r="N558"/>
  <c r="V558" s="1"/>
  <c r="N557"/>
  <c r="V557" s="1"/>
  <c r="N591"/>
  <c r="V591" s="1"/>
  <c r="N590"/>
  <c r="V590" s="1"/>
  <c r="N589"/>
  <c r="V589" s="1"/>
  <c r="N588"/>
  <c r="V588" s="1"/>
  <c r="N587"/>
  <c r="V587" s="1"/>
  <c r="N586"/>
  <c r="V586" s="1"/>
  <c r="N585"/>
  <c r="V585" s="1"/>
  <c r="N577"/>
  <c r="V577" s="1"/>
  <c r="N576"/>
  <c r="V576" s="1"/>
  <c r="N599"/>
  <c r="V599" s="1"/>
  <c r="N598"/>
  <c r="V598" s="1"/>
  <c r="N597"/>
  <c r="V597" s="1"/>
  <c r="V613"/>
  <c r="N611"/>
  <c r="V611" s="1"/>
  <c r="N610"/>
  <c r="V610" s="1"/>
  <c r="N605"/>
  <c r="V605" s="1"/>
  <c r="N606"/>
  <c r="V606" s="1"/>
  <c r="N604"/>
  <c r="V604" s="1"/>
  <c r="N615"/>
  <c r="V615" s="1"/>
  <c r="N614"/>
  <c r="V614" s="1"/>
  <c r="N623"/>
  <c r="V623" s="1"/>
  <c r="N622"/>
  <c r="V622" s="1"/>
  <c r="N621"/>
  <c r="V621" s="1"/>
  <c r="N620"/>
  <c r="V620" s="1"/>
  <c r="N619"/>
  <c r="V619" s="1"/>
  <c r="N618"/>
  <c r="V618" s="1"/>
  <c r="V617"/>
  <c r="N616"/>
  <c r="V616" s="1"/>
  <c r="N625"/>
  <c r="V625" s="1"/>
  <c r="N645"/>
  <c r="V645" s="1"/>
  <c r="N644"/>
  <c r="V644" s="1"/>
  <c r="N643"/>
  <c r="V643" s="1"/>
  <c r="N642"/>
  <c r="V642" s="1"/>
  <c r="N641"/>
  <c r="V641" s="1"/>
  <c r="N640"/>
  <c r="V640" s="1"/>
  <c r="N636"/>
  <c r="V636" s="1"/>
  <c r="N639"/>
  <c r="V639" s="1"/>
  <c r="N638"/>
  <c r="V638" s="1"/>
  <c r="N637"/>
  <c r="V637" s="1"/>
  <c r="N633"/>
  <c r="V633" s="1"/>
  <c r="N632"/>
  <c r="V632" s="1"/>
  <c r="N631"/>
  <c r="V631" s="1"/>
  <c r="N630"/>
  <c r="V630" s="1"/>
  <c r="N628"/>
  <c r="V628" s="1"/>
  <c r="N627"/>
  <c r="V627" s="1"/>
  <c r="N626"/>
  <c r="V626" s="1"/>
  <c r="N658"/>
  <c r="V658" s="1"/>
  <c r="N657"/>
  <c r="V657" s="1"/>
  <c r="N655"/>
  <c r="V655" s="1"/>
  <c r="N656"/>
  <c r="V656" s="1"/>
  <c r="N663"/>
  <c r="V663" s="1"/>
  <c r="N681"/>
  <c r="V681" s="1"/>
  <c r="N680"/>
  <c r="V680" s="1"/>
  <c r="N679"/>
  <c r="V679" s="1"/>
  <c r="N678"/>
  <c r="V678" s="1"/>
  <c r="N672"/>
  <c r="V672" s="1"/>
  <c r="N675"/>
  <c r="V675" s="1"/>
  <c r="N674"/>
  <c r="V674" s="1"/>
  <c r="V673"/>
  <c r="N669"/>
  <c r="V669" s="1"/>
  <c r="N668"/>
  <c r="V668" s="1"/>
  <c r="N666"/>
  <c r="V666" s="1"/>
  <c r="N665"/>
  <c r="V665" s="1"/>
  <c r="N664"/>
  <c r="V664" s="1"/>
  <c r="N694"/>
  <c r="V694" s="1"/>
  <c r="N693"/>
  <c r="V693" s="1"/>
  <c r="N692"/>
  <c r="N691"/>
  <c r="V691" s="1"/>
  <c r="N690"/>
  <c r="V690" s="1"/>
  <c r="N677"/>
  <c r="V677" s="1"/>
  <c r="N676"/>
  <c r="V676" s="1"/>
  <c r="N689"/>
  <c r="V689" s="1"/>
  <c r="N688"/>
  <c r="V688" s="1"/>
  <c r="N687"/>
  <c r="V687" s="1"/>
  <c r="N686"/>
  <c r="V686" s="1"/>
  <c r="N685"/>
  <c r="V685" s="1"/>
  <c r="N684"/>
  <c r="V684" s="1"/>
  <c r="N683"/>
  <c r="V683" s="1"/>
  <c r="N698"/>
  <c r="V698" s="1"/>
  <c r="N697"/>
  <c r="V697" s="1"/>
  <c r="N696"/>
  <c r="N703"/>
  <c r="V703" s="1"/>
  <c r="N702"/>
  <c r="N710"/>
  <c r="V710" s="1"/>
  <c r="N709"/>
  <c r="V709" s="1"/>
  <c r="N708"/>
  <c r="V708" s="1"/>
  <c r="N707"/>
  <c r="V707" s="1"/>
  <c r="N706"/>
  <c r="V706" s="1"/>
  <c r="N705"/>
  <c r="N714"/>
  <c r="V714" s="1"/>
  <c r="N716"/>
  <c r="N715" s="1"/>
  <c r="N720"/>
  <c r="V720" s="1"/>
  <c r="N719"/>
  <c r="V719" s="1"/>
  <c r="N718"/>
  <c r="N722"/>
  <c r="N721" s="1"/>
  <c r="N725"/>
  <c r="V725" s="1"/>
  <c r="N724"/>
  <c r="N726"/>
  <c r="V726" s="1"/>
  <c r="N728"/>
  <c r="N727" s="1"/>
  <c r="N733"/>
  <c r="N731" s="1"/>
  <c r="V742"/>
  <c r="N741"/>
  <c r="V741" s="1"/>
  <c r="N740"/>
  <c r="V740" s="1"/>
  <c r="N739"/>
  <c r="V739" s="1"/>
  <c r="N738"/>
  <c r="V738" s="1"/>
  <c r="N737"/>
  <c r="V737" s="1"/>
  <c r="N735"/>
  <c r="N748"/>
  <c r="V748" s="1"/>
  <c r="N747"/>
  <c r="V747" s="1"/>
  <c r="N746"/>
  <c r="V746" s="1"/>
  <c r="N745"/>
  <c r="V745" s="1"/>
  <c r="N744"/>
  <c r="V744" s="1"/>
  <c r="N752"/>
  <c r="N751" s="1"/>
  <c r="N760"/>
  <c r="V760" s="1"/>
  <c r="N759"/>
  <c r="N764"/>
  <c r="V764" s="1"/>
  <c r="N766"/>
  <c r="V766" s="1"/>
  <c r="N769"/>
  <c r="V769" s="1"/>
  <c r="N776"/>
  <c r="V776" s="1"/>
  <c r="N775"/>
  <c r="V775" s="1"/>
  <c r="N773"/>
  <c r="V773" s="1"/>
  <c r="N783"/>
  <c r="V783" s="1"/>
  <c r="N782"/>
  <c r="V782" s="1"/>
  <c r="N781"/>
  <c r="V781" s="1"/>
  <c r="N778"/>
  <c r="V778" s="1"/>
  <c r="N780"/>
  <c r="V780" s="1"/>
  <c r="N788"/>
  <c r="V788" s="1"/>
  <c r="N787"/>
  <c r="N792"/>
  <c r="V792" s="1"/>
  <c r="N791"/>
  <c r="N798"/>
  <c r="V798" s="1"/>
  <c r="N797"/>
  <c r="N802"/>
  <c r="V802" s="1"/>
  <c r="N801"/>
  <c r="V801" s="1"/>
  <c r="N800"/>
  <c r="N811"/>
  <c r="V811" s="1"/>
  <c r="N810"/>
  <c r="N813"/>
  <c r="V813" s="1"/>
  <c r="N815"/>
  <c r="N826"/>
  <c r="V826" s="1"/>
  <c r="N825"/>
  <c r="N830"/>
  <c r="N832"/>
  <c r="N836"/>
  <c r="N841"/>
  <c r="N844"/>
  <c r="V844" s="1"/>
  <c r="N843"/>
  <c r="N846"/>
  <c r="V846" s="1"/>
  <c r="N848"/>
  <c r="N857"/>
  <c r="V857" s="1"/>
  <c r="N856"/>
  <c r="V856" s="1"/>
  <c r="N855"/>
  <c r="V855" s="1"/>
  <c r="N854"/>
  <c r="V854" s="1"/>
  <c r="N853"/>
  <c r="V853" s="1"/>
  <c r="N852"/>
  <c r="V852" s="1"/>
  <c r="N851"/>
  <c r="V851" s="1"/>
  <c r="N850"/>
  <c r="N864"/>
  <c r="V864" s="1"/>
  <c r="N863"/>
  <c r="V863" s="1"/>
  <c r="N862"/>
  <c r="V862" s="1"/>
  <c r="N861"/>
  <c r="V861" s="1"/>
  <c r="N860"/>
  <c r="V860" s="1"/>
  <c r="N872"/>
  <c r="V872" s="1"/>
  <c r="N871"/>
  <c r="V871" s="1"/>
  <c r="N869"/>
  <c r="N877"/>
  <c r="V877" s="1"/>
  <c r="N875"/>
  <c r="V875" s="1"/>
  <c r="N876"/>
  <c r="V876" s="1"/>
  <c r="N874"/>
  <c r="N880"/>
  <c r="N878" s="1"/>
  <c r="N886"/>
  <c r="V886" s="1"/>
  <c r="N888"/>
  <c r="V888" s="1"/>
  <c r="N894"/>
  <c r="V894" s="1"/>
  <c r="N893"/>
  <c r="V893" s="1"/>
  <c r="N898"/>
  <c r="V898" s="1"/>
  <c r="N897"/>
  <c r="N901"/>
  <c r="V901" s="1"/>
  <c r="N900"/>
  <c r="N903"/>
  <c r="N910"/>
  <c r="V910" s="1"/>
  <c r="N908"/>
  <c r="V908" s="1"/>
  <c r="N907"/>
  <c r="V907" s="1"/>
  <c r="N906"/>
  <c r="V906" s="1"/>
  <c r="N905"/>
  <c r="V905" s="1"/>
  <c r="N916"/>
  <c r="V916" s="1"/>
  <c r="N915"/>
  <c r="V915" s="1"/>
  <c r="N914"/>
  <c r="V914" s="1"/>
  <c r="N912"/>
  <c r="V912" s="1"/>
  <c r="N926"/>
  <c r="V926" s="1"/>
  <c r="N925"/>
  <c r="V925" s="1"/>
  <c r="N924"/>
  <c r="V924" s="1"/>
  <c r="N923"/>
  <c r="V923" s="1"/>
  <c r="N922"/>
  <c r="V922" s="1"/>
  <c r="N921"/>
  <c r="V921" s="1"/>
  <c r="N920"/>
  <c r="V920" s="1"/>
  <c r="N919"/>
  <c r="V919" s="1"/>
  <c r="N918"/>
  <c r="V918" s="1"/>
  <c r="N917"/>
  <c r="V917" s="1"/>
  <c r="N936"/>
  <c r="V936" s="1"/>
  <c r="N935"/>
  <c r="V935" s="1"/>
  <c r="N934"/>
  <c r="V934" s="1"/>
  <c r="N933"/>
  <c r="V933" s="1"/>
  <c r="N932"/>
  <c r="V932" s="1"/>
  <c r="N929"/>
  <c r="V929" s="1"/>
  <c r="N928"/>
  <c r="V928" s="1"/>
  <c r="N942"/>
  <c r="V942" s="1"/>
  <c r="N941"/>
  <c r="V941" s="1"/>
  <c r="N952"/>
  <c r="V952" s="1"/>
  <c r="N940"/>
  <c r="V940" s="1"/>
  <c r="N956"/>
  <c r="V956" s="1"/>
  <c r="N955"/>
  <c r="V955" s="1"/>
  <c r="N954"/>
  <c r="V954" s="1"/>
  <c r="N953"/>
  <c r="V953" s="1"/>
  <c r="N951"/>
  <c r="V951" s="1"/>
  <c r="N950"/>
  <c r="V950" s="1"/>
  <c r="N949"/>
  <c r="V949" s="1"/>
  <c r="N948"/>
  <c r="V948" s="1"/>
  <c r="N947"/>
  <c r="V947" s="1"/>
  <c r="N946"/>
  <c r="V946" s="1"/>
  <c r="N945"/>
  <c r="V945" s="1"/>
  <c r="N944"/>
  <c r="V944" s="1"/>
  <c r="N943"/>
  <c r="V943" s="1"/>
  <c r="N963"/>
  <c r="V963" s="1"/>
  <c r="N961"/>
  <c r="V961" s="1"/>
  <c r="N960"/>
  <c r="V960" s="1"/>
  <c r="N959"/>
  <c r="V959" s="1"/>
  <c r="N973"/>
  <c r="V973" s="1"/>
  <c r="N972"/>
  <c r="V972" s="1"/>
  <c r="N971"/>
  <c r="V971" s="1"/>
  <c r="N970"/>
  <c r="V970" s="1"/>
  <c r="N969"/>
  <c r="V969" s="1"/>
  <c r="N968"/>
  <c r="V968" s="1"/>
  <c r="N967"/>
  <c r="V967" s="1"/>
  <c r="N965"/>
  <c r="V965" s="1"/>
  <c r="N964"/>
  <c r="V964" s="1"/>
  <c r="N981"/>
  <c r="V981" s="1"/>
  <c r="N988"/>
  <c r="V988" s="1"/>
  <c r="N982"/>
  <c r="V982" s="1"/>
  <c r="N980"/>
  <c r="V980" s="1"/>
  <c r="N979"/>
  <c r="V979" s="1"/>
  <c r="N978"/>
  <c r="V978" s="1"/>
  <c r="N975"/>
  <c r="V975" s="1"/>
  <c r="N977"/>
  <c r="V977" s="1"/>
  <c r="N974"/>
  <c r="V974" s="1"/>
  <c r="N991"/>
  <c r="V991" s="1"/>
  <c r="N987"/>
  <c r="V987" s="1"/>
  <c r="N986"/>
  <c r="V986" s="1"/>
  <c r="N985"/>
  <c r="V985" s="1"/>
  <c r="N984"/>
  <c r="V984" s="1"/>
  <c r="N990"/>
  <c r="V990" s="1"/>
  <c r="N989"/>
  <c r="V989" s="1"/>
  <c r="N983"/>
  <c r="V983" s="1"/>
  <c r="N998"/>
  <c r="V998" s="1"/>
  <c r="N997"/>
  <c r="V997" s="1"/>
  <c r="N996"/>
  <c r="V996" s="1"/>
  <c r="N995"/>
  <c r="V995" s="1"/>
  <c r="N994"/>
  <c r="V994" s="1"/>
  <c r="N1006"/>
  <c r="V1006" s="1"/>
  <c r="N1005"/>
  <c r="V1005" s="1"/>
  <c r="N1003"/>
  <c r="V1003" s="1"/>
  <c r="N1002"/>
  <c r="V1002" s="1"/>
  <c r="N1001"/>
  <c r="V1001" s="1"/>
  <c r="N1000"/>
  <c r="V1000" s="1"/>
  <c r="N999"/>
  <c r="V999" s="1"/>
  <c r="N1009"/>
  <c r="V1009" s="1"/>
  <c r="N1016"/>
  <c r="V1016" s="1"/>
  <c r="N1015"/>
  <c r="V1015" s="1"/>
  <c r="N1014"/>
  <c r="V1014" s="1"/>
  <c r="N1013"/>
  <c r="V1013" s="1"/>
  <c r="N1012"/>
  <c r="V1012" s="1"/>
  <c r="N1011"/>
  <c r="V1011" s="1"/>
  <c r="N1010"/>
  <c r="V1010" s="1"/>
  <c r="N1025"/>
  <c r="V1025" s="1"/>
  <c r="N1028"/>
  <c r="V1028" s="1"/>
  <c r="N1027"/>
  <c r="V1027" s="1"/>
  <c r="N1026"/>
  <c r="V1026" s="1"/>
  <c r="N1023"/>
  <c r="V1023" s="1"/>
  <c r="N1022"/>
  <c r="V1022" s="1"/>
  <c r="N1019"/>
  <c r="V1019" s="1"/>
  <c r="N1018"/>
  <c r="V1018" s="1"/>
  <c r="N1033"/>
  <c r="V1033" s="1"/>
  <c r="N1030"/>
  <c r="V1030" s="1"/>
  <c r="N1035"/>
  <c r="V1035" s="1"/>
  <c r="N1042"/>
  <c r="V1042" s="1"/>
  <c r="N1040"/>
  <c r="V1040" s="1"/>
  <c r="N1039"/>
  <c r="V1039" s="1"/>
  <c r="N1043"/>
  <c r="V1043" s="1"/>
  <c r="N1051"/>
  <c r="V1051" s="1"/>
  <c r="N1050"/>
  <c r="V1050" s="1"/>
  <c r="N1049"/>
  <c r="V1049" s="1"/>
  <c r="N1048"/>
  <c r="V1048" s="1"/>
  <c r="N1047"/>
  <c r="V1047" s="1"/>
  <c r="N1046"/>
  <c r="V1046" s="1"/>
  <c r="N1045"/>
  <c r="V1045" s="1"/>
  <c r="N1044"/>
  <c r="V1044" s="1"/>
  <c r="N1062"/>
  <c r="V1062" s="1"/>
  <c r="N1061"/>
  <c r="V1061" s="1"/>
  <c r="N1063"/>
  <c r="V1063" s="1"/>
  <c r="N1060"/>
  <c r="V1060" s="1"/>
  <c r="N1058"/>
  <c r="V1058" s="1"/>
  <c r="N1053"/>
  <c r="V1053" s="1"/>
  <c r="N1052"/>
  <c r="V1052" s="1"/>
  <c r="N1057"/>
  <c r="V1057" s="1"/>
  <c r="N1056"/>
  <c r="V1056" s="1"/>
  <c r="N1055"/>
  <c r="V1055" s="1"/>
  <c r="N1054"/>
  <c r="V1054" s="1"/>
  <c r="N1067"/>
  <c r="V1067" s="1"/>
  <c r="N1072"/>
  <c r="V1072" s="1"/>
  <c r="N1071"/>
  <c r="V1071" s="1"/>
  <c r="N1065"/>
  <c r="V1065" s="1"/>
  <c r="N1085"/>
  <c r="V1085" s="1"/>
  <c r="N1084"/>
  <c r="V1084" s="1"/>
  <c r="N1083"/>
  <c r="V1083" s="1"/>
  <c r="N1082"/>
  <c r="V1082" s="1"/>
  <c r="N1081"/>
  <c r="V1081" s="1"/>
  <c r="N1080"/>
  <c r="V1080" s="1"/>
  <c r="N1079"/>
  <c r="V1079" s="1"/>
  <c r="N1078"/>
  <c r="V1078" s="1"/>
  <c r="N1077"/>
  <c r="V1077" s="1"/>
  <c r="N1076"/>
  <c r="V1076" s="1"/>
  <c r="N1100"/>
  <c r="V1100" s="1"/>
  <c r="N1099"/>
  <c r="V1099" s="1"/>
  <c r="N1098"/>
  <c r="V1098" s="1"/>
  <c r="N1097"/>
  <c r="V1097" s="1"/>
  <c r="N1096"/>
  <c r="V1096" s="1"/>
  <c r="N1095"/>
  <c r="V1095" s="1"/>
  <c r="N1094"/>
  <c r="V1094" s="1"/>
  <c r="N1093"/>
  <c r="V1093" s="1"/>
  <c r="N1104"/>
  <c r="N1108"/>
  <c r="N1112"/>
  <c r="V1112" s="1"/>
  <c r="N1111"/>
  <c r="V1111" s="1"/>
  <c r="N1110"/>
  <c r="N711"/>
  <c r="V711" s="1"/>
  <c r="N1115"/>
  <c r="V1115" s="1"/>
  <c r="N1114"/>
  <c r="N1118"/>
  <c r="V1118" s="1"/>
  <c r="N1117"/>
  <c r="N1120"/>
  <c r="N1124"/>
  <c r="N1128"/>
  <c r="V1128" s="1"/>
  <c r="N1127"/>
  <c r="N1140"/>
  <c r="V1140" s="1"/>
  <c r="N1139"/>
  <c r="V1139" s="1"/>
  <c r="N1138"/>
  <c r="N1146"/>
  <c r="V1146" s="1"/>
  <c r="N1145"/>
  <c r="V1145" s="1"/>
  <c r="N1144"/>
  <c r="V1144" s="1"/>
  <c r="N1143"/>
  <c r="V1143" s="1"/>
  <c r="N1142"/>
  <c r="V1142" s="1"/>
  <c r="N1137"/>
  <c r="V1137" s="1"/>
  <c r="N1136"/>
  <c r="V1136" s="1"/>
  <c r="N1135"/>
  <c r="N1152"/>
  <c r="V1152" s="1"/>
  <c r="N1153"/>
  <c r="V1153" s="1"/>
  <c r="V1141"/>
  <c r="V1132"/>
  <c r="V1122"/>
  <c r="V1106"/>
  <c r="V1102"/>
  <c r="V1087"/>
  <c r="V1069"/>
  <c r="V1068"/>
  <c r="V1064"/>
  <c r="V1031"/>
  <c r="V993"/>
  <c r="V992"/>
  <c r="V957"/>
  <c r="V911"/>
  <c r="V904"/>
  <c r="V895"/>
  <c r="V884"/>
  <c r="V882"/>
  <c r="V858"/>
  <c r="V845"/>
  <c r="V823"/>
  <c r="V808"/>
  <c r="V807"/>
  <c r="V795"/>
  <c r="V794"/>
  <c r="V790"/>
  <c r="V779"/>
  <c r="V767"/>
  <c r="V765"/>
  <c r="V763"/>
  <c r="V713"/>
  <c r="V712"/>
  <c r="V662"/>
  <c r="V661"/>
  <c r="V660"/>
  <c r="V659"/>
  <c r="V652"/>
  <c r="V624"/>
  <c r="V1038"/>
  <c r="V1037"/>
  <c r="V612"/>
  <c r="V546"/>
  <c r="V508"/>
  <c r="V927"/>
  <c r="V492"/>
  <c r="V491"/>
  <c r="V482"/>
  <c r="V481"/>
  <c r="V470"/>
  <c r="V458"/>
  <c r="V447"/>
  <c r="V439"/>
  <c r="V434"/>
  <c r="V428"/>
  <c r="V414"/>
  <c r="V413"/>
  <c r="V385"/>
  <c r="V378"/>
  <c r="V376"/>
  <c r="V350"/>
  <c r="V343"/>
  <c r="V337"/>
  <c r="V336"/>
  <c r="V326"/>
  <c r="V316"/>
  <c r="V311"/>
  <c r="V310"/>
  <c r="R1153"/>
  <c r="R1152"/>
  <c r="R1146"/>
  <c r="R1145"/>
  <c r="R1144"/>
  <c r="R1143"/>
  <c r="R1142"/>
  <c r="R1137"/>
  <c r="R1136"/>
  <c r="R1135"/>
  <c r="R1141"/>
  <c r="R1140"/>
  <c r="R1139"/>
  <c r="R1138"/>
  <c r="R1132"/>
  <c r="R1131" s="1"/>
  <c r="R1127"/>
  <c r="R1125" s="1"/>
  <c r="R1124"/>
  <c r="R1123" s="1"/>
  <c r="R1120"/>
  <c r="R1119" s="1"/>
  <c r="R1118"/>
  <c r="R1117"/>
  <c r="R711"/>
  <c r="R1115"/>
  <c r="R1114"/>
  <c r="R1112"/>
  <c r="R1111"/>
  <c r="R1110"/>
  <c r="R1108"/>
  <c r="R1107" s="1"/>
  <c r="R1104"/>
  <c r="R1103" s="1"/>
  <c r="R1102"/>
  <c r="R1101" s="1"/>
  <c r="R1100"/>
  <c r="R1099"/>
  <c r="R1098"/>
  <c r="R1097"/>
  <c r="R1096"/>
  <c r="R1095"/>
  <c r="R1094"/>
  <c r="R1093"/>
  <c r="R1092"/>
  <c r="R1091"/>
  <c r="R1090"/>
  <c r="R1089"/>
  <c r="R1087"/>
  <c r="R1085"/>
  <c r="R1084"/>
  <c r="R1083"/>
  <c r="R1082"/>
  <c r="R1081"/>
  <c r="R1080"/>
  <c r="R1079"/>
  <c r="R1078"/>
  <c r="R1077"/>
  <c r="R1076"/>
  <c r="R1069"/>
  <c r="R1068"/>
  <c r="R1067"/>
  <c r="R1072"/>
  <c r="R1071"/>
  <c r="R1065"/>
  <c r="R1064"/>
  <c r="R1062"/>
  <c r="R1061"/>
  <c r="R1063"/>
  <c r="R1060"/>
  <c r="R1058"/>
  <c r="R1053"/>
  <c r="R1052"/>
  <c r="R1057"/>
  <c r="R1056"/>
  <c r="R1055"/>
  <c r="R1054"/>
  <c r="R1051"/>
  <c r="R1050"/>
  <c r="R1049"/>
  <c r="R1048"/>
  <c r="R1047"/>
  <c r="R1046"/>
  <c r="R1045"/>
  <c r="R1044"/>
  <c r="R1043"/>
  <c r="R1042"/>
  <c r="R1040"/>
  <c r="R1039"/>
  <c r="R1036"/>
  <c r="R1035"/>
  <c r="R1033"/>
  <c r="R1030"/>
  <c r="R1031"/>
  <c r="R1025"/>
  <c r="R1028"/>
  <c r="R1027"/>
  <c r="R1026"/>
  <c r="R1023"/>
  <c r="R1022"/>
  <c r="R1019"/>
  <c r="R1018"/>
  <c r="R1017"/>
  <c r="R1016"/>
  <c r="R1015"/>
  <c r="R1014"/>
  <c r="R1013"/>
  <c r="R1012"/>
  <c r="R1011"/>
  <c r="R1010"/>
  <c r="R1009"/>
  <c r="R1007"/>
  <c r="R1006"/>
  <c r="R1005"/>
  <c r="R1003"/>
  <c r="R1002"/>
  <c r="R1001"/>
  <c r="R1000"/>
  <c r="R999"/>
  <c r="R998"/>
  <c r="R997"/>
  <c r="R996"/>
  <c r="R995"/>
  <c r="R994"/>
  <c r="R993"/>
  <c r="R992"/>
  <c r="R991"/>
  <c r="R987"/>
  <c r="R986"/>
  <c r="R985"/>
  <c r="R984"/>
  <c r="R990"/>
  <c r="R989"/>
  <c r="R983"/>
  <c r="R981"/>
  <c r="R988"/>
  <c r="R982"/>
  <c r="R980"/>
  <c r="R979"/>
  <c r="R978"/>
  <c r="R975"/>
  <c r="R977"/>
  <c r="R974"/>
  <c r="R973"/>
  <c r="R972"/>
  <c r="R971"/>
  <c r="R970"/>
  <c r="R969"/>
  <c r="R968"/>
  <c r="R967"/>
  <c r="R965"/>
  <c r="R964"/>
  <c r="R963"/>
  <c r="R961"/>
  <c r="R960"/>
  <c r="R959"/>
  <c r="R957"/>
  <c r="R956"/>
  <c r="R955"/>
  <c r="R954"/>
  <c r="R953"/>
  <c r="R951"/>
  <c r="R950"/>
  <c r="R949"/>
  <c r="R948"/>
  <c r="R947"/>
  <c r="R946"/>
  <c r="R945"/>
  <c r="R944"/>
  <c r="R943"/>
  <c r="R942"/>
  <c r="R941"/>
  <c r="R952"/>
  <c r="R940"/>
  <c r="R939"/>
  <c r="R936"/>
  <c r="R935"/>
  <c r="R934"/>
  <c r="R933"/>
  <c r="R932"/>
  <c r="R929"/>
  <c r="R928"/>
  <c r="R926"/>
  <c r="R925"/>
  <c r="R924"/>
  <c r="R923"/>
  <c r="R922"/>
  <c r="R921"/>
  <c r="R920"/>
  <c r="R919"/>
  <c r="R918"/>
  <c r="R917"/>
  <c r="R916"/>
  <c r="R915"/>
  <c r="R914"/>
  <c r="R912"/>
  <c r="R911"/>
  <c r="R910"/>
  <c r="R908"/>
  <c r="R907"/>
  <c r="R906"/>
  <c r="R905"/>
  <c r="R904"/>
  <c r="R903"/>
  <c r="R901"/>
  <c r="R900"/>
  <c r="R898"/>
  <c r="R897"/>
  <c r="R895"/>
  <c r="R894"/>
  <c r="R893"/>
  <c r="R892"/>
  <c r="R891"/>
  <c r="R888"/>
  <c r="R886"/>
  <c r="R884"/>
  <c r="R883"/>
  <c r="R882"/>
  <c r="R880"/>
  <c r="R878" s="1"/>
  <c r="R877"/>
  <c r="R875"/>
  <c r="R876"/>
  <c r="R874"/>
  <c r="R872"/>
  <c r="R871"/>
  <c r="R869"/>
  <c r="R864"/>
  <c r="R863"/>
  <c r="R862"/>
  <c r="R861"/>
  <c r="R860"/>
  <c r="R859"/>
  <c r="R858"/>
  <c r="R857"/>
  <c r="R856"/>
  <c r="R855"/>
  <c r="R854"/>
  <c r="R853"/>
  <c r="R852"/>
  <c r="R851"/>
  <c r="R850"/>
  <c r="R843"/>
  <c r="R842" s="1"/>
  <c r="R841"/>
  <c r="R840" s="1"/>
  <c r="R832"/>
  <c r="R831" s="1"/>
  <c r="R821"/>
  <c r="R820"/>
  <c r="R817"/>
  <c r="R815"/>
  <c r="R814" s="1"/>
  <c r="R813"/>
  <c r="R812"/>
  <c r="R811"/>
  <c r="R810"/>
  <c r="R808"/>
  <c r="R807"/>
  <c r="R805"/>
  <c r="R804" s="1"/>
  <c r="R802"/>
  <c r="R801"/>
  <c r="R800"/>
  <c r="R798"/>
  <c r="R797"/>
  <c r="R795"/>
  <c r="R794"/>
  <c r="R792"/>
  <c r="R791"/>
  <c r="R790"/>
  <c r="R788"/>
  <c r="R787"/>
  <c r="R783"/>
  <c r="R782"/>
  <c r="R781"/>
  <c r="R778"/>
  <c r="R780"/>
  <c r="R779"/>
  <c r="R777"/>
  <c r="R776"/>
  <c r="R775"/>
  <c r="R773"/>
  <c r="R770"/>
  <c r="R769"/>
  <c r="R768"/>
  <c r="R767"/>
  <c r="R766"/>
  <c r="R765"/>
  <c r="R764"/>
  <c r="R763"/>
  <c r="R762"/>
  <c r="R760"/>
  <c r="R759"/>
  <c r="R752"/>
  <c r="R751" s="1"/>
  <c r="R748"/>
  <c r="R747"/>
  <c r="R746"/>
  <c r="R745"/>
  <c r="R744"/>
  <c r="R742"/>
  <c r="R741"/>
  <c r="R740"/>
  <c r="R739"/>
  <c r="R738"/>
  <c r="R737"/>
  <c r="R735"/>
  <c r="R733"/>
  <c r="R731" s="1"/>
  <c r="R728"/>
  <c r="R727" s="1"/>
  <c r="R726"/>
  <c r="R725"/>
  <c r="R724"/>
  <c r="R722"/>
  <c r="R721" s="1"/>
  <c r="R720"/>
  <c r="R719"/>
  <c r="R718"/>
  <c r="R716"/>
  <c r="R715" s="1"/>
  <c r="R713"/>
  <c r="R714"/>
  <c r="R712"/>
  <c r="R710"/>
  <c r="R709"/>
  <c r="R708"/>
  <c r="R707"/>
  <c r="R706"/>
  <c r="R705"/>
  <c r="R703"/>
  <c r="R702"/>
  <c r="R700"/>
  <c r="R699" s="1"/>
  <c r="R698"/>
  <c r="R697"/>
  <c r="R696"/>
  <c r="R694"/>
  <c r="R693"/>
  <c r="R692"/>
  <c r="R691"/>
  <c r="R690"/>
  <c r="R677"/>
  <c r="R676"/>
  <c r="R689"/>
  <c r="R688"/>
  <c r="R687"/>
  <c r="R686"/>
  <c r="R685"/>
  <c r="R684"/>
  <c r="R683"/>
  <c r="R682"/>
  <c r="R681"/>
  <c r="R680"/>
  <c r="R679"/>
  <c r="R678"/>
  <c r="R672"/>
  <c r="R675"/>
  <c r="R674"/>
  <c r="R673"/>
  <c r="R669"/>
  <c r="R668"/>
  <c r="R666"/>
  <c r="R665"/>
  <c r="R664"/>
  <c r="R663"/>
  <c r="R662"/>
  <c r="R661"/>
  <c r="R660"/>
  <c r="R659"/>
  <c r="R658"/>
  <c r="R657"/>
  <c r="R655"/>
  <c r="R656"/>
  <c r="R652"/>
  <c r="R645"/>
  <c r="R644"/>
  <c r="R643"/>
  <c r="R642"/>
  <c r="R641"/>
  <c r="R640"/>
  <c r="R636"/>
  <c r="R639"/>
  <c r="R638"/>
  <c r="R637"/>
  <c r="R633"/>
  <c r="R632"/>
  <c r="R631"/>
  <c r="R630"/>
  <c r="R628"/>
  <c r="R627"/>
  <c r="R626"/>
  <c r="R625"/>
  <c r="R624"/>
  <c r="R623"/>
  <c r="R622"/>
  <c r="R621"/>
  <c r="R620"/>
  <c r="R619"/>
  <c r="R618"/>
  <c r="R617"/>
  <c r="R616"/>
  <c r="R1038"/>
  <c r="R1037"/>
  <c r="R615"/>
  <c r="R614"/>
  <c r="R612"/>
  <c r="R613"/>
  <c r="R611"/>
  <c r="R610"/>
  <c r="R605"/>
  <c r="R606"/>
  <c r="R604"/>
  <c r="R602"/>
  <c r="R599"/>
  <c r="R598"/>
  <c r="R597"/>
  <c r="R592"/>
  <c r="R591"/>
  <c r="R590"/>
  <c r="R589"/>
  <c r="R588"/>
  <c r="R587"/>
  <c r="R586"/>
  <c r="R585"/>
  <c r="R577"/>
  <c r="R576"/>
  <c r="R574"/>
  <c r="R573"/>
  <c r="R572"/>
  <c r="R571"/>
  <c r="R570"/>
  <c r="R568"/>
  <c r="R567"/>
  <c r="R566"/>
  <c r="R565"/>
  <c r="R564"/>
  <c r="R563"/>
  <c r="R562"/>
  <c r="R561"/>
  <c r="R558"/>
  <c r="R557"/>
  <c r="R556"/>
  <c r="R560"/>
  <c r="R559"/>
  <c r="R551"/>
  <c r="R550"/>
  <c r="R548"/>
  <c r="R547"/>
  <c r="R546"/>
  <c r="R544"/>
  <c r="R539"/>
  <c r="R538"/>
  <c r="R537"/>
  <c r="R543"/>
  <c r="R542"/>
  <c r="R541"/>
  <c r="R540"/>
  <c r="R536"/>
  <c r="R535"/>
  <c r="R534"/>
  <c r="R518"/>
  <c r="R533"/>
  <c r="R532"/>
  <c r="R531"/>
  <c r="R530"/>
  <c r="R529"/>
  <c r="R528"/>
  <c r="R527"/>
  <c r="R526"/>
  <c r="R525"/>
  <c r="R524"/>
  <c r="R523"/>
  <c r="R522"/>
  <c r="R521"/>
  <c r="R520"/>
  <c r="R519"/>
  <c r="R517"/>
  <c r="R516"/>
  <c r="R508"/>
  <c r="R501"/>
  <c r="R500"/>
  <c r="R499"/>
  <c r="R498"/>
  <c r="R497"/>
  <c r="R496"/>
  <c r="R495"/>
  <c r="R494"/>
  <c r="R927"/>
  <c r="R492"/>
  <c r="R491"/>
  <c r="R489"/>
  <c r="R488"/>
  <c r="R487"/>
  <c r="R486"/>
  <c r="R485"/>
  <c r="R484"/>
  <c r="R483"/>
  <c r="R482"/>
  <c r="R481"/>
  <c r="R477"/>
  <c r="R476"/>
  <c r="R475"/>
  <c r="R474"/>
  <c r="R473"/>
  <c r="R472"/>
  <c r="R471"/>
  <c r="R470"/>
  <c r="R469"/>
  <c r="R468"/>
  <c r="R466"/>
  <c r="R467"/>
  <c r="R465"/>
  <c r="R461"/>
  <c r="R460"/>
  <c r="R459"/>
  <c r="R458"/>
  <c r="R454"/>
  <c r="R453" s="1"/>
  <c r="R452"/>
  <c r="R451"/>
  <c r="R447"/>
  <c r="R446" s="1"/>
  <c r="R445"/>
  <c r="R444"/>
  <c r="R443"/>
  <c r="R442"/>
  <c r="R441"/>
  <c r="R440"/>
  <c r="R439"/>
  <c r="R437"/>
  <c r="R436"/>
  <c r="R435"/>
  <c r="R434"/>
  <c r="R438"/>
  <c r="R432"/>
  <c r="R431"/>
  <c r="R428"/>
  <c r="R426"/>
  <c r="R425" s="1"/>
  <c r="R424"/>
  <c r="R423" s="1"/>
  <c r="R422"/>
  <c r="R421"/>
  <c r="R420"/>
  <c r="R419"/>
  <c r="R418"/>
  <c r="R417"/>
  <c r="R416"/>
  <c r="R414"/>
  <c r="R413"/>
  <c r="R412"/>
  <c r="R411"/>
  <c r="R410"/>
  <c r="R409"/>
  <c r="R408"/>
  <c r="R407"/>
  <c r="R404"/>
  <c r="R403" s="1"/>
  <c r="R402"/>
  <c r="R401"/>
  <c r="R400"/>
  <c r="R399"/>
  <c r="R398"/>
  <c r="R396"/>
  <c r="R395"/>
  <c r="R394"/>
  <c r="R397"/>
  <c r="R393"/>
  <c r="R391"/>
  <c r="R390"/>
  <c r="R388"/>
  <c r="R386"/>
  <c r="R385"/>
  <c r="R383"/>
  <c r="R378"/>
  <c r="R372" s="1"/>
  <c r="R356"/>
  <c r="R355" s="1"/>
  <c r="R343"/>
  <c r="R330"/>
  <c r="R327" s="1"/>
  <c r="R326"/>
  <c r="R325" s="1"/>
  <c r="R322"/>
  <c r="R321" s="1"/>
  <c r="R311"/>
  <c r="R308"/>
  <c r="R307"/>
  <c r="R296"/>
  <c r="R294"/>
  <c r="R290"/>
  <c r="R287"/>
  <c r="D957"/>
  <c r="V839" l="1"/>
  <c r="N837"/>
  <c r="N824"/>
  <c r="R381"/>
  <c r="R427"/>
  <c r="R450"/>
  <c r="R734"/>
  <c r="N717"/>
  <c r="N372"/>
  <c r="N315"/>
  <c r="N450"/>
  <c r="N368"/>
  <c r="R286"/>
  <c r="R695"/>
  <c r="R723"/>
  <c r="N734"/>
  <c r="N701"/>
  <c r="N427"/>
  <c r="N405"/>
  <c r="N327"/>
  <c r="N351"/>
  <c r="N291"/>
  <c r="V348"/>
  <c r="N347"/>
  <c r="N286"/>
  <c r="R415"/>
  <c r="R701"/>
  <c r="R717"/>
  <c r="R405"/>
  <c r="R291"/>
  <c r="R704"/>
  <c r="N723"/>
  <c r="N704"/>
  <c r="N695"/>
  <c r="N321"/>
  <c r="N364"/>
  <c r="V692"/>
  <c r="N865"/>
  <c r="R865"/>
  <c r="V1135"/>
  <c r="N1133"/>
  <c r="R1133"/>
  <c r="R902"/>
  <c r="R789"/>
  <c r="R849"/>
  <c r="R1109"/>
  <c r="R758"/>
  <c r="R796"/>
  <c r="R896"/>
  <c r="V424"/>
  <c r="V404"/>
  <c r="V380"/>
  <c r="V352"/>
  <c r="V332"/>
  <c r="V314"/>
  <c r="V292"/>
  <c r="V365"/>
  <c r="V1138"/>
  <c r="V1110"/>
  <c r="N1109"/>
  <c r="V1104"/>
  <c r="N1103"/>
  <c r="V874"/>
  <c r="N873"/>
  <c r="V869"/>
  <c r="V850"/>
  <c r="N849"/>
  <c r="V848"/>
  <c r="N847"/>
  <c r="V841"/>
  <c r="N840"/>
  <c r="V825"/>
  <c r="V810"/>
  <c r="N809"/>
  <c r="V752"/>
  <c r="V724"/>
  <c r="V696"/>
  <c r="V451"/>
  <c r="V426"/>
  <c r="V370"/>
  <c r="V356"/>
  <c r="V322"/>
  <c r="V287"/>
  <c r="V383"/>
  <c r="V454"/>
  <c r="V805"/>
  <c r="N804"/>
  <c r="R793"/>
  <c r="R799"/>
  <c r="R806"/>
  <c r="R881"/>
  <c r="R899"/>
  <c r="R1113"/>
  <c r="V1124"/>
  <c r="N1123"/>
  <c r="V836"/>
  <c r="N835"/>
  <c r="V797"/>
  <c r="N796"/>
  <c r="V1127"/>
  <c r="N1125"/>
  <c r="V1117"/>
  <c r="N1116"/>
  <c r="V1108"/>
  <c r="N1107"/>
  <c r="V900"/>
  <c r="N899"/>
  <c r="V880"/>
  <c r="V830"/>
  <c r="N829"/>
  <c r="V791"/>
  <c r="N789"/>
  <c r="V718"/>
  <c r="V459"/>
  <c r="V373"/>
  <c r="V340"/>
  <c r="V317"/>
  <c r="R786"/>
  <c r="R816"/>
  <c r="R873"/>
  <c r="R1116"/>
  <c r="V1114"/>
  <c r="N1113"/>
  <c r="V897"/>
  <c r="N896"/>
  <c r="V787"/>
  <c r="N786"/>
  <c r="V733"/>
  <c r="V1120"/>
  <c r="N1119"/>
  <c r="V903"/>
  <c r="V843"/>
  <c r="N842"/>
  <c r="V832"/>
  <c r="N831"/>
  <c r="V815"/>
  <c r="N814"/>
  <c r="V800"/>
  <c r="N799"/>
  <c r="V759"/>
  <c r="N758"/>
  <c r="V735"/>
  <c r="V728"/>
  <c r="V722"/>
  <c r="V716"/>
  <c r="V702"/>
  <c r="V431"/>
  <c r="V406"/>
  <c r="V361"/>
  <c r="V329"/>
  <c r="R809"/>
  <c r="V334"/>
  <c r="V705"/>
  <c r="C957"/>
  <c r="N417"/>
  <c r="V417" s="1"/>
  <c r="N416"/>
  <c r="V282"/>
  <c r="V283"/>
  <c r="N264"/>
  <c r="D265"/>
  <c r="D264" s="1"/>
  <c r="N415" l="1"/>
  <c r="V416"/>
  <c r="V280"/>
  <c r="N270"/>
  <c r="V27"/>
  <c r="N26"/>
  <c r="R270"/>
  <c r="V265"/>
  <c r="C265"/>
  <c r="C264" s="1"/>
  <c r="C20" l="1"/>
  <c r="C19"/>
  <c r="C298"/>
  <c r="C18"/>
  <c r="C15"/>
  <c r="C14"/>
  <c r="C17"/>
  <c r="U1151"/>
  <c r="T1151"/>
  <c r="S1151"/>
  <c r="R1151"/>
  <c r="Q1151"/>
  <c r="P1151"/>
  <c r="O1151"/>
  <c r="N1151"/>
  <c r="M1151"/>
  <c r="L1151"/>
  <c r="K1151"/>
  <c r="J1151"/>
  <c r="U761"/>
  <c r="U757" s="1"/>
  <c r="T761"/>
  <c r="T757" s="1"/>
  <c r="S761"/>
  <c r="Q761"/>
  <c r="P761"/>
  <c r="O761"/>
  <c r="O757" s="1"/>
  <c r="M761"/>
  <c r="L761"/>
  <c r="K761"/>
  <c r="J761"/>
  <c r="D1128"/>
  <c r="C1128" s="1"/>
  <c r="D1127"/>
  <c r="D1120"/>
  <c r="D1114"/>
  <c r="D1112"/>
  <c r="C1112" s="1"/>
  <c r="D1110"/>
  <c r="D1100"/>
  <c r="C1100" s="1"/>
  <c r="D1099"/>
  <c r="C1099" s="1"/>
  <c r="D1098"/>
  <c r="C1098" s="1"/>
  <c r="D1097"/>
  <c r="C1097" s="1"/>
  <c r="D1096"/>
  <c r="C1096" s="1"/>
  <c r="D1095"/>
  <c r="C1095" s="1"/>
  <c r="D1094"/>
  <c r="C1094" s="1"/>
  <c r="D1093"/>
  <c r="C1093" s="1"/>
  <c r="D1089"/>
  <c r="C1089" s="1"/>
  <c r="D1087"/>
  <c r="D1085"/>
  <c r="C1085" s="1"/>
  <c r="D1084"/>
  <c r="C1084" s="1"/>
  <c r="D1083"/>
  <c r="C1083" s="1"/>
  <c r="D1082"/>
  <c r="C1082" s="1"/>
  <c r="D1081"/>
  <c r="C1081" s="1"/>
  <c r="D1080"/>
  <c r="C1080" s="1"/>
  <c r="D1079"/>
  <c r="C1079" s="1"/>
  <c r="D1078"/>
  <c r="C1078" s="1"/>
  <c r="D1077"/>
  <c r="C1077" s="1"/>
  <c r="D1076"/>
  <c r="C1076" s="1"/>
  <c r="D1069"/>
  <c r="C1069" s="1"/>
  <c r="D1068"/>
  <c r="C1068" s="1"/>
  <c r="D1067"/>
  <c r="C1067" s="1"/>
  <c r="D1072"/>
  <c r="C1072" s="1"/>
  <c r="D1071"/>
  <c r="C1071" s="1"/>
  <c r="D1065"/>
  <c r="C1065" s="1"/>
  <c r="D1062"/>
  <c r="C1062" s="1"/>
  <c r="D1061"/>
  <c r="C1061" s="1"/>
  <c r="D1063"/>
  <c r="C1063" s="1"/>
  <c r="D1060"/>
  <c r="C1060" s="1"/>
  <c r="D1058"/>
  <c r="C1058" s="1"/>
  <c r="D1053"/>
  <c r="C1053" s="1"/>
  <c r="D1052"/>
  <c r="C1052" s="1"/>
  <c r="D1057"/>
  <c r="C1057" s="1"/>
  <c r="D1056"/>
  <c r="C1056" s="1"/>
  <c r="D1055"/>
  <c r="C1055" s="1"/>
  <c r="D1054"/>
  <c r="C1054" s="1"/>
  <c r="D1051"/>
  <c r="C1051" s="1"/>
  <c r="D1050"/>
  <c r="C1050" s="1"/>
  <c r="D1049"/>
  <c r="C1049" s="1"/>
  <c r="D1048"/>
  <c r="C1048" s="1"/>
  <c r="D1047"/>
  <c r="C1047" s="1"/>
  <c r="D1046"/>
  <c r="C1046" s="1"/>
  <c r="D1045"/>
  <c r="C1045" s="1"/>
  <c r="D1044"/>
  <c r="C1044" s="1"/>
  <c r="D1042"/>
  <c r="C1042" s="1"/>
  <c r="D1040"/>
  <c r="C1040" s="1"/>
  <c r="D1039"/>
  <c r="C1039" s="1"/>
  <c r="D1036"/>
  <c r="C1036" s="1"/>
  <c r="D1035"/>
  <c r="C1035" s="1"/>
  <c r="D1033"/>
  <c r="C1033" s="1"/>
  <c r="D1031"/>
  <c r="C1031" s="1"/>
  <c r="D1025"/>
  <c r="C1025" s="1"/>
  <c r="D1028"/>
  <c r="C1028" s="1"/>
  <c r="D1027"/>
  <c r="C1027" s="1"/>
  <c r="D1023"/>
  <c r="C1023" s="1"/>
  <c r="D1022"/>
  <c r="C1022" s="1"/>
  <c r="D1019"/>
  <c r="C1019" s="1"/>
  <c r="D1018"/>
  <c r="C1018" s="1"/>
  <c r="D1017"/>
  <c r="C1017" s="1"/>
  <c r="D1016"/>
  <c r="C1016" s="1"/>
  <c r="D1015"/>
  <c r="C1015" s="1"/>
  <c r="D1014"/>
  <c r="C1014" s="1"/>
  <c r="D1013"/>
  <c r="C1013" s="1"/>
  <c r="D1012"/>
  <c r="C1012" s="1"/>
  <c r="D1011"/>
  <c r="C1011" s="1"/>
  <c r="D1010"/>
  <c r="C1010" s="1"/>
  <c r="D1009"/>
  <c r="C1009" s="1"/>
  <c r="D1007"/>
  <c r="C1007" s="1"/>
  <c r="D1006"/>
  <c r="C1006" s="1"/>
  <c r="D1005"/>
  <c r="C1005" s="1"/>
  <c r="D1003"/>
  <c r="C1003" s="1"/>
  <c r="D1002"/>
  <c r="C1002" s="1"/>
  <c r="D1001"/>
  <c r="C1001" s="1"/>
  <c r="D1000"/>
  <c r="C1000" s="1"/>
  <c r="D998"/>
  <c r="C998" s="1"/>
  <c r="D997"/>
  <c r="C997" s="1"/>
  <c r="D996"/>
  <c r="C996" s="1"/>
  <c r="D995"/>
  <c r="C995" s="1"/>
  <c r="D994"/>
  <c r="C994" s="1"/>
  <c r="D991"/>
  <c r="C991" s="1"/>
  <c r="D987"/>
  <c r="C987" s="1"/>
  <c r="D986"/>
  <c r="C986" s="1"/>
  <c r="D985"/>
  <c r="C985" s="1"/>
  <c r="D984"/>
  <c r="C984" s="1"/>
  <c r="D990"/>
  <c r="C990" s="1"/>
  <c r="D989"/>
  <c r="C989" s="1"/>
  <c r="D983"/>
  <c r="C983" s="1"/>
  <c r="D981"/>
  <c r="C981" s="1"/>
  <c r="D988"/>
  <c r="C988" s="1"/>
  <c r="D982"/>
  <c r="C982" s="1"/>
  <c r="D980"/>
  <c r="C980" s="1"/>
  <c r="D979"/>
  <c r="C979" s="1"/>
  <c r="D978"/>
  <c r="D975"/>
  <c r="C975" s="1"/>
  <c r="D977"/>
  <c r="C977" s="1"/>
  <c r="D974"/>
  <c r="C974" s="1"/>
  <c r="D973"/>
  <c r="C973" s="1"/>
  <c r="D972"/>
  <c r="C972" s="1"/>
  <c r="D971"/>
  <c r="C971" s="1"/>
  <c r="D970"/>
  <c r="C970" s="1"/>
  <c r="D969"/>
  <c r="C969" s="1"/>
  <c r="D968"/>
  <c r="C968" s="1"/>
  <c r="D967"/>
  <c r="C967" s="1"/>
  <c r="D964"/>
  <c r="C964" s="1"/>
  <c r="D963"/>
  <c r="C963" s="1"/>
  <c r="D960"/>
  <c r="C960" s="1"/>
  <c r="D959"/>
  <c r="C959" s="1"/>
  <c r="D956"/>
  <c r="C956" s="1"/>
  <c r="D955"/>
  <c r="C955" s="1"/>
  <c r="D954"/>
  <c r="C954" s="1"/>
  <c r="D953"/>
  <c r="C953" s="1"/>
  <c r="D951"/>
  <c r="C951" s="1"/>
  <c r="D950"/>
  <c r="C950" s="1"/>
  <c r="D949"/>
  <c r="C949" s="1"/>
  <c r="D948"/>
  <c r="C948" s="1"/>
  <c r="D947"/>
  <c r="C947" s="1"/>
  <c r="D946"/>
  <c r="C946" s="1"/>
  <c r="D945"/>
  <c r="C945" s="1"/>
  <c r="D944"/>
  <c r="C944" s="1"/>
  <c r="D943"/>
  <c r="C943" s="1"/>
  <c r="D942"/>
  <c r="C942" s="1"/>
  <c r="D941"/>
  <c r="C941" s="1"/>
  <c r="D952"/>
  <c r="C952" s="1"/>
  <c r="D939"/>
  <c r="C939" s="1"/>
  <c r="D936"/>
  <c r="C936" s="1"/>
  <c r="D935"/>
  <c r="C935" s="1"/>
  <c r="D934"/>
  <c r="C934" s="1"/>
  <c r="D933"/>
  <c r="C933" s="1"/>
  <c r="D932"/>
  <c r="C932" s="1"/>
  <c r="D929"/>
  <c r="C929" s="1"/>
  <c r="D926"/>
  <c r="C926" s="1"/>
  <c r="D925"/>
  <c r="C925" s="1"/>
  <c r="D924"/>
  <c r="C924" s="1"/>
  <c r="D923"/>
  <c r="C923" s="1"/>
  <c r="D922"/>
  <c r="C922" s="1"/>
  <c r="D921"/>
  <c r="C921" s="1"/>
  <c r="D920"/>
  <c r="C920" s="1"/>
  <c r="D919"/>
  <c r="D918"/>
  <c r="C918" s="1"/>
  <c r="D917"/>
  <c r="C917" s="1"/>
  <c r="D916"/>
  <c r="C916" s="1"/>
  <c r="D915"/>
  <c r="C915" s="1"/>
  <c r="D914"/>
  <c r="C914" s="1"/>
  <c r="D912"/>
  <c r="C912" s="1"/>
  <c r="D910"/>
  <c r="C910" s="1"/>
  <c r="D908"/>
  <c r="C908" s="1"/>
  <c r="D907"/>
  <c r="C907" s="1"/>
  <c r="D906"/>
  <c r="C906" s="1"/>
  <c r="D905"/>
  <c r="C905" s="1"/>
  <c r="D904"/>
  <c r="D903"/>
  <c r="D888"/>
  <c r="C888" s="1"/>
  <c r="D883"/>
  <c r="D861"/>
  <c r="D859"/>
  <c r="D858"/>
  <c r="C858" s="1"/>
  <c r="D850"/>
  <c r="D848"/>
  <c r="D846"/>
  <c r="C846" s="1"/>
  <c r="D844"/>
  <c r="C844" s="1"/>
  <c r="D843"/>
  <c r="D836"/>
  <c r="D830"/>
  <c r="D826"/>
  <c r="C826" s="1"/>
  <c r="D825"/>
  <c r="D350"/>
  <c r="D349" s="1"/>
  <c r="D821"/>
  <c r="D820"/>
  <c r="D817"/>
  <c r="D815"/>
  <c r="D813"/>
  <c r="C813" s="1"/>
  <c r="D812"/>
  <c r="C812" s="1"/>
  <c r="D811"/>
  <c r="C811" s="1"/>
  <c r="D810"/>
  <c r="D808"/>
  <c r="C808" s="1"/>
  <c r="D807"/>
  <c r="D805"/>
  <c r="D798"/>
  <c r="C798" s="1"/>
  <c r="D797"/>
  <c r="D792"/>
  <c r="D791"/>
  <c r="C791" s="1"/>
  <c r="D790"/>
  <c r="D783"/>
  <c r="C783" s="1"/>
  <c r="D782"/>
  <c r="C782" s="1"/>
  <c r="D781"/>
  <c r="C781" s="1"/>
  <c r="D778"/>
  <c r="C778" s="1"/>
  <c r="D777"/>
  <c r="C777" s="1"/>
  <c r="D776"/>
  <c r="D775"/>
  <c r="C775" s="1"/>
  <c r="D770"/>
  <c r="C770" s="1"/>
  <c r="D769"/>
  <c r="C769" s="1"/>
  <c r="D768"/>
  <c r="C768" s="1"/>
  <c r="D767"/>
  <c r="C767" s="1"/>
  <c r="D766"/>
  <c r="D764"/>
  <c r="C764" s="1"/>
  <c r="D763"/>
  <c r="C763" s="1"/>
  <c r="D762"/>
  <c r="D760"/>
  <c r="C760" s="1"/>
  <c r="D759"/>
  <c r="D742"/>
  <c r="C742" s="1"/>
  <c r="D733"/>
  <c r="D728"/>
  <c r="D727" s="1"/>
  <c r="D726"/>
  <c r="D725"/>
  <c r="D714"/>
  <c r="C714" s="1"/>
  <c r="D710"/>
  <c r="D708"/>
  <c r="D707"/>
  <c r="D706"/>
  <c r="C706" s="1"/>
  <c r="D705"/>
  <c r="D694"/>
  <c r="C694" s="1"/>
  <c r="D693"/>
  <c r="C693" s="1"/>
  <c r="D692"/>
  <c r="C692" s="1"/>
  <c r="D691"/>
  <c r="C691" s="1"/>
  <c r="D690"/>
  <c r="C690" s="1"/>
  <c r="D677"/>
  <c r="C677" s="1"/>
  <c r="D676"/>
  <c r="C676" s="1"/>
  <c r="D689"/>
  <c r="C689" s="1"/>
  <c r="D688"/>
  <c r="C688" s="1"/>
  <c r="D687"/>
  <c r="C687" s="1"/>
  <c r="D686"/>
  <c r="C686" s="1"/>
  <c r="D685"/>
  <c r="C685" s="1"/>
  <c r="D684"/>
  <c r="C684" s="1"/>
  <c r="D683"/>
  <c r="C683" s="1"/>
  <c r="D682"/>
  <c r="D681"/>
  <c r="C681" s="1"/>
  <c r="D680"/>
  <c r="C680" s="1"/>
  <c r="D679"/>
  <c r="C679" s="1"/>
  <c r="D678"/>
  <c r="C678" s="1"/>
  <c r="D672"/>
  <c r="C672" s="1"/>
  <c r="D675"/>
  <c r="C675" s="1"/>
  <c r="D674"/>
  <c r="C674" s="1"/>
  <c r="D673"/>
  <c r="C673" s="1"/>
  <c r="D669"/>
  <c r="C669" s="1"/>
  <c r="D666"/>
  <c r="C666" s="1"/>
  <c r="D665"/>
  <c r="C665" s="1"/>
  <c r="D664"/>
  <c r="C664" s="1"/>
  <c r="D663"/>
  <c r="C663" s="1"/>
  <c r="D657"/>
  <c r="C657" s="1"/>
  <c r="D655"/>
  <c r="C655" s="1"/>
  <c r="D656"/>
  <c r="C656" s="1"/>
  <c r="D645"/>
  <c r="C645" s="1"/>
  <c r="D644"/>
  <c r="C644" s="1"/>
  <c r="D643"/>
  <c r="C643" s="1"/>
  <c r="D641"/>
  <c r="C641" s="1"/>
  <c r="D640"/>
  <c r="C640" s="1"/>
  <c r="D636"/>
  <c r="C636" s="1"/>
  <c r="D639"/>
  <c r="C639" s="1"/>
  <c r="D638"/>
  <c r="C638" s="1"/>
  <c r="D637"/>
  <c r="C637" s="1"/>
  <c r="D633"/>
  <c r="C633" s="1"/>
  <c r="D632"/>
  <c r="C632" s="1"/>
  <c r="D631"/>
  <c r="C631" s="1"/>
  <c r="D630"/>
  <c r="C630" s="1"/>
  <c r="D628"/>
  <c r="C628" s="1"/>
  <c r="D627"/>
  <c r="C627" s="1"/>
  <c r="D626"/>
  <c r="C626" s="1"/>
  <c r="D625"/>
  <c r="C625" s="1"/>
  <c r="D623"/>
  <c r="C623" s="1"/>
  <c r="D622"/>
  <c r="C622" s="1"/>
  <c r="D621"/>
  <c r="C621" s="1"/>
  <c r="D620"/>
  <c r="C620" s="1"/>
  <c r="D618"/>
  <c r="C618" s="1"/>
  <c r="D617"/>
  <c r="C617" s="1"/>
  <c r="D616"/>
  <c r="C616" s="1"/>
  <c r="D615"/>
  <c r="C615" s="1"/>
  <c r="D614"/>
  <c r="C614" s="1"/>
  <c r="D612"/>
  <c r="D613"/>
  <c r="C613" s="1"/>
  <c r="D611"/>
  <c r="C611" s="1"/>
  <c r="D610"/>
  <c r="C610" s="1"/>
  <c r="D605"/>
  <c r="C605" s="1"/>
  <c r="D606"/>
  <c r="C606" s="1"/>
  <c r="D604"/>
  <c r="C604" s="1"/>
  <c r="D599"/>
  <c r="C599" s="1"/>
  <c r="D598"/>
  <c r="C598" s="1"/>
  <c r="D597"/>
  <c r="C597" s="1"/>
  <c r="D592"/>
  <c r="C592" s="1"/>
  <c r="D591"/>
  <c r="C591" s="1"/>
  <c r="D590"/>
  <c r="C590" s="1"/>
  <c r="D589"/>
  <c r="C589" s="1"/>
  <c r="D588"/>
  <c r="C588" s="1"/>
  <c r="D587"/>
  <c r="C587" s="1"/>
  <c r="D586"/>
  <c r="C586" s="1"/>
  <c r="D577"/>
  <c r="C577" s="1"/>
  <c r="D576"/>
  <c r="C576" s="1"/>
  <c r="D574"/>
  <c r="C574" s="1"/>
  <c r="D573"/>
  <c r="C573" s="1"/>
  <c r="D572"/>
  <c r="C572" s="1"/>
  <c r="D571"/>
  <c r="C571" s="1"/>
  <c r="D570"/>
  <c r="C570" s="1"/>
  <c r="D568"/>
  <c r="C568" s="1"/>
  <c r="D567"/>
  <c r="C567" s="1"/>
  <c r="D566"/>
  <c r="C566" s="1"/>
  <c r="D565"/>
  <c r="C565" s="1"/>
  <c r="D564"/>
  <c r="C564" s="1"/>
  <c r="D563"/>
  <c r="C563" s="1"/>
  <c r="D562"/>
  <c r="C562" s="1"/>
  <c r="D561"/>
  <c r="C561" s="1"/>
  <c r="D558"/>
  <c r="C558" s="1"/>
  <c r="D557"/>
  <c r="C557" s="1"/>
  <c r="D556"/>
  <c r="C556" s="1"/>
  <c r="D560"/>
  <c r="C560" s="1"/>
  <c r="D559"/>
  <c r="C559" s="1"/>
  <c r="D551"/>
  <c r="C551" s="1"/>
  <c r="D548"/>
  <c r="C548" s="1"/>
  <c r="D547"/>
  <c r="C547" s="1"/>
  <c r="D544"/>
  <c r="C544" s="1"/>
  <c r="D539"/>
  <c r="C539" s="1"/>
  <c r="D538"/>
  <c r="C538" s="1"/>
  <c r="D537"/>
  <c r="C537" s="1"/>
  <c r="D543"/>
  <c r="C543" s="1"/>
  <c r="D542"/>
  <c r="C542" s="1"/>
  <c r="D541"/>
  <c r="C541" s="1"/>
  <c r="D540"/>
  <c r="C540" s="1"/>
  <c r="D536"/>
  <c r="C536" s="1"/>
  <c r="D535"/>
  <c r="C535" s="1"/>
  <c r="D534"/>
  <c r="C534" s="1"/>
  <c r="D518"/>
  <c r="C518" s="1"/>
  <c r="D532"/>
  <c r="C532" s="1"/>
  <c r="D531"/>
  <c r="C531" s="1"/>
  <c r="D530"/>
  <c r="C530" s="1"/>
  <c r="D529"/>
  <c r="C529" s="1"/>
  <c r="D528"/>
  <c r="C528" s="1"/>
  <c r="D527"/>
  <c r="C527" s="1"/>
  <c r="D526"/>
  <c r="C526" s="1"/>
  <c r="D525"/>
  <c r="C525" s="1"/>
  <c r="D524"/>
  <c r="C524" s="1"/>
  <c r="D523"/>
  <c r="C523" s="1"/>
  <c r="D522"/>
  <c r="C522" s="1"/>
  <c r="D521"/>
  <c r="C521" s="1"/>
  <c r="D520"/>
  <c r="C520" s="1"/>
  <c r="D519"/>
  <c r="C519" s="1"/>
  <c r="D517"/>
  <c r="C517" s="1"/>
  <c r="D516"/>
  <c r="C516" s="1"/>
  <c r="D501"/>
  <c r="C501" s="1"/>
  <c r="D500"/>
  <c r="C500" s="1"/>
  <c r="D499"/>
  <c r="C499" s="1"/>
  <c r="D498"/>
  <c r="C498" s="1"/>
  <c r="D497"/>
  <c r="C497" s="1"/>
  <c r="D496"/>
  <c r="C496" s="1"/>
  <c r="D495"/>
  <c r="C495" s="1"/>
  <c r="D494"/>
  <c r="D489"/>
  <c r="C489" s="1"/>
  <c r="D488"/>
  <c r="C488" s="1"/>
  <c r="D487"/>
  <c r="C487" s="1"/>
  <c r="D486"/>
  <c r="C486" s="1"/>
  <c r="D485"/>
  <c r="C485" s="1"/>
  <c r="D484"/>
  <c r="D483"/>
  <c r="C483" s="1"/>
  <c r="D477"/>
  <c r="C477" s="1"/>
  <c r="D475"/>
  <c r="C475" s="1"/>
  <c r="D474"/>
  <c r="C474" s="1"/>
  <c r="D473"/>
  <c r="C473" s="1"/>
  <c r="D472"/>
  <c r="C472" s="1"/>
  <c r="D471"/>
  <c r="C471" s="1"/>
  <c r="D469"/>
  <c r="D468"/>
  <c r="C468" s="1"/>
  <c r="D467"/>
  <c r="C467" s="1"/>
  <c r="D465"/>
  <c r="C465" s="1"/>
  <c r="D461"/>
  <c r="C461" s="1"/>
  <c r="D460"/>
  <c r="C460" s="1"/>
  <c r="D459"/>
  <c r="C459" s="1"/>
  <c r="D452"/>
  <c r="C452" s="1"/>
  <c r="D451"/>
  <c r="D447"/>
  <c r="D446" s="1"/>
  <c r="D445"/>
  <c r="C445" s="1"/>
  <c r="D444"/>
  <c r="C444" s="1"/>
  <c r="D442"/>
  <c r="D428"/>
  <c r="D424"/>
  <c r="D423" s="1"/>
  <c r="D422"/>
  <c r="D421"/>
  <c r="D418"/>
  <c r="D412"/>
  <c r="D402"/>
  <c r="D401"/>
  <c r="D399"/>
  <c r="D385"/>
  <c r="D383"/>
  <c r="D380"/>
  <c r="D379" s="1"/>
  <c r="D378"/>
  <c r="C378" s="1"/>
  <c r="D377"/>
  <c r="C377" s="1"/>
  <c r="D376"/>
  <c r="C376" s="1"/>
  <c r="D375"/>
  <c r="C375" s="1"/>
  <c r="D374"/>
  <c r="C374" s="1"/>
  <c r="D373"/>
  <c r="D839"/>
  <c r="D371"/>
  <c r="D370"/>
  <c r="D367"/>
  <c r="C367" s="1"/>
  <c r="D366"/>
  <c r="C366" s="1"/>
  <c r="D365"/>
  <c r="D361"/>
  <c r="D360" s="1"/>
  <c r="D359"/>
  <c r="C359" s="1"/>
  <c r="D358"/>
  <c r="D354"/>
  <c r="C354" s="1"/>
  <c r="D352"/>
  <c r="D348"/>
  <c r="D346"/>
  <c r="C346" s="1"/>
  <c r="D345"/>
  <c r="C345" s="1"/>
  <c r="D344"/>
  <c r="C344" s="1"/>
  <c r="D341"/>
  <c r="C341" s="1"/>
  <c r="D340"/>
  <c r="D337"/>
  <c r="C337" s="1"/>
  <c r="D336"/>
  <c r="C336" s="1"/>
  <c r="D334"/>
  <c r="D330"/>
  <c r="C330" s="1"/>
  <c r="D329"/>
  <c r="D324"/>
  <c r="C324" s="1"/>
  <c r="D323"/>
  <c r="C323" s="1"/>
  <c r="D318"/>
  <c r="C318" s="1"/>
  <c r="D317"/>
  <c r="C317" s="1"/>
  <c r="D316"/>
  <c r="D314"/>
  <c r="D313" s="1"/>
  <c r="D311"/>
  <c r="C311" s="1"/>
  <c r="D310"/>
  <c r="D309"/>
  <c r="C309" s="1"/>
  <c r="D308"/>
  <c r="C308" s="1"/>
  <c r="D307"/>
  <c r="C307" s="1"/>
  <c r="D305"/>
  <c r="C305" s="1"/>
  <c r="D306"/>
  <c r="C306" s="1"/>
  <c r="D304"/>
  <c r="C304" s="1"/>
  <c r="D302"/>
  <c r="C302" s="1"/>
  <c r="D301"/>
  <c r="C301" s="1"/>
  <c r="D300"/>
  <c r="C300" s="1"/>
  <c r="D297"/>
  <c r="C297" s="1"/>
  <c r="D295"/>
  <c r="C295" s="1"/>
  <c r="D293"/>
  <c r="D292"/>
  <c r="D283"/>
  <c r="C283" s="1"/>
  <c r="D749"/>
  <c r="C749" s="1"/>
  <c r="D282"/>
  <c r="D280"/>
  <c r="D278"/>
  <c r="C278" s="1"/>
  <c r="D277"/>
  <c r="C277" s="1"/>
  <c r="D276"/>
  <c r="C276" s="1"/>
  <c r="D279"/>
  <c r="C279" s="1"/>
  <c r="D275"/>
  <c r="C275" s="1"/>
  <c r="D274"/>
  <c r="C274" s="1"/>
  <c r="D273"/>
  <c r="C273" s="1"/>
  <c r="D272"/>
  <c r="C272" s="1"/>
  <c r="D271"/>
  <c r="D269"/>
  <c r="D268" s="1"/>
  <c r="D267"/>
  <c r="D263"/>
  <c r="D261"/>
  <c r="C261" s="1"/>
  <c r="D260"/>
  <c r="D256"/>
  <c r="D253"/>
  <c r="D252"/>
  <c r="D250"/>
  <c r="C250" s="1"/>
  <c r="D249"/>
  <c r="C249" s="1"/>
  <c r="D248"/>
  <c r="D243"/>
  <c r="D235"/>
  <c r="C235" s="1"/>
  <c r="D234"/>
  <c r="C234" s="1"/>
  <c r="D233"/>
  <c r="D232"/>
  <c r="C232" s="1"/>
  <c r="D231"/>
  <c r="C231" s="1"/>
  <c r="D670"/>
  <c r="C670" s="1"/>
  <c r="D230"/>
  <c r="D236"/>
  <c r="C236" s="1"/>
  <c r="D228"/>
  <c r="D227"/>
  <c r="D226"/>
  <c r="C226" s="1"/>
  <c r="D225"/>
  <c r="D224"/>
  <c r="C224" s="1"/>
  <c r="D223"/>
  <c r="C223" s="1"/>
  <c r="D222"/>
  <c r="C222" s="1"/>
  <c r="D221"/>
  <c r="D654"/>
  <c r="C654" s="1"/>
  <c r="D648"/>
  <c r="C648" s="1"/>
  <c r="D646"/>
  <c r="C646" s="1"/>
  <c r="D217"/>
  <c r="C217" s="1"/>
  <c r="D216"/>
  <c r="C216" s="1"/>
  <c r="D215"/>
  <c r="C215" s="1"/>
  <c r="D635"/>
  <c r="C635" s="1"/>
  <c r="D214"/>
  <c r="D213"/>
  <c r="D629"/>
  <c r="C629" s="1"/>
  <c r="D210"/>
  <c r="C210" s="1"/>
  <c r="D209"/>
  <c r="C209" s="1"/>
  <c r="D609"/>
  <c r="C609" s="1"/>
  <c r="D204"/>
  <c r="C204" s="1"/>
  <c r="D603"/>
  <c r="C603" s="1"/>
  <c r="D601"/>
  <c r="C601" s="1"/>
  <c r="D203"/>
  <c r="D202"/>
  <c r="C202" s="1"/>
  <c r="D201"/>
  <c r="C201" s="1"/>
  <c r="D595"/>
  <c r="C595" s="1"/>
  <c r="D200"/>
  <c r="C200" s="1"/>
  <c r="D594"/>
  <c r="C594" s="1"/>
  <c r="D593"/>
  <c r="C593" s="1"/>
  <c r="D199"/>
  <c r="D1008"/>
  <c r="D584"/>
  <c r="C584" s="1"/>
  <c r="D583"/>
  <c r="C583" s="1"/>
  <c r="D581"/>
  <c r="C581" s="1"/>
  <c r="D196"/>
  <c r="D195"/>
  <c r="C195" s="1"/>
  <c r="D193"/>
  <c r="C193" s="1"/>
  <c r="D552"/>
  <c r="C552" s="1"/>
  <c r="D186"/>
  <c r="C186" s="1"/>
  <c r="D185"/>
  <c r="C185" s="1"/>
  <c r="D549"/>
  <c r="C549" s="1"/>
  <c r="D183"/>
  <c r="C183" s="1"/>
  <c r="D180"/>
  <c r="C180" s="1"/>
  <c r="D179"/>
  <c r="C179" s="1"/>
  <c r="D178"/>
  <c r="C178" s="1"/>
  <c r="D177"/>
  <c r="C177" s="1"/>
  <c r="D176"/>
  <c r="C176" s="1"/>
  <c r="D502"/>
  <c r="C502" s="1"/>
  <c r="D166"/>
  <c r="C166" s="1"/>
  <c r="D165"/>
  <c r="D163"/>
  <c r="C163" s="1"/>
  <c r="D162"/>
  <c r="C162" s="1"/>
  <c r="D161"/>
  <c r="C161" s="1"/>
  <c r="D160"/>
  <c r="C160" s="1"/>
  <c r="D159"/>
  <c r="C159" s="1"/>
  <c r="D158"/>
  <c r="C158" s="1"/>
  <c r="D157"/>
  <c r="C157" s="1"/>
  <c r="D154"/>
  <c r="C154" s="1"/>
  <c r="D150"/>
  <c r="C150" s="1"/>
  <c r="D149"/>
  <c r="C149" s="1"/>
  <c r="D148"/>
  <c r="C148" s="1"/>
  <c r="D147"/>
  <c r="C147" s="1"/>
  <c r="D146"/>
  <c r="D145"/>
  <c r="D144"/>
  <c r="D143"/>
  <c r="D142"/>
  <c r="C142" s="1"/>
  <c r="D141"/>
  <c r="C141" s="1"/>
  <c r="D478"/>
  <c r="C478" s="1"/>
  <c r="D140"/>
  <c r="C140" s="1"/>
  <c r="D139"/>
  <c r="C139" s="1"/>
  <c r="D138"/>
  <c r="C138" s="1"/>
  <c r="D137"/>
  <c r="C137" s="1"/>
  <c r="D136"/>
  <c r="C136" s="1"/>
  <c r="D135"/>
  <c r="C135" s="1"/>
  <c r="D134"/>
  <c r="C134" s="1"/>
  <c r="D133"/>
  <c r="C133" s="1"/>
  <c r="D132"/>
  <c r="C132" s="1"/>
  <c r="D131"/>
  <c r="C131" s="1"/>
  <c r="D464"/>
  <c r="C464" s="1"/>
  <c r="D463"/>
  <c r="C463" s="1"/>
  <c r="D462"/>
  <c r="C462" s="1"/>
  <c r="D127"/>
  <c r="C127" s="1"/>
  <c r="D125"/>
  <c r="C125" s="1"/>
  <c r="D123"/>
  <c r="D122"/>
  <c r="C122" s="1"/>
  <c r="D121"/>
  <c r="C121" s="1"/>
  <c r="D115"/>
  <c r="D114" s="1"/>
  <c r="D113"/>
  <c r="C113" s="1"/>
  <c r="D112"/>
  <c r="C112" s="1"/>
  <c r="D110"/>
  <c r="C110" s="1"/>
  <c r="D109"/>
  <c r="C109" s="1"/>
  <c r="D108"/>
  <c r="C108" s="1"/>
  <c r="D103"/>
  <c r="C103" s="1"/>
  <c r="D102"/>
  <c r="D101"/>
  <c r="C101" s="1"/>
  <c r="D97"/>
  <c r="C97" s="1"/>
  <c r="D99"/>
  <c r="D93"/>
  <c r="C93" s="1"/>
  <c r="D92"/>
  <c r="C92" s="1"/>
  <c r="D91"/>
  <c r="C91" s="1"/>
  <c r="D90"/>
  <c r="D88"/>
  <c r="C88" s="1"/>
  <c r="D85"/>
  <c r="C85" s="1"/>
  <c r="D84"/>
  <c r="D83"/>
  <c r="D80"/>
  <c r="D77"/>
  <c r="D384"/>
  <c r="C384" s="1"/>
  <c r="D71"/>
  <c r="D73"/>
  <c r="D69"/>
  <c r="D70"/>
  <c r="D382"/>
  <c r="D67"/>
  <c r="D66" s="1"/>
  <c r="D65"/>
  <c r="D64" s="1"/>
  <c r="D63"/>
  <c r="C63" s="1"/>
  <c r="D62"/>
  <c r="D58"/>
  <c r="C58" s="1"/>
  <c r="C57" s="1"/>
  <c r="D56"/>
  <c r="D54"/>
  <c r="D53" s="1"/>
  <c r="D52"/>
  <c r="D51"/>
  <c r="D50"/>
  <c r="D48"/>
  <c r="D353"/>
  <c r="C353" s="1"/>
  <c r="D46"/>
  <c r="D45" s="1"/>
  <c r="D44"/>
  <c r="D43" s="1"/>
  <c r="D42"/>
  <c r="D41"/>
  <c r="D40"/>
  <c r="D39"/>
  <c r="D338"/>
  <c r="C338" s="1"/>
  <c r="D37"/>
  <c r="C37" s="1"/>
  <c r="D36"/>
  <c r="C36" s="1"/>
  <c r="D328"/>
  <c r="D34"/>
  <c r="D33" s="1"/>
  <c r="D32"/>
  <c r="C32" s="1"/>
  <c r="D31"/>
  <c r="D320"/>
  <c r="D319" s="1"/>
  <c r="D27"/>
  <c r="D26" s="1"/>
  <c r="D25"/>
  <c r="D24" s="1"/>
  <c r="C839" l="1"/>
  <c r="C837" s="1"/>
  <c r="V837" s="1"/>
  <c r="D837"/>
  <c r="D824"/>
  <c r="Q757"/>
  <c r="Q8" s="1"/>
  <c r="M757"/>
  <c r="M8" s="1"/>
  <c r="K757"/>
  <c r="K8" s="1"/>
  <c r="D368"/>
  <c r="C348"/>
  <c r="C347" s="1"/>
  <c r="D347"/>
  <c r="D357"/>
  <c r="D364"/>
  <c r="D450"/>
  <c r="D327"/>
  <c r="D315"/>
  <c r="D351"/>
  <c r="D372"/>
  <c r="U8"/>
  <c r="T8"/>
  <c r="O8"/>
  <c r="C35"/>
  <c r="D1125"/>
  <c r="C292"/>
  <c r="C316"/>
  <c r="C315" s="1"/>
  <c r="C352"/>
  <c r="C351" s="1"/>
  <c r="C370"/>
  <c r="C1120"/>
  <c r="C1119" s="1"/>
  <c r="D1119"/>
  <c r="C314"/>
  <c r="C313" s="1"/>
  <c r="C733"/>
  <c r="C805"/>
  <c r="C804" s="1"/>
  <c r="D804"/>
  <c r="C825"/>
  <c r="C824" s="1"/>
  <c r="C843"/>
  <c r="C1114"/>
  <c r="D816"/>
  <c r="C361"/>
  <c r="C360" s="1"/>
  <c r="C373"/>
  <c r="C372" s="1"/>
  <c r="C340"/>
  <c r="C380"/>
  <c r="C379" s="1"/>
  <c r="C451"/>
  <c r="C450" s="1"/>
  <c r="C728"/>
  <c r="C727" s="1"/>
  <c r="C790"/>
  <c r="D789"/>
  <c r="C810"/>
  <c r="C809" s="1"/>
  <c r="D809"/>
  <c r="C815"/>
  <c r="C814" s="1"/>
  <c r="D814"/>
  <c r="C836"/>
  <c r="C835" s="1"/>
  <c r="D835"/>
  <c r="C848"/>
  <c r="C847" s="1"/>
  <c r="D847"/>
  <c r="C807"/>
  <c r="C806" s="1"/>
  <c r="D806"/>
  <c r="C329"/>
  <c r="C428"/>
  <c r="C447"/>
  <c r="C446" s="1"/>
  <c r="C759"/>
  <c r="C758" s="1"/>
  <c r="D758"/>
  <c r="C797"/>
  <c r="C796" s="1"/>
  <c r="D796"/>
  <c r="C830"/>
  <c r="C829" s="1"/>
  <c r="D829"/>
  <c r="C903"/>
  <c r="C1110"/>
  <c r="C50"/>
  <c r="D49"/>
  <c r="C62"/>
  <c r="C61" s="1"/>
  <c r="D61"/>
  <c r="C382"/>
  <c r="C90"/>
  <c r="C248"/>
  <c r="C247" s="1"/>
  <c r="D247"/>
  <c r="C263"/>
  <c r="C262" s="1"/>
  <c r="D262"/>
  <c r="C31"/>
  <c r="C30" s="1"/>
  <c r="D30"/>
  <c r="D57"/>
  <c r="C243"/>
  <c r="C242" s="1"/>
  <c r="D242"/>
  <c r="C271"/>
  <c r="D270"/>
  <c r="C39"/>
  <c r="D38"/>
  <c r="C56"/>
  <c r="C55" s="1"/>
  <c r="D55"/>
  <c r="C260"/>
  <c r="C259" s="1"/>
  <c r="D259"/>
  <c r="C48"/>
  <c r="C47" s="1"/>
  <c r="D47"/>
  <c r="C256"/>
  <c r="C255" s="1"/>
  <c r="D255"/>
  <c r="C334"/>
  <c r="C350"/>
  <c r="C349" s="1"/>
  <c r="C705"/>
  <c r="C44"/>
  <c r="C43" s="1"/>
  <c r="C320"/>
  <c r="C319" s="1"/>
  <c r="E1153" l="1"/>
  <c r="E1152"/>
  <c r="E1146"/>
  <c r="E1145"/>
  <c r="E1144"/>
  <c r="E1143"/>
  <c r="E1142"/>
  <c r="E1137"/>
  <c r="E1136"/>
  <c r="E1135"/>
  <c r="E1140"/>
  <c r="E1139"/>
  <c r="E1138"/>
  <c r="I1123"/>
  <c r="G1123"/>
  <c r="F1123"/>
  <c r="E1124"/>
  <c r="E1123" s="1"/>
  <c r="H1123"/>
  <c r="I1121"/>
  <c r="G1121"/>
  <c r="F1121"/>
  <c r="E1122"/>
  <c r="E1121" s="1"/>
  <c r="H1121"/>
  <c r="I1113"/>
  <c r="H1113"/>
  <c r="G1113"/>
  <c r="F1113"/>
  <c r="E1115"/>
  <c r="E1113" s="1"/>
  <c r="I1109"/>
  <c r="H1109"/>
  <c r="G1109"/>
  <c r="F1109"/>
  <c r="E1111"/>
  <c r="E1109" s="1"/>
  <c r="I1107"/>
  <c r="H1107"/>
  <c r="G1107"/>
  <c r="F1107"/>
  <c r="E1108"/>
  <c r="E1107" s="1"/>
  <c r="E1092"/>
  <c r="E1091"/>
  <c r="E1090"/>
  <c r="E1064"/>
  <c r="E1043"/>
  <c r="E1030"/>
  <c r="E1026"/>
  <c r="E999"/>
  <c r="E993"/>
  <c r="E992"/>
  <c r="E965"/>
  <c r="E961"/>
  <c r="E940"/>
  <c r="E928"/>
  <c r="E911"/>
  <c r="E901"/>
  <c r="E900"/>
  <c r="E872"/>
  <c r="E871"/>
  <c r="E869"/>
  <c r="E864"/>
  <c r="E863"/>
  <c r="E862"/>
  <c r="E860"/>
  <c r="E857"/>
  <c r="E856"/>
  <c r="E855"/>
  <c r="E852"/>
  <c r="E851"/>
  <c r="I842"/>
  <c r="G842"/>
  <c r="F842"/>
  <c r="E845"/>
  <c r="E842" s="1"/>
  <c r="H842"/>
  <c r="I840"/>
  <c r="H840"/>
  <c r="G840"/>
  <c r="F840"/>
  <c r="E841"/>
  <c r="E840" s="1"/>
  <c r="I831"/>
  <c r="H831"/>
  <c r="G831"/>
  <c r="F831"/>
  <c r="E832"/>
  <c r="E831" s="1"/>
  <c r="E802"/>
  <c r="F799"/>
  <c r="E801"/>
  <c r="E788"/>
  <c r="H788"/>
  <c r="G788"/>
  <c r="I786"/>
  <c r="G787"/>
  <c r="E787"/>
  <c r="E780"/>
  <c r="H780"/>
  <c r="E779"/>
  <c r="E773"/>
  <c r="E765"/>
  <c r="G752"/>
  <c r="G751" s="1"/>
  <c r="E751"/>
  <c r="E748"/>
  <c r="E746"/>
  <c r="E745"/>
  <c r="E744"/>
  <c r="E735"/>
  <c r="G724"/>
  <c r="G723" s="1"/>
  <c r="G722"/>
  <c r="G721" s="1"/>
  <c r="E722"/>
  <c r="E721" s="1"/>
  <c r="E713"/>
  <c r="E712"/>
  <c r="E698"/>
  <c r="E695" s="1"/>
  <c r="E668"/>
  <c r="E652"/>
  <c r="E642"/>
  <c r="E1038"/>
  <c r="E1037"/>
  <c r="J550"/>
  <c r="J546"/>
  <c r="J533"/>
  <c r="J508"/>
  <c r="J927"/>
  <c r="J902" s="1"/>
  <c r="J492"/>
  <c r="J491"/>
  <c r="J482"/>
  <c r="J481"/>
  <c r="J476"/>
  <c r="J470"/>
  <c r="J466"/>
  <c r="F420"/>
  <c r="F415" s="1"/>
  <c r="E415"/>
  <c r="G356"/>
  <c r="G355" s="1"/>
  <c r="F356"/>
  <c r="F355" s="1"/>
  <c r="J312"/>
  <c r="J296"/>
  <c r="E294"/>
  <c r="E291" s="1"/>
  <c r="J294"/>
  <c r="E704" l="1"/>
  <c r="J291"/>
  <c r="E865"/>
  <c r="E1133"/>
  <c r="E899"/>
  <c r="E902"/>
  <c r="I899"/>
  <c r="E786"/>
  <c r="G899"/>
  <c r="F786"/>
  <c r="H786"/>
  <c r="H799"/>
  <c r="F899"/>
  <c r="G786"/>
  <c r="H849"/>
  <c r="H899"/>
  <c r="I1151"/>
  <c r="H1151"/>
  <c r="D1037"/>
  <c r="C1037" s="1"/>
  <c r="D698"/>
  <c r="D745"/>
  <c r="C745" s="1"/>
  <c r="H761"/>
  <c r="D780"/>
  <c r="C780" s="1"/>
  <c r="D999"/>
  <c r="C999" s="1"/>
  <c r="D711"/>
  <c r="C711" s="1"/>
  <c r="D1139"/>
  <c r="C1139" s="1"/>
  <c r="D1135"/>
  <c r="D420"/>
  <c r="D652"/>
  <c r="C652" s="1"/>
  <c r="D662"/>
  <c r="C662" s="1"/>
  <c r="D739"/>
  <c r="C739" s="1"/>
  <c r="D746"/>
  <c r="C746" s="1"/>
  <c r="I761"/>
  <c r="D857"/>
  <c r="D864"/>
  <c r="C864" s="1"/>
  <c r="D961"/>
  <c r="C961" s="1"/>
  <c r="D1064"/>
  <c r="C1064" s="1"/>
  <c r="D1153"/>
  <c r="C1153" s="1"/>
  <c r="G1151"/>
  <c r="D1108"/>
  <c r="D709"/>
  <c r="D722"/>
  <c r="D721" s="1"/>
  <c r="D845"/>
  <c r="D1115"/>
  <c r="D1124"/>
  <c r="D1138"/>
  <c r="D602"/>
  <c r="D642"/>
  <c r="C642" s="1"/>
  <c r="D661"/>
  <c r="D697"/>
  <c r="C697" s="1"/>
  <c r="D738"/>
  <c r="C738" s="1"/>
  <c r="D744"/>
  <c r="C744" s="1"/>
  <c r="G761"/>
  <c r="D779"/>
  <c r="C779" s="1"/>
  <c r="D802"/>
  <c r="C802" s="1"/>
  <c r="D856"/>
  <c r="D863"/>
  <c r="D872"/>
  <c r="C872" s="1"/>
  <c r="D940"/>
  <c r="C940" s="1"/>
  <c r="D993"/>
  <c r="C993" s="1"/>
  <c r="D1043"/>
  <c r="C1043" s="1"/>
  <c r="D1092"/>
  <c r="C1092" s="1"/>
  <c r="D1141"/>
  <c r="C1141" s="1"/>
  <c r="D1143"/>
  <c r="C1143" s="1"/>
  <c r="D1146"/>
  <c r="C1146" s="1"/>
  <c r="D832"/>
  <c r="D851"/>
  <c r="D900"/>
  <c r="D356"/>
  <c r="D355" s="1"/>
  <c r="D696"/>
  <c r="D724"/>
  <c r="D723" s="1"/>
  <c r="D787"/>
  <c r="D911"/>
  <c r="D1111"/>
  <c r="D1122"/>
  <c r="D901"/>
  <c r="C901" s="1"/>
  <c r="D476"/>
  <c r="C476" s="1"/>
  <c r="D466"/>
  <c r="C466" s="1"/>
  <c r="D482"/>
  <c r="C482" s="1"/>
  <c r="D619"/>
  <c r="C619" s="1"/>
  <c r="D660"/>
  <c r="C660" s="1"/>
  <c r="D703"/>
  <c r="C703" s="1"/>
  <c r="D713"/>
  <c r="C713" s="1"/>
  <c r="D737"/>
  <c r="C737" s="1"/>
  <c r="D741"/>
  <c r="C741" s="1"/>
  <c r="D748"/>
  <c r="C748" s="1"/>
  <c r="F761"/>
  <c r="D773"/>
  <c r="C773" s="1"/>
  <c r="D801"/>
  <c r="C801" s="1"/>
  <c r="D862"/>
  <c r="D871"/>
  <c r="C871" s="1"/>
  <c r="D928"/>
  <c r="D992"/>
  <c r="C992" s="1"/>
  <c r="D1030"/>
  <c r="C1030" s="1"/>
  <c r="D1091"/>
  <c r="C1091" s="1"/>
  <c r="D1140"/>
  <c r="C1140" s="1"/>
  <c r="D1137"/>
  <c r="C1137" s="1"/>
  <c r="D1142"/>
  <c r="C1142" s="1"/>
  <c r="D1145"/>
  <c r="C1145" s="1"/>
  <c r="D752"/>
  <c r="D751" s="1"/>
  <c r="E1151"/>
  <c r="D1152"/>
  <c r="C1152" s="1"/>
  <c r="D702"/>
  <c r="D735"/>
  <c r="D765"/>
  <c r="C765" s="1"/>
  <c r="E761"/>
  <c r="D841"/>
  <c r="D869"/>
  <c r="D1038"/>
  <c r="C1038" s="1"/>
  <c r="D659"/>
  <c r="C659" s="1"/>
  <c r="D668"/>
  <c r="C668" s="1"/>
  <c r="D712"/>
  <c r="C712" s="1"/>
  <c r="D740"/>
  <c r="C740" s="1"/>
  <c r="D747"/>
  <c r="C747" s="1"/>
  <c r="D788"/>
  <c r="D852"/>
  <c r="D855"/>
  <c r="D860"/>
  <c r="D965"/>
  <c r="C965" s="1"/>
  <c r="D1026"/>
  <c r="C1026" s="1"/>
  <c r="D1090"/>
  <c r="C1090" s="1"/>
  <c r="D1136"/>
  <c r="C1136" s="1"/>
  <c r="D1144"/>
  <c r="C1144" s="1"/>
  <c r="F1151"/>
  <c r="D470"/>
  <c r="C470" s="1"/>
  <c r="D546"/>
  <c r="C546" s="1"/>
  <c r="D294"/>
  <c r="D296"/>
  <c r="C296" s="1"/>
  <c r="D481"/>
  <c r="C481" s="1"/>
  <c r="D491"/>
  <c r="C491" s="1"/>
  <c r="D927"/>
  <c r="C927" s="1"/>
  <c r="D508"/>
  <c r="C508" s="1"/>
  <c r="D312"/>
  <c r="C312" s="1"/>
  <c r="D492"/>
  <c r="C492" s="1"/>
  <c r="D533"/>
  <c r="D550"/>
  <c r="C550" s="1"/>
  <c r="E1118"/>
  <c r="D1118" s="1"/>
  <c r="C1118" s="1"/>
  <c r="E1117"/>
  <c r="J1104"/>
  <c r="J1103" s="1"/>
  <c r="I1103"/>
  <c r="H1103"/>
  <c r="G1104"/>
  <c r="G1103" s="1"/>
  <c r="F1103"/>
  <c r="E1104"/>
  <c r="E1103" s="1"/>
  <c r="J1102"/>
  <c r="J1101" s="1"/>
  <c r="I1101"/>
  <c r="H1101"/>
  <c r="G1102"/>
  <c r="G1101" s="1"/>
  <c r="F1101"/>
  <c r="E1102"/>
  <c r="E1101" s="1"/>
  <c r="J898"/>
  <c r="G898"/>
  <c r="E898"/>
  <c r="J897"/>
  <c r="G897"/>
  <c r="E897"/>
  <c r="J895"/>
  <c r="G895"/>
  <c r="E895"/>
  <c r="J894"/>
  <c r="G894"/>
  <c r="E894"/>
  <c r="J893"/>
  <c r="G893"/>
  <c r="E893"/>
  <c r="J892"/>
  <c r="G892"/>
  <c r="E892"/>
  <c r="J891"/>
  <c r="G891"/>
  <c r="E891"/>
  <c r="J886"/>
  <c r="G886"/>
  <c r="E886"/>
  <c r="J884"/>
  <c r="G884"/>
  <c r="E884"/>
  <c r="J880"/>
  <c r="J878" s="1"/>
  <c r="G880"/>
  <c r="G878" s="1"/>
  <c r="E880"/>
  <c r="E878" s="1"/>
  <c r="J877"/>
  <c r="E877"/>
  <c r="J875"/>
  <c r="G875"/>
  <c r="E875"/>
  <c r="J876"/>
  <c r="G876"/>
  <c r="E876"/>
  <c r="J874"/>
  <c r="G874"/>
  <c r="E874"/>
  <c r="J854"/>
  <c r="G854"/>
  <c r="E854"/>
  <c r="J853"/>
  <c r="G853"/>
  <c r="E853"/>
  <c r="J800"/>
  <c r="J799" s="1"/>
  <c r="I799"/>
  <c r="G800"/>
  <c r="G799" s="1"/>
  <c r="E800"/>
  <c r="E799" s="1"/>
  <c r="J795"/>
  <c r="G795"/>
  <c r="E795"/>
  <c r="J794"/>
  <c r="G794"/>
  <c r="E794"/>
  <c r="E720"/>
  <c r="D720" s="1"/>
  <c r="D719"/>
  <c r="C719" s="1"/>
  <c r="E718"/>
  <c r="E716"/>
  <c r="E715" s="1"/>
  <c r="J658"/>
  <c r="G658"/>
  <c r="E658"/>
  <c r="J624"/>
  <c r="J458"/>
  <c r="J454"/>
  <c r="J453" s="1"/>
  <c r="G454"/>
  <c r="G453" s="1"/>
  <c r="F454"/>
  <c r="F453" s="1"/>
  <c r="J443"/>
  <c r="J441"/>
  <c r="J440"/>
  <c r="J439"/>
  <c r="J437"/>
  <c r="J436"/>
  <c r="J435"/>
  <c r="J434"/>
  <c r="J438"/>
  <c r="J432"/>
  <c r="J431"/>
  <c r="J426"/>
  <c r="J425" s="1"/>
  <c r="J419"/>
  <c r="J417"/>
  <c r="J416"/>
  <c r="J411"/>
  <c r="J410"/>
  <c r="J409"/>
  <c r="G409"/>
  <c r="E409"/>
  <c r="J408"/>
  <c r="J407"/>
  <c r="J406"/>
  <c r="J404"/>
  <c r="J403" s="1"/>
  <c r="G404"/>
  <c r="G403" s="1"/>
  <c r="J400"/>
  <c r="J398"/>
  <c r="G398"/>
  <c r="E398"/>
  <c r="J396"/>
  <c r="E396"/>
  <c r="J395"/>
  <c r="E395"/>
  <c r="J394"/>
  <c r="G394"/>
  <c r="E394"/>
  <c r="J397"/>
  <c r="G397"/>
  <c r="E397"/>
  <c r="J392"/>
  <c r="G392"/>
  <c r="E392"/>
  <c r="J393"/>
  <c r="G393"/>
  <c r="E393"/>
  <c r="J391"/>
  <c r="J390"/>
  <c r="J388"/>
  <c r="F388"/>
  <c r="J387"/>
  <c r="G387"/>
  <c r="E387"/>
  <c r="J386"/>
  <c r="F386"/>
  <c r="J332"/>
  <c r="J331" s="1"/>
  <c r="J326"/>
  <c r="J325" s="1"/>
  <c r="J322"/>
  <c r="J321" s="1"/>
  <c r="F322"/>
  <c r="F321" s="1"/>
  <c r="J290"/>
  <c r="F290"/>
  <c r="J287"/>
  <c r="F287"/>
  <c r="J732"/>
  <c r="J731" s="1"/>
  <c r="I732"/>
  <c r="I731" s="1"/>
  <c r="H732"/>
  <c r="H731" s="1"/>
  <c r="G732"/>
  <c r="G731" s="1"/>
  <c r="F732"/>
  <c r="F731" s="1"/>
  <c r="E732"/>
  <c r="E731" s="1"/>
  <c r="F266"/>
  <c r="E266"/>
  <c r="E257"/>
  <c r="J254"/>
  <c r="J251" s="1"/>
  <c r="I251"/>
  <c r="H251"/>
  <c r="G251"/>
  <c r="F251"/>
  <c r="E251"/>
  <c r="J246"/>
  <c r="I246"/>
  <c r="H246"/>
  <c r="G246"/>
  <c r="J245"/>
  <c r="H245"/>
  <c r="J241"/>
  <c r="J240"/>
  <c r="J239"/>
  <c r="J238"/>
  <c r="J671"/>
  <c r="I671"/>
  <c r="G671"/>
  <c r="F671"/>
  <c r="E671"/>
  <c r="J229"/>
  <c r="H229"/>
  <c r="J220"/>
  <c r="J219"/>
  <c r="J218"/>
  <c r="J650"/>
  <c r="G650"/>
  <c r="E650"/>
  <c r="J649"/>
  <c r="G649"/>
  <c r="E649"/>
  <c r="J647"/>
  <c r="G647"/>
  <c r="E647"/>
  <c r="J212"/>
  <c r="H212"/>
  <c r="F212"/>
  <c r="J211"/>
  <c r="J208"/>
  <c r="H208"/>
  <c r="J207"/>
  <c r="J206"/>
  <c r="J205"/>
  <c r="J596"/>
  <c r="G596"/>
  <c r="E596"/>
  <c r="J582"/>
  <c r="I582"/>
  <c r="H582"/>
  <c r="G582"/>
  <c r="F582"/>
  <c r="E582"/>
  <c r="J580"/>
  <c r="G580"/>
  <c r="E580"/>
  <c r="J579"/>
  <c r="G579"/>
  <c r="E579"/>
  <c r="J578"/>
  <c r="I578"/>
  <c r="H578"/>
  <c r="G578"/>
  <c r="F578"/>
  <c r="E578"/>
  <c r="J194"/>
  <c r="H194"/>
  <c r="J192"/>
  <c r="J191"/>
  <c r="J190"/>
  <c r="J189"/>
  <c r="J188"/>
  <c r="H188"/>
  <c r="J553"/>
  <c r="J182"/>
  <c r="J181"/>
  <c r="J515"/>
  <c r="I515"/>
  <c r="H515"/>
  <c r="G515"/>
  <c r="F515"/>
  <c r="E515"/>
  <c r="J175"/>
  <c r="J513"/>
  <c r="I513"/>
  <c r="H513"/>
  <c r="G513"/>
  <c r="F513"/>
  <c r="E513"/>
  <c r="J512"/>
  <c r="I512"/>
  <c r="H512"/>
  <c r="G512"/>
  <c r="F512"/>
  <c r="E512"/>
  <c r="J174"/>
  <c r="J173"/>
  <c r="J172"/>
  <c r="J171"/>
  <c r="J170"/>
  <c r="J169"/>
  <c r="J168"/>
  <c r="J167"/>
  <c r="J164"/>
  <c r="J156"/>
  <c r="H156"/>
  <c r="J493"/>
  <c r="G493"/>
  <c r="E493"/>
  <c r="J155"/>
  <c r="H155"/>
  <c r="J153"/>
  <c r="J152"/>
  <c r="J151"/>
  <c r="J479"/>
  <c r="I479"/>
  <c r="H479"/>
  <c r="G479"/>
  <c r="F479"/>
  <c r="E479"/>
  <c r="J126"/>
  <c r="I126"/>
  <c r="H126"/>
  <c r="F126"/>
  <c r="J124"/>
  <c r="I124"/>
  <c r="H124"/>
  <c r="F124"/>
  <c r="J119"/>
  <c r="J118" s="1"/>
  <c r="H119"/>
  <c r="H118" s="1"/>
  <c r="F119"/>
  <c r="F118" s="1"/>
  <c r="J117"/>
  <c r="J116" s="1"/>
  <c r="I116"/>
  <c r="H116"/>
  <c r="G116"/>
  <c r="F116"/>
  <c r="E116"/>
  <c r="J111"/>
  <c r="H111"/>
  <c r="J107"/>
  <c r="J106"/>
  <c r="H106"/>
  <c r="J105"/>
  <c r="H105"/>
  <c r="J100"/>
  <c r="J98"/>
  <c r="J95"/>
  <c r="I95"/>
  <c r="H95"/>
  <c r="G95"/>
  <c r="F95"/>
  <c r="J94"/>
  <c r="I94"/>
  <c r="H94"/>
  <c r="G94"/>
  <c r="F94"/>
  <c r="J87"/>
  <c r="J86" s="1"/>
  <c r="H86"/>
  <c r="J82"/>
  <c r="H82"/>
  <c r="J81"/>
  <c r="H81"/>
  <c r="J79"/>
  <c r="H79"/>
  <c r="J78"/>
  <c r="H78"/>
  <c r="J76"/>
  <c r="H76"/>
  <c r="F76"/>
  <c r="J75"/>
  <c r="J72"/>
  <c r="J74"/>
  <c r="J60"/>
  <c r="J59" s="1"/>
  <c r="H60"/>
  <c r="H59" s="1"/>
  <c r="E59"/>
  <c r="D695" l="1"/>
  <c r="G457"/>
  <c r="E457"/>
  <c r="F381"/>
  <c r="E405"/>
  <c r="J415"/>
  <c r="J427"/>
  <c r="E717"/>
  <c r="F286"/>
  <c r="E381"/>
  <c r="I457"/>
  <c r="F457"/>
  <c r="J381"/>
  <c r="J405"/>
  <c r="D291"/>
  <c r="D701"/>
  <c r="H457"/>
  <c r="G381"/>
  <c r="G405"/>
  <c r="D704"/>
  <c r="C661"/>
  <c r="C1151"/>
  <c r="D865"/>
  <c r="C1135"/>
  <c r="D1133"/>
  <c r="D902"/>
  <c r="G849"/>
  <c r="E68"/>
  <c r="E104"/>
  <c r="F793"/>
  <c r="J793"/>
  <c r="H881"/>
  <c r="F896"/>
  <c r="J896"/>
  <c r="I68"/>
  <c r="E96"/>
  <c r="I96"/>
  <c r="I104"/>
  <c r="H89"/>
  <c r="G244"/>
  <c r="E793"/>
  <c r="I793"/>
  <c r="E849"/>
  <c r="E896"/>
  <c r="I896"/>
  <c r="F849"/>
  <c r="I873"/>
  <c r="H96"/>
  <c r="H104"/>
  <c r="I849"/>
  <c r="C722"/>
  <c r="C721" s="1"/>
  <c r="C1111"/>
  <c r="C1109" s="1"/>
  <c r="D1109"/>
  <c r="C696"/>
  <c r="C832"/>
  <c r="C831" s="1"/>
  <c r="D831"/>
  <c r="C845"/>
  <c r="C842" s="1"/>
  <c r="D842"/>
  <c r="J237"/>
  <c r="F244"/>
  <c r="J244"/>
  <c r="J849"/>
  <c r="H873"/>
  <c r="E1116"/>
  <c r="C911"/>
  <c r="C1138"/>
  <c r="C294"/>
  <c r="C841"/>
  <c r="C840" s="1"/>
  <c r="D840"/>
  <c r="C702"/>
  <c r="C701" s="1"/>
  <c r="C1122"/>
  <c r="C1121" s="1"/>
  <c r="D1121"/>
  <c r="C1115"/>
  <c r="C1113" s="1"/>
  <c r="D1113"/>
  <c r="C1108"/>
  <c r="C1107" s="1"/>
  <c r="D1107"/>
  <c r="F89"/>
  <c r="H793"/>
  <c r="G873"/>
  <c r="J881"/>
  <c r="H896"/>
  <c r="C356"/>
  <c r="C355" s="1"/>
  <c r="C869"/>
  <c r="C865" s="1"/>
  <c r="C735"/>
  <c r="C752"/>
  <c r="C751" s="1"/>
  <c r="C787"/>
  <c r="D786"/>
  <c r="C900"/>
  <c r="C899" s="1"/>
  <c r="D899"/>
  <c r="C1124"/>
  <c r="C1123" s="1"/>
  <c r="D1123"/>
  <c r="J89"/>
  <c r="G237"/>
  <c r="G793"/>
  <c r="E873"/>
  <c r="J873"/>
  <c r="G896"/>
  <c r="G68"/>
  <c r="G96"/>
  <c r="G104"/>
  <c r="E244"/>
  <c r="I244"/>
  <c r="F68"/>
  <c r="J68"/>
  <c r="I89"/>
  <c r="F96"/>
  <c r="J96"/>
  <c r="F104"/>
  <c r="J104"/>
  <c r="E237"/>
  <c r="I237"/>
  <c r="H244"/>
  <c r="H68"/>
  <c r="G89"/>
  <c r="F237"/>
  <c r="C709"/>
  <c r="D553"/>
  <c r="C553" s="1"/>
  <c r="D189"/>
  <c r="C189" s="1"/>
  <c r="D219"/>
  <c r="C219" s="1"/>
  <c r="D229"/>
  <c r="C229" s="1"/>
  <c r="D239"/>
  <c r="C239" s="1"/>
  <c r="D290"/>
  <c r="C290" s="1"/>
  <c r="D432"/>
  <c r="D434"/>
  <c r="C434" s="1"/>
  <c r="D436"/>
  <c r="C436" s="1"/>
  <c r="D439"/>
  <c r="C439" s="1"/>
  <c r="D441"/>
  <c r="C441" s="1"/>
  <c r="D624"/>
  <c r="C624" s="1"/>
  <c r="D658"/>
  <c r="D853"/>
  <c r="D875"/>
  <c r="C875" s="1"/>
  <c r="D886"/>
  <c r="C886" s="1"/>
  <c r="D892"/>
  <c r="C892" s="1"/>
  <c r="D894"/>
  <c r="C894" s="1"/>
  <c r="D322"/>
  <c r="D321" s="1"/>
  <c r="D332"/>
  <c r="D331" s="1"/>
  <c r="D454"/>
  <c r="D453" s="1"/>
  <c r="D716"/>
  <c r="D715" s="1"/>
  <c r="D800"/>
  <c r="D105"/>
  <c r="D238"/>
  <c r="D245"/>
  <c r="D254"/>
  <c r="D251" s="1"/>
  <c r="D386"/>
  <c r="D404"/>
  <c r="D403" s="1"/>
  <c r="D76"/>
  <c r="D479"/>
  <c r="D156"/>
  <c r="D169"/>
  <c r="C169" s="1"/>
  <c r="D171"/>
  <c r="C171" s="1"/>
  <c r="D515"/>
  <c r="C515" s="1"/>
  <c r="D181"/>
  <c r="C181" s="1"/>
  <c r="D192"/>
  <c r="C192" s="1"/>
  <c r="D205"/>
  <c r="C205" s="1"/>
  <c r="D211"/>
  <c r="C211" s="1"/>
  <c r="D649"/>
  <c r="C649" s="1"/>
  <c r="D218"/>
  <c r="C218" s="1"/>
  <c r="D388"/>
  <c r="D391"/>
  <c r="D393"/>
  <c r="D397"/>
  <c r="D395"/>
  <c r="D398"/>
  <c r="D407"/>
  <c r="C407" s="1"/>
  <c r="D409"/>
  <c r="C409" s="1"/>
  <c r="D411"/>
  <c r="C411" s="1"/>
  <c r="D417"/>
  <c r="C417" s="1"/>
  <c r="D876"/>
  <c r="C876" s="1"/>
  <c r="D897"/>
  <c r="D1102"/>
  <c r="D98"/>
  <c r="D117"/>
  <c r="D116" s="1"/>
  <c r="D287"/>
  <c r="D326"/>
  <c r="D325" s="1"/>
  <c r="D431"/>
  <c r="D458"/>
  <c r="D874"/>
  <c r="D1104"/>
  <c r="D1151"/>
  <c r="D79"/>
  <c r="D107"/>
  <c r="D124"/>
  <c r="C124" s="1"/>
  <c r="D152"/>
  <c r="C152" s="1"/>
  <c r="D155"/>
  <c r="C155" s="1"/>
  <c r="D167"/>
  <c r="C167" s="1"/>
  <c r="D512"/>
  <c r="C512" s="1"/>
  <c r="D578"/>
  <c r="C578" s="1"/>
  <c r="D580"/>
  <c r="C580" s="1"/>
  <c r="D207"/>
  <c r="C207" s="1"/>
  <c r="D188"/>
  <c r="D190"/>
  <c r="C190" s="1"/>
  <c r="D220"/>
  <c r="D671"/>
  <c r="D241"/>
  <c r="C241" s="1"/>
  <c r="D438"/>
  <c r="C438" s="1"/>
  <c r="D435"/>
  <c r="C435" s="1"/>
  <c r="D437"/>
  <c r="C437" s="1"/>
  <c r="D440"/>
  <c r="C440" s="1"/>
  <c r="D443"/>
  <c r="C443" s="1"/>
  <c r="D795"/>
  <c r="C795" s="1"/>
  <c r="D884"/>
  <c r="C884" s="1"/>
  <c r="D891"/>
  <c r="C891" s="1"/>
  <c r="D893"/>
  <c r="C893" s="1"/>
  <c r="D895"/>
  <c r="C895" s="1"/>
  <c r="D898"/>
  <c r="C898" s="1"/>
  <c r="D732"/>
  <c r="D731" s="1"/>
  <c r="D426"/>
  <c r="D425" s="1"/>
  <c r="D794"/>
  <c r="D880"/>
  <c r="D878" s="1"/>
  <c r="D1117"/>
  <c r="D60"/>
  <c r="D59" s="1"/>
  <c r="D94"/>
  <c r="D74"/>
  <c r="D87"/>
  <c r="D119"/>
  <c r="D258"/>
  <c r="D257" s="1"/>
  <c r="D406"/>
  <c r="D416"/>
  <c r="D718"/>
  <c r="D717" s="1"/>
  <c r="D761"/>
  <c r="D72"/>
  <c r="D82"/>
  <c r="D75"/>
  <c r="D78"/>
  <c r="D81"/>
  <c r="D95"/>
  <c r="C95" s="1"/>
  <c r="D100"/>
  <c r="C100" s="1"/>
  <c r="D106"/>
  <c r="D111"/>
  <c r="D126"/>
  <c r="C126" s="1"/>
  <c r="D151"/>
  <c r="C151" s="1"/>
  <c r="D153"/>
  <c r="C153" s="1"/>
  <c r="D493"/>
  <c r="C493" s="1"/>
  <c r="D164"/>
  <c r="D168"/>
  <c r="C168" s="1"/>
  <c r="D170"/>
  <c r="C170" s="1"/>
  <c r="D172"/>
  <c r="C172" s="1"/>
  <c r="D173"/>
  <c r="C173" s="1"/>
  <c r="D174"/>
  <c r="C174" s="1"/>
  <c r="D513"/>
  <c r="C513" s="1"/>
  <c r="D175"/>
  <c r="C175" s="1"/>
  <c r="D182"/>
  <c r="D191"/>
  <c r="C191" s="1"/>
  <c r="D194"/>
  <c r="D579"/>
  <c r="C579" s="1"/>
  <c r="D582"/>
  <c r="C582" s="1"/>
  <c r="D596"/>
  <c r="C596" s="1"/>
  <c r="D206"/>
  <c r="D208"/>
  <c r="D212"/>
  <c r="C212" s="1"/>
  <c r="D647"/>
  <c r="C647" s="1"/>
  <c r="D650"/>
  <c r="C650" s="1"/>
  <c r="D240"/>
  <c r="C240" s="1"/>
  <c r="D246"/>
  <c r="D387"/>
  <c r="D390"/>
  <c r="D392"/>
  <c r="D394"/>
  <c r="D396"/>
  <c r="D400"/>
  <c r="D408"/>
  <c r="C408" s="1"/>
  <c r="D410"/>
  <c r="C410" s="1"/>
  <c r="D419"/>
  <c r="C419" s="1"/>
  <c r="D854"/>
  <c r="D877"/>
  <c r="C877" s="1"/>
  <c r="J335"/>
  <c r="J333" s="1"/>
  <c r="I35"/>
  <c r="H335"/>
  <c r="H333" s="1"/>
  <c r="G335"/>
  <c r="G333" s="1"/>
  <c r="F335"/>
  <c r="F333" s="1"/>
  <c r="E335"/>
  <c r="E333" s="1"/>
  <c r="J29"/>
  <c r="J28" s="1"/>
  <c r="I29"/>
  <c r="I28" s="1"/>
  <c r="H29"/>
  <c r="H28" s="1"/>
  <c r="G29"/>
  <c r="G28" s="1"/>
  <c r="F29"/>
  <c r="F28" s="1"/>
  <c r="J12"/>
  <c r="J11" s="1"/>
  <c r="J289"/>
  <c r="H289"/>
  <c r="G289"/>
  <c r="E289"/>
  <c r="J288"/>
  <c r="H288"/>
  <c r="G288"/>
  <c r="G286" s="1"/>
  <c r="E288"/>
  <c r="E286" s="1"/>
  <c r="J480"/>
  <c r="J120" s="1"/>
  <c r="I120"/>
  <c r="H120"/>
  <c r="G120"/>
  <c r="F120"/>
  <c r="E120"/>
  <c r="J286" l="1"/>
  <c r="J757"/>
  <c r="H286"/>
  <c r="D415"/>
  <c r="D427"/>
  <c r="D381"/>
  <c r="J457"/>
  <c r="C1133"/>
  <c r="I10"/>
  <c r="F35"/>
  <c r="F10" s="1"/>
  <c r="H35"/>
  <c r="H10" s="1"/>
  <c r="J35"/>
  <c r="J10" s="1"/>
  <c r="E35"/>
  <c r="E10" s="1"/>
  <c r="G35"/>
  <c r="G10" s="1"/>
  <c r="D849"/>
  <c r="C287"/>
  <c r="C406"/>
  <c r="C880"/>
  <c r="C878" s="1"/>
  <c r="C1104"/>
  <c r="C1103" s="1"/>
  <c r="D1103"/>
  <c r="C326"/>
  <c r="C325" s="1"/>
  <c r="C332"/>
  <c r="C331" s="1"/>
  <c r="C794"/>
  <c r="C793" s="1"/>
  <c r="D793"/>
  <c r="C404"/>
  <c r="C403" s="1"/>
  <c r="C454"/>
  <c r="C453" s="1"/>
  <c r="C874"/>
  <c r="C873" s="1"/>
  <c r="D873"/>
  <c r="C1102"/>
  <c r="C1101" s="1"/>
  <c r="D1101"/>
  <c r="C800"/>
  <c r="C799" s="1"/>
  <c r="D799"/>
  <c r="C322"/>
  <c r="C321" s="1"/>
  <c r="C416"/>
  <c r="C1117"/>
  <c r="C1116" s="1"/>
  <c r="D1116"/>
  <c r="C718"/>
  <c r="C426"/>
  <c r="C425" s="1"/>
  <c r="C897"/>
  <c r="C896" s="1"/>
  <c r="D896"/>
  <c r="C716"/>
  <c r="C715" s="1"/>
  <c r="C98"/>
  <c r="D96"/>
  <c r="C94"/>
  <c r="C89" s="1"/>
  <c r="D89"/>
  <c r="D266"/>
  <c r="C87"/>
  <c r="C86" s="1"/>
  <c r="D86"/>
  <c r="C732"/>
  <c r="C731" s="1"/>
  <c r="D104"/>
  <c r="D68"/>
  <c r="D244"/>
  <c r="C119"/>
  <c r="C118" s="1"/>
  <c r="D118"/>
  <c r="C238"/>
  <c r="C237" s="1"/>
  <c r="D237"/>
  <c r="D12"/>
  <c r="D11" s="1"/>
  <c r="D29"/>
  <c r="D28" s="1"/>
  <c r="D480"/>
  <c r="D120" s="1"/>
  <c r="D335"/>
  <c r="D333" s="1"/>
  <c r="D288"/>
  <c r="D289"/>
  <c r="C289" s="1"/>
  <c r="N480"/>
  <c r="N457" s="1"/>
  <c r="I1131"/>
  <c r="H1131"/>
  <c r="G1131"/>
  <c r="F1131"/>
  <c r="E1132"/>
  <c r="E1131" s="1"/>
  <c r="J8" l="1"/>
  <c r="D286"/>
  <c r="V264"/>
  <c r="V480"/>
  <c r="C335"/>
  <c r="C333" s="1"/>
  <c r="D35"/>
  <c r="D10" s="1"/>
  <c r="C12"/>
  <c r="C288"/>
  <c r="C286" s="1"/>
  <c r="C267"/>
  <c r="C266" s="1"/>
  <c r="V267"/>
  <c r="C480"/>
  <c r="D1132"/>
  <c r="E343"/>
  <c r="N342"/>
  <c r="N339" s="1"/>
  <c r="G342"/>
  <c r="G339" s="1"/>
  <c r="F342"/>
  <c r="F339" s="1"/>
  <c r="E342"/>
  <c r="E339" s="1"/>
  <c r="R342"/>
  <c r="R339" s="1"/>
  <c r="I1105"/>
  <c r="H1105"/>
  <c r="H757" s="1"/>
  <c r="G1105"/>
  <c r="F1105"/>
  <c r="E1106"/>
  <c r="E1105" s="1"/>
  <c r="C1132" l="1"/>
  <c r="C1131" s="1"/>
  <c r="D1131"/>
  <c r="V342"/>
  <c r="D342"/>
  <c r="D585"/>
  <c r="D457" s="1"/>
  <c r="D1106"/>
  <c r="D343"/>
  <c r="I881"/>
  <c r="G881"/>
  <c r="F881"/>
  <c r="F757" s="1"/>
  <c r="E882"/>
  <c r="E881" s="1"/>
  <c r="D339" l="1"/>
  <c r="C343"/>
  <c r="C585"/>
  <c r="C1106"/>
  <c r="C1105" s="1"/>
  <c r="D1105"/>
  <c r="C342"/>
  <c r="C339" s="1"/>
  <c r="D882"/>
  <c r="N700"/>
  <c r="N699" s="1"/>
  <c r="E699"/>
  <c r="N358"/>
  <c r="N357" s="1"/>
  <c r="N821"/>
  <c r="N820"/>
  <c r="N817"/>
  <c r="I822"/>
  <c r="I757" s="1"/>
  <c r="G822"/>
  <c r="G757" s="1"/>
  <c r="E823"/>
  <c r="E822" s="1"/>
  <c r="E757" s="1"/>
  <c r="C882" l="1"/>
  <c r="D881"/>
  <c r="N816"/>
  <c r="C821"/>
  <c r="V821"/>
  <c r="C820"/>
  <c r="V820"/>
  <c r="C817"/>
  <c r="V817"/>
  <c r="V700"/>
  <c r="C358"/>
  <c r="C357" s="1"/>
  <c r="V358"/>
  <c r="D823"/>
  <c r="D822" s="1"/>
  <c r="D700"/>
  <c r="D699" s="1"/>
  <c r="D757" l="1"/>
  <c r="C816"/>
  <c r="V816" s="1"/>
  <c r="C700"/>
  <c r="C699" s="1"/>
  <c r="C823"/>
  <c r="C822" s="1"/>
  <c r="L612"/>
  <c r="L457" s="1"/>
  <c r="C612" l="1"/>
  <c r="D414"/>
  <c r="C414" s="1"/>
  <c r="D413"/>
  <c r="N883"/>
  <c r="N881" s="1"/>
  <c r="E743"/>
  <c r="E734" s="1"/>
  <c r="S82"/>
  <c r="C203"/>
  <c r="C533"/>
  <c r="C188"/>
  <c r="R479"/>
  <c r="C420"/>
  <c r="C418"/>
  <c r="C29"/>
  <c r="C28" s="1"/>
  <c r="N268"/>
  <c r="C726"/>
  <c r="R257"/>
  <c r="V254"/>
  <c r="V253"/>
  <c r="C710"/>
  <c r="C708"/>
  <c r="C707"/>
  <c r="V246"/>
  <c r="C227"/>
  <c r="C194"/>
  <c r="V156"/>
  <c r="R116"/>
  <c r="C442"/>
  <c r="C111"/>
  <c r="C432"/>
  <c r="V106"/>
  <c r="N66"/>
  <c r="N49"/>
  <c r="C34"/>
  <c r="C33" s="1"/>
  <c r="C328"/>
  <c r="C327" s="1"/>
  <c r="C299"/>
  <c r="C293"/>
  <c r="C208"/>
  <c r="N1008"/>
  <c r="N902" s="1"/>
  <c r="C682"/>
  <c r="C182"/>
  <c r="V220"/>
  <c r="R671"/>
  <c r="C671" s="1"/>
  <c r="S391"/>
  <c r="S390"/>
  <c r="P386"/>
  <c r="P388"/>
  <c r="C282"/>
  <c r="C280"/>
  <c r="P164"/>
  <c r="V164"/>
  <c r="C458"/>
  <c r="C928"/>
  <c r="C904"/>
  <c r="C365"/>
  <c r="C364" s="1"/>
  <c r="R761"/>
  <c r="R757" s="1"/>
  <c r="L310"/>
  <c r="L291" s="1"/>
  <c r="C776"/>
  <c r="C762"/>
  <c r="C371"/>
  <c r="C368" s="1"/>
  <c r="C27"/>
  <c r="C26" s="1"/>
  <c r="C792"/>
  <c r="C789" s="1"/>
  <c r="C484"/>
  <c r="L1087"/>
  <c r="L902" s="1"/>
  <c r="L757" s="1"/>
  <c r="C724"/>
  <c r="C725"/>
  <c r="C469"/>
  <c r="V70"/>
  <c r="V69"/>
  <c r="N74"/>
  <c r="R74"/>
  <c r="V71"/>
  <c r="V75"/>
  <c r="S75"/>
  <c r="N77"/>
  <c r="V77" s="1"/>
  <c r="P77"/>
  <c r="R77"/>
  <c r="V76"/>
  <c r="S76"/>
  <c r="V78"/>
  <c r="S78"/>
  <c r="V79"/>
  <c r="P79"/>
  <c r="S79"/>
  <c r="P80"/>
  <c r="R80"/>
  <c r="N81"/>
  <c r="V81" s="1"/>
  <c r="V82"/>
  <c r="N83"/>
  <c r="V83" s="1"/>
  <c r="R83"/>
  <c r="S83"/>
  <c r="N84"/>
  <c r="V84" s="1"/>
  <c r="R84"/>
  <c r="S84"/>
  <c r="C385"/>
  <c r="P387"/>
  <c r="S387"/>
  <c r="N392"/>
  <c r="N381" s="1"/>
  <c r="P397"/>
  <c r="V394"/>
  <c r="S395"/>
  <c r="P398"/>
  <c r="P399"/>
  <c r="S399"/>
  <c r="P400"/>
  <c r="S400"/>
  <c r="C401"/>
  <c r="C402"/>
  <c r="P850"/>
  <c r="S850"/>
  <c r="P851"/>
  <c r="S851"/>
  <c r="P852"/>
  <c r="S852"/>
  <c r="P853"/>
  <c r="S853"/>
  <c r="P854"/>
  <c r="S854"/>
  <c r="S855"/>
  <c r="S856"/>
  <c r="P857"/>
  <c r="C859"/>
  <c r="S860"/>
  <c r="S861"/>
  <c r="S862"/>
  <c r="S863"/>
  <c r="N68" l="1"/>
  <c r="R68"/>
  <c r="C704"/>
  <c r="C723"/>
  <c r="R457"/>
  <c r="P381"/>
  <c r="D405"/>
  <c r="E8"/>
  <c r="I8"/>
  <c r="F8"/>
  <c r="H8"/>
  <c r="G8"/>
  <c r="C270"/>
  <c r="C413"/>
  <c r="V392"/>
  <c r="C1087"/>
  <c r="P849"/>
  <c r="P757" s="1"/>
  <c r="C310"/>
  <c r="C291" s="1"/>
  <c r="S849"/>
  <c r="S757" s="1"/>
  <c r="R104"/>
  <c r="V46"/>
  <c r="C52"/>
  <c r="R49"/>
  <c r="C479"/>
  <c r="R120"/>
  <c r="C196"/>
  <c r="L120"/>
  <c r="L10" s="1"/>
  <c r="S68"/>
  <c r="S10" s="1"/>
  <c r="P120"/>
  <c r="N38"/>
  <c r="N104"/>
  <c r="R244"/>
  <c r="V252"/>
  <c r="N251"/>
  <c r="V258"/>
  <c r="N257"/>
  <c r="V74"/>
  <c r="V117"/>
  <c r="N116"/>
  <c r="V245"/>
  <c r="N244"/>
  <c r="N120"/>
  <c r="P68"/>
  <c r="R251"/>
  <c r="C387"/>
  <c r="C228"/>
  <c r="V228"/>
  <c r="C221"/>
  <c r="V221"/>
  <c r="C1008"/>
  <c r="V1008"/>
  <c r="C21"/>
  <c r="V21"/>
  <c r="C40"/>
  <c r="V40"/>
  <c r="C99"/>
  <c r="V99"/>
  <c r="C230"/>
  <c r="V230"/>
  <c r="C25"/>
  <c r="C24" s="1"/>
  <c r="V25"/>
  <c r="C206"/>
  <c r="V206"/>
  <c r="C214"/>
  <c r="V214"/>
  <c r="C143"/>
  <c r="V143"/>
  <c r="C23"/>
  <c r="V23"/>
  <c r="C51"/>
  <c r="V51"/>
  <c r="C67"/>
  <c r="V67"/>
  <c r="C123"/>
  <c r="V123"/>
  <c r="C269"/>
  <c r="C268" s="1"/>
  <c r="V269"/>
  <c r="C115"/>
  <c r="C114" s="1"/>
  <c r="V115"/>
  <c r="C73"/>
  <c r="V73"/>
  <c r="C72"/>
  <c r="V72"/>
  <c r="C60"/>
  <c r="V60"/>
  <c r="C146"/>
  <c r="V146"/>
  <c r="C144"/>
  <c r="V144"/>
  <c r="C233"/>
  <c r="V233"/>
  <c r="C42"/>
  <c r="V42"/>
  <c r="C65"/>
  <c r="C64" s="1"/>
  <c r="V65"/>
  <c r="C105"/>
  <c r="V105"/>
  <c r="C225"/>
  <c r="V225"/>
  <c r="C145"/>
  <c r="V145"/>
  <c r="C199"/>
  <c r="V199"/>
  <c r="C16"/>
  <c r="V16"/>
  <c r="C22"/>
  <c r="V22"/>
  <c r="C41"/>
  <c r="V41"/>
  <c r="C54"/>
  <c r="V54"/>
  <c r="C102"/>
  <c r="V102"/>
  <c r="C107"/>
  <c r="V107"/>
  <c r="C213"/>
  <c r="V213"/>
  <c r="C165"/>
  <c r="V165"/>
  <c r="C883"/>
  <c r="C881" s="1"/>
  <c r="V883"/>
  <c r="C431"/>
  <c r="C427" s="1"/>
  <c r="C246"/>
  <c r="C106"/>
  <c r="C117"/>
  <c r="C698"/>
  <c r="C695" s="1"/>
  <c r="C383"/>
  <c r="C392"/>
  <c r="C82"/>
  <c r="C80"/>
  <c r="C69"/>
  <c r="C658"/>
  <c r="C79"/>
  <c r="C75"/>
  <c r="C494"/>
  <c r="C602"/>
  <c r="C388"/>
  <c r="C245"/>
  <c r="C412"/>
  <c r="C863"/>
  <c r="C856"/>
  <c r="C398"/>
  <c r="C862"/>
  <c r="C855"/>
  <c r="C394"/>
  <c r="C84"/>
  <c r="C78"/>
  <c r="C71"/>
  <c r="C396"/>
  <c r="C393"/>
  <c r="C81"/>
  <c r="C70"/>
  <c r="C220"/>
  <c r="C156"/>
  <c r="C252"/>
  <c r="C254"/>
  <c r="C258"/>
  <c r="C257" s="1"/>
  <c r="C422"/>
  <c r="C854"/>
  <c r="C852"/>
  <c r="C850"/>
  <c r="C46"/>
  <c r="C45" s="1"/>
  <c r="C424"/>
  <c r="C423" s="1"/>
  <c r="C164"/>
  <c r="C386"/>
  <c r="C861"/>
  <c r="C397"/>
  <c r="C83"/>
  <c r="C76"/>
  <c r="C919"/>
  <c r="C978"/>
  <c r="C390"/>
  <c r="C853"/>
  <c r="C851"/>
  <c r="C1127"/>
  <c r="C1125" s="1"/>
  <c r="C788"/>
  <c r="C786" s="1"/>
  <c r="C860"/>
  <c r="C857"/>
  <c r="C400"/>
  <c r="C399"/>
  <c r="C395"/>
  <c r="C77"/>
  <c r="C74"/>
  <c r="C766"/>
  <c r="C761" s="1"/>
  <c r="C421"/>
  <c r="C391"/>
  <c r="C253"/>
  <c r="C720"/>
  <c r="C717" s="1"/>
  <c r="V26"/>
  <c r="N761"/>
  <c r="N757" s="1"/>
  <c r="D743"/>
  <c r="S381"/>
  <c r="V360"/>
  <c r="V425"/>
  <c r="V450"/>
  <c r="V751"/>
  <c r="V835"/>
  <c r="V840"/>
  <c r="V896"/>
  <c r="V1121"/>
  <c r="V118"/>
  <c r="V319"/>
  <c r="V43"/>
  <c r="V266"/>
  <c r="V313"/>
  <c r="V331"/>
  <c r="V453"/>
  <c r="V831"/>
  <c r="V878"/>
  <c r="V899"/>
  <c r="V1107"/>
  <c r="V1119"/>
  <c r="V1151"/>
  <c r="C244" l="1"/>
  <c r="V244" s="1"/>
  <c r="C405"/>
  <c r="V89" s="1"/>
  <c r="C457"/>
  <c r="C415"/>
  <c r="C743"/>
  <c r="C734" s="1"/>
  <c r="D734"/>
  <c r="L8"/>
  <c r="C902"/>
  <c r="C849"/>
  <c r="C11"/>
  <c r="C251"/>
  <c r="N10"/>
  <c r="N8" s="1"/>
  <c r="R10"/>
  <c r="R8" s="1"/>
  <c r="P10"/>
  <c r="P8" s="1"/>
  <c r="C59"/>
  <c r="V59" s="1"/>
  <c r="C116"/>
  <c r="V116" s="1"/>
  <c r="C68"/>
  <c r="C96"/>
  <c r="C66"/>
  <c r="V66" s="1"/>
  <c r="C53"/>
  <c r="V53" s="1"/>
  <c r="C104"/>
  <c r="C120"/>
  <c r="C49"/>
  <c r="C38"/>
  <c r="V24"/>
  <c r="C381"/>
  <c r="S8"/>
  <c r="V786"/>
  <c r="V268"/>
  <c r="V262"/>
  <c r="V55"/>
  <c r="V47"/>
  <c r="V325"/>
  <c r="V257"/>
  <c r="V64"/>
  <c r="V237"/>
  <c r="V242"/>
  <c r="V114"/>
  <c r="V86"/>
  <c r="V423"/>
  <c r="V61"/>
  <c r="V30"/>
  <c r="V255"/>
  <c r="V57"/>
  <c r="V259"/>
  <c r="V28"/>
  <c r="V247"/>
  <c r="C757" l="1"/>
  <c r="V10"/>
  <c r="D8"/>
  <c r="C10"/>
  <c r="V38"/>
  <c r="V33"/>
  <c r="V96"/>
  <c r="V251"/>
  <c r="V49"/>
  <c r="V104"/>
  <c r="V11"/>
  <c r="V120"/>
  <c r="C8" l="1"/>
  <c r="V45"/>
  <c r="V270"/>
  <c r="V822"/>
  <c r="V35" l="1"/>
  <c r="V68"/>
  <c r="V804" l="1"/>
</calcChain>
</file>

<file path=xl/sharedStrings.xml><?xml version="1.0" encoding="utf-8"?>
<sst xmlns="http://schemas.openxmlformats.org/spreadsheetml/2006/main" count="2189" uniqueCount="1988">
  <si>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</si>
  <si>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</si>
  <si>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</si>
  <si>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</si>
  <si>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</si>
  <si>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</si>
  <si>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</si>
  <si>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</si>
  <si>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</si>
  <si>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</si>
  <si>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</si>
  <si>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</si>
  <si>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</si>
  <si>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</si>
  <si>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</si>
  <si>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</si>
  <si>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</si>
  <si>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</si>
  <si>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</si>
  <si>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</si>
  <si>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</si>
  <si>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</si>
  <si>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</si>
  <si>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</si>
  <si>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</si>
  <si>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</si>
  <si>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</si>
  <si>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</si>
  <si>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</si>
  <si>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</si>
  <si>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</si>
  <si>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</si>
  <si>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</si>
  <si>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</si>
  <si>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</si>
  <si>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</si>
  <si>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</si>
  <si>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</si>
  <si>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</si>
  <si>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</si>
  <si>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</si>
  <si>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</si>
  <si>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</si>
  <si>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</si>
  <si>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</si>
  <si>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</si>
  <si>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</si>
  <si>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</si>
  <si>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</si>
  <si>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</si>
  <si>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</si>
  <si>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</si>
  <si>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</si>
  <si>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</si>
  <si>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</si>
  <si>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</si>
  <si>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</si>
  <si>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</si>
  <si>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</si>
  <si>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</si>
  <si>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</si>
  <si>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</si>
  <si>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</si>
  <si>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</si>
  <si>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</si>
  <si>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</si>
  <si>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</si>
  <si>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</si>
  <si>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</si>
  <si>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</si>
  <si>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</si>
  <si>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</si>
  <si>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</si>
  <si>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</si>
  <si>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</si>
  <si>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</si>
  <si>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</si>
  <si>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</si>
  <si>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</si>
  <si>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</si>
  <si>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</si>
  <si>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</si>
  <si>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</si>
  <si>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</si>
  <si>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</si>
  <si>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</si>
  <si>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</si>
  <si>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</si>
  <si>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</si>
  <si>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</si>
  <si>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</si>
  <si>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</si>
  <si>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</si>
  <si>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</si>
  <si>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</si>
  <si>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</si>
  <si>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</si>
  <si>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</si>
  <si>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</si>
  <si>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</si>
  <si>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</si>
  <si>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</si>
  <si>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</si>
  <si>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</si>
  <si>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</si>
  <si>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</si>
  <si>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</si>
  <si>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</si>
  <si>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</si>
  <si>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</si>
  <si>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</si>
  <si>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</si>
  <si>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</si>
  <si>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</si>
  <si>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</si>
  <si>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</si>
  <si>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</si>
  <si>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</si>
  <si>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</si>
  <si>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</si>
  <si>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</si>
  <si>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</si>
  <si>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</si>
  <si>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</si>
  <si>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</si>
  <si>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</si>
  <si>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</si>
  <si>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</si>
  <si>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</si>
  <si>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</si>
  <si>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</si>
  <si>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</si>
  <si>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</si>
  <si>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</si>
  <si>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</si>
  <si>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</si>
  <si>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</si>
  <si>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</si>
  <si>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</si>
  <si>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</si>
  <si>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</si>
  <si>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</si>
  <si>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</si>
  <si>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</si>
  <si>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</si>
  <si>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</si>
  <si>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</si>
  <si>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</si>
  <si>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</si>
  <si>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</si>
  <si>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</si>
  <si>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</si>
  <si>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</si>
  <si>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</si>
  <si>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</si>
  <si>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</si>
  <si>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</si>
  <si>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</si>
  <si>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</si>
  <si>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</si>
  <si>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</si>
  <si>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</si>
  <si>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</si>
  <si>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</si>
  <si>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</si>
  <si>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</si>
  <si>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</si>
  <si>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</si>
  <si>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</si>
  <si>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</si>
  <si>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</si>
  <si>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</si>
  <si>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</si>
  <si>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</si>
  <si>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</si>
  <si>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</si>
  <si>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</si>
  <si>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</si>
  <si>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</si>
  <si>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</si>
  <si>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</si>
  <si>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</si>
  <si>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</si>
  <si>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</si>
  <si>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</si>
  <si>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</si>
  <si>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</si>
  <si>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</si>
  <si>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</si>
  <si>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</si>
  <si>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</si>
  <si>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</si>
  <si>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</si>
  <si>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</si>
  <si>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</si>
  <si>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</si>
  <si>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</si>
  <si>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</si>
  <si>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</si>
  <si>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</si>
  <si>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</si>
  <si>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</si>
  <si>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</si>
  <si>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</si>
  <si>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</si>
  <si>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</si>
  <si>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</si>
  <si>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</si>
  <si>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</si>
  <si>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</si>
  <si>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</si>
  <si>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</si>
  <si>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</si>
  <si>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</si>
  <si>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</si>
  <si>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</si>
  <si>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</si>
  <si>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</si>
  <si>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</si>
  <si>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</si>
  <si>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</si>
  <si>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</si>
  <si>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</si>
  <si>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</si>
  <si>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</si>
  <si>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</si>
  <si>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</si>
  <si>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</si>
  <si>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</si>
  <si>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</si>
  <si>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</si>
  <si>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</si>
  <si>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</si>
  <si>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</si>
  <si>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</si>
  <si>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</si>
  <si>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</si>
  <si>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</si>
  <si>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</si>
  <si>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</si>
  <si>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</si>
  <si>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</si>
  <si>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</si>
  <si>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</si>
  <si>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</si>
  <si>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</si>
  <si>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</si>
  <si>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</si>
  <si>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</si>
  <si>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</si>
  <si>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</si>
  <si>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</si>
  <si>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</si>
  <si>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</si>
  <si>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</si>
  <si>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</si>
  <si>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</si>
  <si>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</si>
  <si>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</si>
  <si>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</si>
  <si>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</si>
  <si>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</si>
  <si>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</si>
  <si>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</si>
  <si>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</si>
  <si>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</si>
  <si>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</si>
  <si>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</si>
  <si>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</si>
  <si>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</si>
  <si>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</si>
  <si>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</si>
  <si>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</si>
  <si>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</si>
  <si>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</si>
  <si>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</si>
  <si>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</si>
  <si>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</si>
  <si>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</si>
  <si>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</si>
  <si>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</si>
  <si>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</si>
  <si>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</si>
  <si>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</si>
  <si>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</si>
  <si>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</si>
  <si>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</si>
  <si>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</si>
  <si>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</si>
  <si>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</si>
  <si>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</si>
  <si>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</si>
  <si>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</si>
  <si>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</si>
  <si>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</si>
  <si>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</si>
  <si>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</si>
  <si>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</si>
  <si>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</si>
  <si>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</si>
  <si>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</si>
  <si>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</si>
  <si>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</si>
  <si>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</si>
  <si>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</si>
  <si>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</si>
  <si>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</si>
  <si>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</si>
  <si>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</si>
  <si>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</si>
  <si>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</si>
  <si>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</si>
  <si>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</si>
  <si>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</si>
  <si>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</si>
  <si>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</si>
  <si>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</si>
  <si>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</si>
  <si>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</si>
  <si>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</si>
  <si>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</si>
  <si>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</si>
  <si>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</si>
  <si>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</si>
  <si>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</si>
  <si>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</si>
  <si>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</si>
  <si>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</si>
  <si>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</si>
  <si>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</si>
  <si>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</si>
  <si>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</si>
  <si>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</si>
  <si>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</si>
  <si>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</si>
  <si>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</si>
  <si>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</si>
  <si>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</si>
  <si>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</si>
  <si>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</si>
  <si>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</si>
  <si>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</si>
  <si>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</si>
  <si>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</si>
  <si>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</si>
  <si>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</si>
  <si>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</si>
  <si>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</si>
  <si>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</si>
  <si>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</si>
  <si>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</si>
  <si>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</si>
  <si>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</si>
  <si>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</si>
  <si>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</si>
  <si>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</si>
  <si>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</si>
  <si>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</si>
  <si>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</si>
  <si>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</si>
  <si>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</si>
  <si>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</si>
  <si>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</si>
  <si>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</si>
  <si>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</si>
  <si>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</si>
  <si>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</si>
  <si>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</si>
  <si>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</si>
  <si>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</si>
  <si>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</si>
  <si>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</si>
  <si>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</si>
  <si>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</si>
  <si>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</si>
  <si>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</si>
  <si>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</si>
  <si>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</si>
  <si>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</si>
  <si>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</si>
  <si>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</si>
  <si>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</si>
  <si>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</si>
  <si>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</si>
  <si>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</si>
  <si>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</si>
  <si>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</si>
  <si>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</si>
  <si>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</si>
  <si>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</si>
  <si>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</si>
  <si>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</si>
  <si>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</si>
  <si>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</si>
  <si>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</si>
  <si>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</si>
  <si>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</si>
  <si>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</si>
  <si>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</si>
  <si>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</si>
  <si>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</si>
  <si>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</si>
  <si>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</si>
  <si>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</si>
  <si>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</si>
  <si>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</si>
  <si>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</si>
  <si>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</si>
  <si>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</si>
  <si>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</si>
  <si>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</si>
  <si>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</si>
  <si>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</si>
  <si>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</si>
  <si>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</si>
  <si>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</si>
  <si>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</si>
  <si>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</si>
  <si>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</si>
  <si>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</si>
  <si>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</si>
  <si>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</si>
  <si>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</si>
  <si>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</si>
  <si>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</si>
  <si>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</si>
  <si>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</si>
  <si>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</si>
  <si>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</si>
  <si>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</si>
  <si>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</si>
  <si>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</si>
  <si>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</si>
  <si>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</si>
  <si>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</si>
  <si>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</si>
  <si>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</si>
  <si>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</si>
  <si>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</si>
  <si>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</si>
  <si>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</si>
  <si>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</si>
  <si>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</si>
  <si>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</si>
  <si>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</si>
  <si>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</si>
  <si>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</si>
  <si>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</si>
  <si>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</si>
  <si>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</si>
  <si>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</si>
  <si>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</si>
  <si>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</si>
  <si>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</si>
  <si>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</si>
  <si>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</si>
  <si>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</si>
  <si>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</si>
  <si>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</si>
  <si>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</si>
  <si>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</si>
  <si>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</si>
  <si>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</si>
  <si>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</si>
  <si>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</si>
  <si>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</si>
  <si>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</si>
  <si>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</si>
  <si>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</si>
  <si>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</si>
  <si>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</si>
  <si>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</si>
  <si>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</si>
  <si>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</si>
  <si>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</si>
  <si>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</si>
  <si>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</si>
  <si>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</si>
  <si>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</si>
  <si>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</si>
  <si>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</si>
  <si>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</si>
  <si>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</si>
  <si>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</si>
  <si>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</si>
  <si>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</si>
  <si>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</si>
  <si>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</si>
  <si>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</si>
  <si>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</si>
  <si>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</si>
  <si>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</si>
  <si>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</si>
  <si>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</si>
  <si>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</si>
  <si>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</si>
  <si>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</si>
  <si>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</si>
  <si>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</si>
  <si>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</si>
  <si>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</si>
  <si>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</si>
  <si>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</si>
  <si>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</si>
  <si>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</si>
  <si>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</si>
  <si>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</si>
  <si>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</si>
  <si>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</si>
  <si>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</si>
  <si>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</si>
  <si>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</si>
  <si>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</si>
  <si>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</si>
  <si>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</si>
  <si>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</si>
  <si>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</si>
  <si>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</si>
  <si>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</si>
  <si>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</si>
  <si>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</si>
  <si>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</si>
  <si>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</si>
  <si>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</si>
  <si>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</si>
  <si>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</si>
  <si>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</si>
  <si>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</si>
  <si>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</si>
  <si>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</si>
  <si>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</si>
  <si>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</si>
  <si>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</si>
  <si>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</si>
  <si>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</si>
  <si>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</si>
  <si>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</si>
  <si>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</si>
  <si>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</si>
  <si>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</si>
  <si>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</si>
  <si>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</si>
  <si>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</si>
  <si>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</si>
  <si>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</si>
  <si>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</si>
  <si>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</si>
  <si>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</si>
  <si>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</si>
  <si>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</si>
  <si>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</si>
  <si>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</si>
  <si>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</si>
  <si>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</si>
  <si>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</si>
  <si>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</si>
  <si>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</si>
  <si>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</si>
  <si>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</si>
  <si>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</si>
  <si>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</si>
  <si>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</si>
  <si>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</si>
  <si>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</si>
  <si>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</si>
  <si>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</si>
  <si>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</si>
  <si>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</si>
  <si>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</si>
  <si>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</si>
  <si>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</si>
  <si>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</si>
  <si>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</si>
  <si>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</si>
  <si>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</si>
  <si>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</si>
  <si>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</si>
  <si>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</si>
  <si>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</si>
  <si>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</si>
  <si>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</si>
  <si>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</si>
  <si>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</si>
  <si>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</si>
  <si>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</si>
  <si>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</si>
  <si>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</si>
  <si>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</si>
  <si>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</si>
  <si>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</si>
  <si>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</si>
  <si>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</si>
  <si>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</si>
  <si>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</si>
  <si>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</si>
  <si>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</si>
  <si>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</si>
  <si>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</si>
  <si>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</si>
  <si>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</si>
  <si>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</si>
  <si>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</si>
  <si>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</si>
  <si>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</si>
  <si>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</si>
  <si>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</si>
  <si>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</si>
  <si>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</si>
  <si>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</si>
  <si>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</si>
  <si>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</si>
  <si>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</si>
  <si>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</si>
  <si>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</si>
  <si>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</si>
  <si>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</si>
  <si>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</si>
  <si>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</si>
  <si>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</si>
  <si>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</si>
  <si>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</si>
  <si>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</si>
  <si>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</si>
  <si>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</si>
  <si>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</si>
  <si>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</si>
  <si>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</si>
  <si>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</si>
  <si>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</si>
  <si>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</si>
  <si>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</si>
  <si>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</si>
  <si>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</si>
  <si>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</si>
  <si>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</si>
  <si>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</si>
  <si>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</si>
  <si>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</si>
  <si>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</si>
  <si>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</si>
  <si>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</si>
  <si>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</si>
  <si>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</si>
  <si>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</si>
  <si>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</si>
  <si>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</si>
  <si>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</si>
  <si>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</si>
  <si>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</si>
  <si>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</si>
  <si>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</si>
  <si>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</si>
  <si>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</si>
  <si>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</si>
  <si>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</si>
  <si>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</si>
  <si>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</si>
  <si>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</si>
  <si>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</si>
  <si>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</si>
  <si>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</si>
  <si>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</si>
  <si>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</si>
  <si>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</si>
  <si>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</si>
  <si>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</si>
  <si>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</si>
  <si>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</si>
  <si>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</si>
  <si>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</si>
  <si>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</si>
  <si>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</si>
  <si>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</si>
  <si>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</si>
  <si>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</si>
  <si>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</si>
  <si>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</si>
  <si>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</si>
  <si>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</si>
  <si>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</si>
  <si>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</si>
  <si>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</si>
  <si>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</si>
  <si>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</si>
  <si>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</si>
  <si>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</si>
  <si>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</si>
  <si>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</si>
  <si>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</si>
  <si>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</si>
  <si>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</si>
  <si>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</si>
  <si>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</si>
  <si>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</si>
  <si>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</si>
  <si>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</si>
  <si>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</si>
  <si>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</si>
  <si>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</si>
  <si>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</si>
  <si>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</si>
  <si>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</si>
  <si>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</si>
  <si>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</si>
  <si>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</si>
  <si>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</si>
  <si>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</si>
  <si>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</si>
  <si>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</si>
  <si>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</si>
  <si>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</si>
  <si>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</si>
  <si>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</si>
  <si>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</si>
  <si>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</si>
  <si>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</si>
  <si>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</si>
  <si>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</si>
  <si>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</si>
  <si>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</si>
  <si>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</si>
  <si>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</si>
  <si>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</si>
  <si>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</si>
  <si>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</si>
  <si>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</si>
  <si>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</si>
  <si>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</si>
  <si>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</si>
  <si>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</si>
  <si>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</si>
  <si>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</si>
  <si>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</si>
  <si>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</si>
  <si>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</si>
  <si>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</si>
  <si>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</si>
  <si>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</si>
  <si>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</si>
  <si>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</si>
  <si>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</si>
  <si>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</si>
  <si>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</si>
  <si>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</si>
  <si>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</si>
  <si>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</si>
  <si>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</si>
  <si>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</si>
  <si>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</si>
  <si>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</si>
  <si>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</si>
  <si>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</si>
  <si>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</si>
  <si>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</si>
  <si>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</si>
  <si>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</si>
  <si>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</si>
  <si>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</si>
  <si>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</si>
  <si>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</si>
  <si>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</si>
  <si>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</si>
  <si>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</si>
  <si>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</si>
  <si>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</si>
  <si>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</si>
  <si>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</si>
  <si>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</si>
  <si>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</si>
  <si>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</si>
  <si>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</si>
  <si>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</si>
  <si>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</si>
  <si>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</si>
  <si>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</si>
  <si>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</si>
  <si>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</si>
  <si>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</si>
  <si>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</si>
  <si>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</si>
  <si>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</si>
  <si>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</si>
  <si>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</si>
  <si>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</si>
  <si>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</si>
  <si>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</si>
  <si>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</si>
  <si>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</si>
  <si>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</si>
  <si>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</si>
  <si>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</si>
  <si>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</si>
  <si>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</si>
  <si>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</si>
  <si>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</si>
  <si>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</si>
  <si>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</si>
  <si>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</si>
  <si>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</si>
  <si>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</si>
  <si>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</si>
  <si>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</si>
  <si>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</si>
  <si>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</si>
  <si>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</si>
  <si>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</si>
  <si>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</si>
  <si>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</si>
  <si>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</si>
  <si>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</si>
  <si>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</si>
  <si>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</si>
  <si>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</si>
  <si>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</si>
  <si>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</si>
  <si>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</si>
  <si>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</si>
  <si>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</si>
  <si>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</si>
  <si>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</si>
  <si>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</si>
  <si>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</si>
  <si>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</si>
  <si>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</si>
  <si>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</si>
  <si>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</si>
  <si>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</si>
  <si>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</si>
  <si>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</si>
  <si>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</si>
  <si>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352.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</si>
  <si>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</si>
  <si>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</si>
  <si>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</si>
  <si>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</si>
  <si>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</si>
  <si>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</si>
  <si>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</si>
  <si>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</si>
  <si>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</si>
  <si>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</si>
  <si>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</si>
  <si>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</si>
  <si>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</si>
  <si>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</si>
  <si>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</si>
  <si>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</si>
  <si>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</si>
  <si>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</si>
  <si>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</si>
  <si>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</si>
  <si>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</si>
  <si>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</si>
  <si>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</si>
  <si>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</si>
  <si>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</si>
  <si>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</si>
  <si>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</si>
  <si>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</si>
  <si>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</si>
  <si>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</si>
  <si>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</si>
  <si>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</si>
  <si>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</si>
  <si>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</si>
  <si>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</si>
  <si>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</si>
  <si>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</si>
  <si>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</si>
  <si>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</si>
  <si>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</si>
  <si>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</si>
  <si>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</si>
  <si>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</si>
  <si>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</si>
  <si>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</si>
  <si>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</si>
  <si>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</si>
  <si>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</si>
  <si>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</si>
  <si>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</si>
  <si>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</si>
  <si>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</si>
  <si>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</si>
  <si>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</si>
  <si>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</si>
  <si>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</si>
  <si>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</si>
  <si>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</si>
  <si>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</si>
  <si>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</si>
  <si>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</si>
  <si>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</si>
  <si>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</si>
  <si>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</si>
  <si>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</si>
  <si>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</si>
  <si>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</si>
  <si>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</si>
  <si>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</si>
  <si>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</si>
  <si>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</si>
  <si>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</si>
  <si>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</si>
  <si>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</si>
  <si>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</si>
  <si>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</si>
  <si>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</si>
  <si>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</si>
  <si>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</si>
  <si>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</si>
  <si>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</si>
  <si>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</si>
  <si>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</si>
  <si>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</si>
  <si>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</si>
  <si>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</si>
  <si>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</si>
  <si>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</si>
  <si>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</si>
  <si>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</si>
  <si>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</si>
  <si>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</si>
  <si>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</si>
  <si>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</si>
  <si>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</si>
  <si>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</si>
  <si>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</si>
  <si>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</si>
  <si>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</si>
  <si>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</si>
  <si>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</si>
  <si>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</si>
  <si>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</si>
  <si>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</si>
  <si>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</si>
  <si>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</si>
  <si>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</si>
  <si>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</si>
  <si>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</si>
  <si>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</si>
  <si>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</si>
  <si>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</si>
  <si>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</si>
  <si>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</si>
  <si>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</si>
  <si>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</si>
  <si>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</si>
  <si>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</si>
  <si>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</si>
  <si>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</si>
  <si>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</si>
  <si>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</si>
  <si>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</si>
  <si>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</si>
  <si>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</si>
  <si>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</si>
  <si>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</si>
  <si>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</si>
  <si>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</si>
  <si>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</si>
  <si>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</si>
  <si>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</si>
  <si>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</si>
  <si>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</si>
  <si>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</si>
  <si>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</si>
  <si>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</si>
  <si>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</si>
  <si>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</si>
  <si>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</si>
  <si>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</si>
  <si>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</si>
  <si>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</si>
  <si>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</si>
  <si>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</si>
  <si>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</si>
  <si>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</si>
  <si>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</si>
  <si>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</si>
  <si>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</si>
  <si>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</si>
  <si>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</si>
  <si>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</si>
  <si>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</si>
  <si>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</si>
  <si>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</si>
  <si>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</si>
  <si>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</si>
  <si>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</si>
  <si>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</si>
  <si>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</si>
  <si>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</si>
  <si>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</si>
  <si>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</si>
  <si>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</si>
  <si>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</si>
  <si>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828.</t>
  </si>
  <si>
    <t>831.</t>
  </si>
  <si>
    <t>832.</t>
  </si>
  <si>
    <t>833.</t>
  </si>
  <si>
    <t>834.</t>
  </si>
  <si>
    <t>835.</t>
  </si>
  <si>
    <t>836.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</si>
  <si>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</si>
  <si>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</si>
  <si>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</si>
  <si>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</si>
  <si>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</si>
  <si>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</si>
  <si>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</si>
  <si>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</si>
  <si>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</si>
  <si>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</si>
  <si>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</si>
  <si>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</si>
  <si>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</si>
  <si>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</si>
  <si>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</si>
  <si>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</si>
  <si>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</si>
  <si>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</si>
  <si>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</si>
  <si>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</si>
  <si>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</si>
  <si>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</si>
  <si>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</si>
  <si>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</si>
  <si>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</si>
  <si>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</si>
  <si>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</si>
  <si>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</si>
  <si>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</si>
  <si>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</si>
  <si>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</si>
  <si>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</si>
  <si>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</si>
  <si>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</si>
  <si>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</si>
  <si>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</si>
  <si>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</si>
  <si>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</si>
  <si>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</si>
  <si>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</si>
  <si>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</si>
  <si>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</si>
  <si>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</si>
  <si>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</si>
  <si>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</si>
  <si>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</si>
  <si>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</si>
  <si>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</si>
  <si>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</si>
  <si>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</si>
  <si>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</si>
  <si>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</si>
  <si>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</si>
  <si>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</si>
  <si>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</si>
  <si>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</si>
  <si>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</si>
  <si>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</si>
  <si>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</si>
  <si>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</si>
  <si>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</si>
  <si>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</si>
  <si>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</si>
  <si>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</si>
  <si>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</si>
  <si>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</si>
  <si>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</si>
  <si>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</si>
  <si>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</si>
  <si>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</si>
  <si>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</si>
  <si>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</si>
  <si>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</si>
  <si>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</si>
  <si>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</si>
  <si>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</si>
  <si>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</si>
  <si>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</si>
  <si>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</si>
  <si>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</si>
  <si>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</si>
  <si>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</si>
  <si>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</si>
  <si>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</si>
  <si>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</si>
  <si>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</si>
  <si>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</si>
  <si>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</si>
  <si>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</si>
  <si>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</si>
  <si>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</si>
  <si>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</si>
  <si>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</si>
  <si>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</si>
  <si>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</si>
  <si>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</si>
  <si>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</si>
  <si>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</si>
  <si>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</si>
  <si>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</si>
  <si>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</si>
  <si>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</si>
  <si>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</si>
  <si>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</si>
  <si>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</si>
  <si>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</si>
  <si>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</si>
  <si>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</si>
  <si>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</si>
  <si>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</si>
  <si>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</si>
  <si>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</si>
  <si>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</si>
  <si>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</si>
  <si>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</si>
  <si>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</si>
  <si>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</si>
  <si>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</si>
  <si>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</si>
  <si>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</si>
  <si>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</si>
  <si>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</si>
  <si>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</si>
  <si>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</si>
  <si>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</si>
  <si>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</si>
  <si>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</si>
  <si>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</si>
  <si>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</si>
  <si>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</si>
  <si>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</si>
  <si>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</si>
  <si>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</si>
  <si>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</si>
  <si>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</si>
  <si>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</si>
  <si>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</si>
  <si>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</si>
  <si>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</si>
  <si>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</si>
  <si>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</si>
  <si>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</si>
  <si>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</si>
  <si>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</si>
  <si>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</si>
  <si>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</si>
  <si>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</si>
  <si>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</si>
  <si>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</si>
  <si>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</si>
  <si>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</si>
  <si>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</si>
  <si>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</si>
  <si>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</si>
  <si>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</si>
  <si>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</si>
  <si>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</si>
  <si>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</si>
  <si>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</si>
  <si>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</si>
  <si>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</si>
  <si>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</si>
  <si>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</si>
  <si>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</si>
  <si>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</si>
  <si>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</si>
  <si>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</si>
  <si>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</si>
  <si>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</si>
  <si>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</si>
  <si>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</si>
  <si>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</si>
  <si>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</si>
  <si>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</si>
  <si>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</si>
  <si>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</si>
  <si>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</si>
  <si>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</si>
  <si>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</si>
  <si>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</si>
  <si>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</si>
  <si>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</si>
  <si>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</si>
  <si>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</si>
  <si>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</si>
  <si>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</si>
  <si>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</si>
  <si>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</si>
  <si>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</si>
  <si>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</si>
  <si>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</si>
  <si>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</si>
  <si>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</si>
  <si>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</si>
  <si>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</si>
  <si>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</si>
  <si>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</si>
  <si>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</si>
  <si>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</si>
  <si>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</si>
  <si>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</si>
  <si>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</si>
  <si>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</si>
  <si>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</si>
  <si>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</si>
  <si>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</si>
  <si>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</si>
  <si>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</si>
  <si>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</si>
  <si>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</si>
  <si>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</si>
  <si>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</si>
  <si>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</si>
  <si>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</si>
  <si>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</si>
  <si>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694.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</si>
  <si>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</si>
  <si>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</si>
  <si>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</si>
  <si>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425.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</si>
  <si>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</si>
  <si>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</si>
  <si>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</si>
  <si>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</si>
  <si>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</si>
  <si>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</si>
  <si>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</si>
  <si>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</si>
  <si>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</si>
  <si>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</si>
  <si>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</si>
  <si>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</si>
  <si>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</si>
  <si>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</si>
  <si>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</si>
  <si>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</si>
  <si>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</si>
  <si>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</si>
  <si>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</si>
  <si>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</si>
  <si>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</si>
  <si>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</si>
  <si>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</si>
  <si>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</si>
  <si>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</si>
  <si>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</si>
  <si>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</si>
  <si>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</si>
  <si>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</si>
  <si>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</si>
  <si>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</si>
  <si>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</si>
  <si>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</si>
  <si>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</si>
  <si>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</si>
  <si>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</si>
  <si>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</si>
  <si>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</si>
  <si>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</si>
  <si>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</si>
  <si>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</si>
  <si>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</si>
  <si>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</si>
  <si>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</si>
  <si>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</si>
  <si>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</si>
  <si>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</si>
  <si>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</si>
  <si>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</si>
  <si>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</si>
  <si>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</si>
  <si>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</si>
  <si>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</si>
  <si>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</si>
  <si>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</si>
  <si>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</si>
  <si>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</si>
  <si>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</si>
  <si>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</si>
  <si>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</si>
  <si>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</si>
  <si>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</si>
  <si>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</si>
  <si>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</si>
  <si>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</si>
  <si>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</si>
  <si>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</si>
  <si>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</si>
  <si>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</si>
  <si>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</si>
  <si>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</si>
  <si>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</si>
  <si>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</si>
  <si>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</si>
  <si>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</si>
  <si>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</si>
  <si>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</si>
  <si>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</si>
  <si>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</si>
  <si>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</si>
  <si>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</si>
  <si>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Г. Ярцево, ул. Чернышевского, д. 8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</si>
  <si>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</si>
  <si>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</si>
  <si>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</si>
  <si>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</si>
  <si>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</si>
  <si>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</si>
  <si>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</si>
  <si>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</si>
  <si>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</si>
  <si>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</si>
  <si>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</si>
  <si>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</si>
  <si>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</si>
  <si>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</si>
  <si>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</si>
  <si>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</si>
  <si>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</si>
  <si>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</si>
  <si>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</si>
  <si>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</si>
  <si>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</si>
  <si>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</si>
  <si>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</si>
  <si>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</si>
  <si>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</si>
  <si>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</si>
  <si>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</si>
  <si>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</si>
  <si>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</si>
  <si>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</si>
  <si>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</si>
  <si>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</si>
  <si>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</si>
  <si>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</si>
  <si>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</si>
  <si>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</si>
  <si>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</si>
  <si>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</si>
  <si>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</si>
  <si>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</si>
  <si>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</si>
  <si>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</si>
  <si>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</si>
  <si>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</si>
  <si>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</si>
  <si>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</si>
  <si>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</si>
  <si>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</si>
  <si>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</si>
  <si>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</si>
  <si>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</si>
  <si>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</si>
  <si>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</si>
  <si>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</si>
  <si>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</si>
  <si>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</si>
  <si>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</si>
  <si>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</si>
  <si>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</si>
  <si>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</si>
  <si>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</si>
  <si>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</si>
  <si>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</si>
  <si>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</si>
  <si>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</si>
  <si>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</si>
  <si>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</si>
  <si>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</si>
  <si>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</si>
  <si>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</si>
  <si>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</si>
  <si>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</si>
  <si>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</si>
  <si>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</si>
  <si>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</si>
  <si>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</si>
  <si>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</si>
  <si>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</si>
  <si>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</si>
  <si>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</si>
  <si>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</si>
  <si>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</si>
  <si>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</si>
  <si>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</si>
  <si>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</si>
  <si>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</si>
  <si>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</si>
  <si>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</si>
  <si>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</si>
  <si>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</si>
  <si>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</si>
  <si>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</si>
  <si>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</si>
  <si>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</si>
  <si>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</si>
  <si>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</si>
  <si>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</si>
  <si>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</si>
  <si>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</si>
  <si>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</si>
  <si>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</si>
  <si>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</si>
  <si>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</si>
  <si>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</si>
  <si>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</si>
  <si>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</si>
  <si>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</si>
  <si>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</si>
  <si>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</si>
  <si>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</si>
  <si>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</si>
  <si>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</si>
  <si>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</si>
  <si>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</si>
  <si>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</si>
  <si>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</si>
  <si>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</si>
  <si>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</si>
  <si>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</si>
  <si>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</si>
  <si>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</si>
  <si>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</si>
  <si>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</si>
  <si>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</si>
  <si>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</si>
  <si>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</si>
  <si>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</si>
  <si>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</si>
  <si>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</si>
  <si>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</si>
  <si>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</si>
  <si>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</si>
  <si>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</si>
  <si>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</si>
  <si>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</si>
  <si>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</si>
  <si>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</si>
  <si>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</si>
  <si>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</si>
  <si>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</si>
  <si>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</si>
  <si>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</si>
  <si>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</si>
  <si>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</si>
  <si>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</si>
  <si>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</si>
  <si>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</si>
  <si>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</si>
  <si>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</si>
  <si>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</si>
  <si>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</si>
  <si>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</si>
  <si>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</si>
  <si>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</si>
  <si>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</si>
  <si>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</si>
  <si>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</si>
  <si>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</si>
  <si>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</si>
  <si>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</si>
  <si>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</si>
  <si>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</si>
  <si>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</si>
  <si>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</si>
  <si>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</si>
  <si>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</si>
  <si>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</si>
  <si>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</si>
  <si>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</si>
  <si>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</si>
  <si>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</si>
  <si>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</si>
  <si>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</si>
  <si>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</si>
  <si>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</si>
  <si>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</si>
  <si>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</si>
  <si>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</si>
  <si>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</si>
  <si>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</si>
  <si>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</si>
  <si>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</si>
  <si>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</si>
  <si>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</si>
  <si>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</si>
  <si>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</si>
  <si>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</si>
  <si>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</si>
  <si>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</si>
  <si>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</si>
  <si>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</si>
  <si>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</si>
  <si>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</si>
  <si>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</si>
  <si>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</si>
  <si>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</si>
  <si>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</si>
  <si>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</si>
  <si>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</si>
  <si>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</si>
  <si>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</si>
  <si>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</si>
  <si>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</si>
  <si>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</si>
  <si>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317.</t>
  </si>
  <si>
    <t>983.</t>
  </si>
  <si>
    <t>984.</t>
  </si>
  <si>
    <t>985.</t>
  </si>
  <si>
    <t>986.</t>
  </si>
  <si>
    <t>987.</t>
  </si>
  <si>
    <t>988.</t>
  </si>
  <si>
    <t>989.</t>
  </si>
  <si>
    <t>Пос. Хиславичи, ул. Берестнева, д. 24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</si>
  <si>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</si>
  <si>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</si>
  <si>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</si>
  <si>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</si>
  <si>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</si>
  <si>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</si>
  <si>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</si>
  <si>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</si>
  <si>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</si>
  <si>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</si>
  <si>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</si>
  <si>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</si>
  <si>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</si>
  <si>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</si>
  <si>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</si>
  <si>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</si>
  <si>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</si>
  <si>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</si>
  <si>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</si>
  <si>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</si>
  <si>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</si>
  <si>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</si>
  <si>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</si>
  <si>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</si>
  <si>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</si>
  <si>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</si>
  <si>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</si>
  <si>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</si>
  <si>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</si>
  <si>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</si>
  <si>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</si>
  <si>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</si>
  <si>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</si>
  <si>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</si>
  <si>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</si>
  <si>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</si>
  <si>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</si>
  <si>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</si>
  <si>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</si>
  <si>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</si>
  <si>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</si>
  <si>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</si>
  <si>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</si>
  <si>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</si>
  <si>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</si>
  <si>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</si>
  <si>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</si>
  <si>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</si>
  <si>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</si>
  <si>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</si>
  <si>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</si>
  <si>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</si>
  <si>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</si>
  <si>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</si>
  <si>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</si>
  <si>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</si>
  <si>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</si>
  <si>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</si>
  <si>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</si>
  <si>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</si>
  <si>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</si>
  <si>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</si>
  <si>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</si>
  <si>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</si>
  <si>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</si>
  <si>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</si>
  <si>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</si>
  <si>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</si>
  <si>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</si>
  <si>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</si>
  <si>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</si>
  <si>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</si>
  <si>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</si>
  <si>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</si>
  <si>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</si>
  <si>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</si>
  <si>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</si>
  <si>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</si>
  <si>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</si>
  <si>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</si>
  <si>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</si>
  <si>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</si>
  <si>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</si>
  <si>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</si>
  <si>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</si>
  <si>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</si>
  <si>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</si>
  <si>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</si>
  <si>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</si>
  <si>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</si>
  <si>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</si>
  <si>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</si>
  <si>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</si>
  <si>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</si>
  <si>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</si>
  <si>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</si>
  <si>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</si>
  <si>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</si>
  <si>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</si>
  <si>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</si>
  <si>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</si>
  <si>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</si>
  <si>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</si>
  <si>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</si>
  <si>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</si>
  <si>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</si>
  <si>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</si>
  <si>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</si>
  <si>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</si>
  <si>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</si>
  <si>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</si>
  <si>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</si>
  <si>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</si>
  <si>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</si>
  <si>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</si>
  <si>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</si>
  <si>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</si>
  <si>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</si>
  <si>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</si>
  <si>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</si>
  <si>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</si>
  <si>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</si>
  <si>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</si>
  <si>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</si>
  <si>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</si>
  <si>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</si>
  <si>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</si>
  <si>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</si>
  <si>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</si>
  <si>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</si>
  <si>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</si>
  <si>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</si>
  <si>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</si>
  <si>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</si>
  <si>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</si>
  <si>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</si>
  <si>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</si>
  <si>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</si>
  <si>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</si>
  <si>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</si>
  <si>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</si>
  <si>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</si>
  <si>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</si>
  <si>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</si>
  <si>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</si>
  <si>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</si>
  <si>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</si>
  <si>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</si>
  <si>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</si>
  <si>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</si>
  <si>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</si>
  <si>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</si>
  <si>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</si>
  <si>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</si>
  <si>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</si>
  <si>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</si>
  <si>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</si>
  <si>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</si>
  <si>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</si>
  <si>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</si>
  <si>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</si>
  <si>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</si>
  <si>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</si>
  <si>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</si>
  <si>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</si>
  <si>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</si>
  <si>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</si>
  <si>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</si>
  <si>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</si>
  <si>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</si>
  <si>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</si>
  <si>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</si>
  <si>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</si>
  <si>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</si>
  <si>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</si>
  <si>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</si>
  <si>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</si>
  <si>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</si>
  <si>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</si>
  <si>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</si>
  <si>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</si>
  <si>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</si>
  <si>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</si>
  <si>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</si>
  <si>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</si>
  <si>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</si>
  <si>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</si>
  <si>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</si>
  <si>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</si>
  <si>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</si>
  <si>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</si>
  <si>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</si>
  <si>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</si>
  <si>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</si>
  <si>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</si>
  <si>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</si>
  <si>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</si>
  <si>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</si>
  <si>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</si>
  <si>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</si>
  <si>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</si>
  <si>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</si>
  <si>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</si>
  <si>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</si>
  <si>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</si>
  <si>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</si>
  <si>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</si>
  <si>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</si>
  <si>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</si>
  <si>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</si>
  <si>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</si>
  <si>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</si>
  <si>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</si>
  <si>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</si>
  <si>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</si>
  <si>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</si>
  <si>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</si>
  <si>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</si>
  <si>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</si>
  <si>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</si>
  <si>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</si>
  <si>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</si>
  <si>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</si>
  <si>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</si>
  <si>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</si>
  <si>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</si>
  <si>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</si>
  <si>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</si>
  <si>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</si>
  <si>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</si>
  <si>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</si>
  <si>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</si>
  <si>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</si>
  <si>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</si>
  <si>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</si>
  <si>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</si>
  <si>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</si>
  <si>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</si>
  <si>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</si>
  <si>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</si>
  <si>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</si>
  <si>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</si>
  <si>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</si>
  <si>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</si>
  <si>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</si>
  <si>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</si>
  <si>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</si>
  <si>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</si>
  <si>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</si>
  <si>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</si>
  <si>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</si>
  <si>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</si>
  <si>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</si>
  <si>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</si>
  <si>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</si>
  <si>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</si>
  <si>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</si>
  <si>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</si>
  <si>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</si>
  <si>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</si>
  <si>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</si>
  <si>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</si>
  <si>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</si>
  <si>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</si>
  <si>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</si>
  <si>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</si>
  <si>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</si>
  <si>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</si>
  <si>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</si>
  <si>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</si>
  <si>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</si>
  <si>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</si>
  <si>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</si>
  <si>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</si>
  <si>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</si>
  <si>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</si>
  <si>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</si>
  <si>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</si>
  <si>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</si>
  <si>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</si>
  <si>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</si>
  <si>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</si>
  <si>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</si>
  <si>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</si>
  <si>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</si>
  <si>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</si>
  <si>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</si>
  <si>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</si>
  <si>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</si>
  <si>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</si>
  <si>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</si>
  <si>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</si>
  <si>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</si>
  <si>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</si>
  <si>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</si>
  <si>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</si>
  <si>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</si>
  <si>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</si>
  <si>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</si>
  <si>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</si>
  <si>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</si>
  <si>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</si>
  <si>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</si>
  <si>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</si>
  <si>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</si>
  <si>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</si>
  <si>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</si>
  <si>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</si>
  <si>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</si>
  <si>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</si>
  <si>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</si>
  <si>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</si>
  <si>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</si>
  <si>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</si>
  <si>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</si>
  <si>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</si>
  <si>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</si>
  <si>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</si>
  <si>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</si>
  <si>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</si>
  <si>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</si>
  <si>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</si>
  <si>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</si>
  <si>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</si>
  <si>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</si>
  <si>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</si>
  <si>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</si>
  <si>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</si>
  <si>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</si>
  <si>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</si>
  <si>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</si>
  <si>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</si>
  <si>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</si>
  <si>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</si>
  <si>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</si>
  <si>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</si>
  <si>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</si>
  <si>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</si>
  <si>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</si>
  <si>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</si>
  <si>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</si>
  <si>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</si>
  <si>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</si>
  <si>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</si>
  <si>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</si>
  <si>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</si>
  <si>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</si>
  <si>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</si>
  <si>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</si>
  <si>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</si>
  <si>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</si>
  <si>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</si>
  <si>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</si>
  <si>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</si>
  <si>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</si>
  <si>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</si>
  <si>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</si>
  <si>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</si>
  <si>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</si>
  <si>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</si>
  <si>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</si>
  <si>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</si>
  <si>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</si>
  <si>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</si>
  <si>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</si>
  <si>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</si>
  <si>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</si>
  <si>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</si>
  <si>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</si>
  <si>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</si>
  <si>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</si>
  <si>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</si>
  <si>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</si>
  <si>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</si>
  <si>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</si>
  <si>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</si>
  <si>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</si>
  <si>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</si>
  <si>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</si>
  <si>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</si>
  <si>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</si>
  <si>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</si>
  <si>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</si>
  <si>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</si>
  <si>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</si>
  <si>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</si>
  <si>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</si>
  <si>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</si>
  <si>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</si>
  <si>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</si>
  <si>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</si>
  <si>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</si>
  <si>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</si>
  <si>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</si>
  <si>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</si>
  <si>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</si>
  <si>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</si>
  <si>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</si>
  <si>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</si>
  <si>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</si>
  <si>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</si>
  <si>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</si>
  <si>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</si>
  <si>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</si>
  <si>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</si>
  <si>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</si>
  <si>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</si>
  <si>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</si>
  <si>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</si>
  <si>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</si>
  <si>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</si>
  <si>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</si>
  <si>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</si>
  <si>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</si>
  <si>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</si>
  <si>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</si>
  <si>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</si>
  <si>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</si>
  <si>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</si>
  <si>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</si>
  <si>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</si>
  <si>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</si>
  <si>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</si>
  <si>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</si>
  <si>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</si>
  <si>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</si>
  <si>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</si>
  <si>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</si>
  <si>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</si>
  <si>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</si>
  <si>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</si>
  <si>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</si>
  <si>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</si>
  <si>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</si>
  <si>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</si>
  <si>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</si>
  <si>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</si>
  <si>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</si>
  <si>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</si>
  <si>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</si>
  <si>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</si>
  <si>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</si>
  <si>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</si>
  <si>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</si>
  <si>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</si>
  <si>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</si>
  <si>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</si>
  <si>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</si>
  <si>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</si>
  <si>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</si>
  <si>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</si>
  <si>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</si>
  <si>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</si>
  <si>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</si>
  <si>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</si>
  <si>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</si>
  <si>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</si>
  <si>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</si>
  <si>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</si>
  <si>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</si>
  <si>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</si>
  <si>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</si>
  <si>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</si>
  <si>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</si>
  <si>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</si>
  <si>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</si>
  <si>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</si>
  <si>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</si>
  <si>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837.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</si>
</sst>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center"/>
    </xf>
    <xf numFmtId="4" fontId="4" fillId="0" borderId="1" xfId="1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X1155"/>
  <sheetViews>
    <sheetView tabSelected="1" view="pageBreakPreview" topLeftCell="A34" zoomScale="56" zoomScaleNormal="50" zoomScaleSheetLayoutView="56" zoomScalePageLayoutView="40" workbookViewId="0">
      <selection activeCell="E5" sqref="E5"/>
    </sheetView>
  </sheetViews>
  <sheetFormatPr defaultColWidth="9.109375" defaultRowHeight="15.6"/>
  <cols>
    <col min="1" max="1" width="6.44140625" style="46" customWidth="1"/>
    <col min="2" max="2" width="54.6640625" style="32" customWidth="1"/>
    <col min="3" max="3" width="19.88671875" style="33" customWidth="1"/>
    <col min="4" max="4" width="19" style="33" customWidth="1"/>
    <col min="5" max="5" width="19.6640625" style="33" customWidth="1"/>
    <col min="6" max="10" width="17" style="33" customWidth="1"/>
    <col min="11" max="11" width="6.88671875" style="34" customWidth="1"/>
    <col min="12" max="12" width="16.44140625" style="33" customWidth="1"/>
    <col min="13" max="13" width="13.6640625" style="33" customWidth="1"/>
    <col min="14" max="14" width="19" style="33" customWidth="1"/>
    <col min="15" max="15" width="10.5546875" style="33" customWidth="1"/>
    <col min="16" max="16" width="16.44140625" style="33" customWidth="1"/>
    <col min="17" max="17" width="12.6640625" style="33" customWidth="1"/>
    <col min="18" max="18" width="18.44140625" style="33" customWidth="1"/>
    <col min="19" max="19" width="15.6640625" style="33" customWidth="1"/>
    <col min="20" max="20" width="18.44140625" style="33" customWidth="1"/>
    <col min="21" max="21" width="16.5546875" style="33" customWidth="1"/>
    <col min="22" max="22" width="29.44140625" style="6" customWidth="1"/>
    <col min="23" max="16384" width="9.109375" style="7"/>
  </cols>
  <sheetData>
    <row r="1" spans="1:22" ht="19.5" customHeight="1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19.5" customHeight="1">
      <c r="A2" s="35"/>
      <c r="B2" s="48"/>
      <c r="C2" s="48"/>
      <c r="D2" s="48"/>
      <c r="E2" s="48"/>
      <c r="F2" s="48"/>
      <c r="G2" s="48"/>
      <c r="H2" s="48"/>
      <c r="I2" s="48"/>
      <c r="J2" s="48"/>
      <c r="K2" s="9"/>
      <c r="L2" s="48"/>
      <c r="M2" s="48"/>
      <c r="N2" s="48"/>
      <c r="O2" s="10"/>
      <c r="P2" s="10"/>
      <c r="Q2" s="10"/>
      <c r="R2" s="10"/>
      <c r="S2" s="10"/>
      <c r="T2" s="10"/>
      <c r="U2" s="10"/>
    </row>
    <row r="3" spans="1:22" ht="192" customHeight="1">
      <c r="A3" s="66" t="s">
        <v>16</v>
      </c>
      <c r="B3" s="69" t="s">
        <v>15</v>
      </c>
      <c r="C3" s="56" t="s">
        <v>13</v>
      </c>
      <c r="D3" s="59" t="s">
        <v>4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4" t="s">
        <v>12</v>
      </c>
      <c r="U3" s="55"/>
    </row>
    <row r="4" spans="1:22" ht="31.5" customHeight="1">
      <c r="A4" s="67"/>
      <c r="B4" s="69"/>
      <c r="C4" s="57"/>
      <c r="D4" s="70" t="s">
        <v>1193</v>
      </c>
      <c r="E4" s="71"/>
      <c r="F4" s="71"/>
      <c r="G4" s="71"/>
      <c r="H4" s="71"/>
      <c r="I4" s="71"/>
      <c r="J4" s="72"/>
      <c r="K4" s="74" t="s">
        <v>1187</v>
      </c>
      <c r="L4" s="75"/>
      <c r="M4" s="74" t="s">
        <v>8</v>
      </c>
      <c r="N4" s="75"/>
      <c r="O4" s="74" t="s">
        <v>6</v>
      </c>
      <c r="P4" s="75"/>
      <c r="Q4" s="74" t="s">
        <v>9</v>
      </c>
      <c r="R4" s="75"/>
      <c r="S4" s="56" t="s">
        <v>14</v>
      </c>
      <c r="T4" s="73" t="s">
        <v>5</v>
      </c>
      <c r="U4" s="59" t="s">
        <v>3</v>
      </c>
    </row>
    <row r="5" spans="1:22" ht="190.5" customHeight="1">
      <c r="A5" s="67"/>
      <c r="B5" s="69"/>
      <c r="C5" s="58"/>
      <c r="D5" s="50" t="s">
        <v>1192</v>
      </c>
      <c r="E5" s="49" t="s">
        <v>1215</v>
      </c>
      <c r="F5" s="49" t="s">
        <v>1216</v>
      </c>
      <c r="G5" s="49" t="s">
        <v>1188</v>
      </c>
      <c r="H5" s="49" t="s">
        <v>1189</v>
      </c>
      <c r="I5" s="49" t="s">
        <v>1190</v>
      </c>
      <c r="J5" s="49" t="s">
        <v>1191</v>
      </c>
      <c r="K5" s="76"/>
      <c r="L5" s="77"/>
      <c r="M5" s="76"/>
      <c r="N5" s="77"/>
      <c r="O5" s="76"/>
      <c r="P5" s="77"/>
      <c r="Q5" s="76"/>
      <c r="R5" s="77"/>
      <c r="S5" s="58"/>
      <c r="T5" s="73"/>
      <c r="U5" s="59"/>
    </row>
    <row r="6" spans="1:22" ht="18" customHeight="1">
      <c r="A6" s="68"/>
      <c r="B6" s="69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>
      <c r="A7" s="36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4.9" customHeight="1">
      <c r="A8" s="60" t="s">
        <v>26</v>
      </c>
      <c r="B8" s="60"/>
      <c r="C8" s="2">
        <f t="shared" ref="C8:U8" si="0">C10+C285+C757</f>
        <v>3882475577.7500005</v>
      </c>
      <c r="D8" s="2">
        <f t="shared" si="0"/>
        <v>858814858.29999995</v>
      </c>
      <c r="E8" s="2">
        <f t="shared" si="0"/>
        <v>144561391.17000002</v>
      </c>
      <c r="F8" s="2">
        <f t="shared" si="0"/>
        <v>421108943.16000003</v>
      </c>
      <c r="G8" s="2">
        <f t="shared" si="0"/>
        <v>105712679.72999999</v>
      </c>
      <c r="H8" s="2">
        <f t="shared" si="0"/>
        <v>91773729.49000001</v>
      </c>
      <c r="I8" s="2">
        <f t="shared" si="0"/>
        <v>95658114.75</v>
      </c>
      <c r="J8" s="2">
        <f t="shared" si="0"/>
        <v>0</v>
      </c>
      <c r="K8" s="14">
        <f t="shared" si="0"/>
        <v>51</v>
      </c>
      <c r="L8" s="2">
        <f t="shared" si="0"/>
        <v>108869630.31</v>
      </c>
      <c r="M8" s="2">
        <f t="shared" si="0"/>
        <v>397380.03000000009</v>
      </c>
      <c r="N8" s="2">
        <f t="shared" si="0"/>
        <v>2002081222.73</v>
      </c>
      <c r="O8" s="2">
        <f t="shared" si="0"/>
        <v>7917.3499999999995</v>
      </c>
      <c r="P8" s="2">
        <f t="shared" si="0"/>
        <v>9822054.5899999999</v>
      </c>
      <c r="Q8" s="2">
        <f t="shared" si="0"/>
        <v>283505.73000000004</v>
      </c>
      <c r="R8" s="2">
        <f t="shared" si="0"/>
        <v>805377946.46000004</v>
      </c>
      <c r="S8" s="2">
        <f t="shared" si="0"/>
        <v>11498280.720000001</v>
      </c>
      <c r="T8" s="2">
        <f t="shared" si="0"/>
        <v>678303.6</v>
      </c>
      <c r="U8" s="2">
        <f t="shared" si="0"/>
        <v>85333281.039999992</v>
      </c>
    </row>
    <row r="9" spans="1:22" s="16" customFormat="1" ht="24.9" customHeight="1">
      <c r="A9" s="61" t="s">
        <v>25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15"/>
    </row>
    <row r="10" spans="1:22" ht="24.9" customHeight="1">
      <c r="A10" s="62" t="s">
        <v>207</v>
      </c>
      <c r="B10" s="62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8">
        <f>D10+L10+N10+P10+R10+S10+T10+U10</f>
        <v>634485512.4000001</v>
      </c>
    </row>
    <row r="11" spans="1:22" ht="45" customHeight="1">
      <c r="A11" s="53" t="s">
        <v>0</v>
      </c>
      <c r="B11" s="53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C11+C291+C761</f>
        <v>313575159.89999998</v>
      </c>
    </row>
    <row r="12" spans="1:22" ht="21.9" customHeight="1">
      <c r="A12" s="37" t="s">
        <v>828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1.9" customHeight="1">
      <c r="A13" s="37" t="s">
        <v>829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1.9" customHeight="1">
      <c r="A14" s="37" t="s">
        <v>1230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1.9" customHeight="1">
      <c r="A15" s="37" t="s">
        <v>1231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1.9" customHeight="1">
      <c r="A16" s="37" t="s">
        <v>1232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1.9" customHeight="1">
      <c r="A17" s="37" t="s">
        <v>1233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1.9" customHeight="1">
      <c r="A18" s="37" t="s">
        <v>1234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1.9" customHeight="1">
      <c r="A19" s="37" t="s">
        <v>1235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1.9" customHeight="1">
      <c r="A20" s="37" t="s">
        <v>1236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1.9" customHeight="1">
      <c r="A21" s="37" t="s">
        <v>1237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1.9" customHeight="1">
      <c r="A22" s="37" t="s">
        <v>1238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1.9" customHeight="1">
      <c r="A23" s="37" t="s">
        <v>1239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>
      <c r="A24" s="53" t="s">
        <v>972</v>
      </c>
      <c r="B24" s="53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21.9" customHeight="1">
      <c r="A25" s="37" t="s">
        <v>1240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>
      <c r="A26" s="53" t="s">
        <v>1012</v>
      </c>
      <c r="B26" s="53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1.9" customHeight="1">
      <c r="A27" s="37" t="s">
        <v>1241</v>
      </c>
      <c r="B27" s="8" t="s">
        <v>1013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>
      <c r="A28" s="53" t="s">
        <v>74</v>
      </c>
      <c r="B28" s="53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C28+C315+C789</f>
        <v>24255740.789999999</v>
      </c>
    </row>
    <row r="29" spans="1:22" ht="23.1" customHeight="1">
      <c r="A29" s="36" t="s">
        <v>1242</v>
      </c>
      <c r="B29" s="8" t="s">
        <v>73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>
      <c r="A30" s="53" t="s">
        <v>2</v>
      </c>
      <c r="B30" s="53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C30+C321+C793</f>
        <v>16549889.109999999</v>
      </c>
    </row>
    <row r="31" spans="1:22" ht="20.100000000000001" customHeight="1">
      <c r="A31" s="37" t="s">
        <v>1243</v>
      </c>
      <c r="B31" s="8" t="s">
        <v>77</v>
      </c>
      <c r="C31" s="2">
        <f t="shared" si="3"/>
        <v>53254.81</v>
      </c>
      <c r="D31" s="3">
        <f t="shared" ref="D31:D32" si="9"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 t="shared" ref="V31:V32" si="10">N31/M31</f>
        <v>#DIV/0!</v>
      </c>
    </row>
    <row r="32" spans="1:22" s="6" customFormat="1" ht="20.100000000000001" customHeight="1">
      <c r="A32" s="37" t="s">
        <v>1244</v>
      </c>
      <c r="B32" s="8" t="s">
        <v>78</v>
      </c>
      <c r="C32" s="2">
        <f>D32+L32+N32+P32+R32+S32+T32+U32</f>
        <v>1884809.2999999998</v>
      </c>
      <c r="D32" s="3">
        <f t="shared" si="9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 t="shared" si="10"/>
        <v>3690.0416129032255</v>
      </c>
    </row>
    <row r="33" spans="1:22" ht="45" customHeight="1">
      <c r="A33" s="53" t="s">
        <v>823</v>
      </c>
      <c r="B33" s="53"/>
      <c r="C33" s="2">
        <f>SUM(C34)</f>
        <v>239642.18</v>
      </c>
      <c r="D33" s="2">
        <f t="shared" ref="D33:U33" si="11">SUM(D34)</f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14">
        <f t="shared" si="11"/>
        <v>0</v>
      </c>
      <c r="L33" s="2">
        <f t="shared" si="11"/>
        <v>0</v>
      </c>
      <c r="M33" s="2">
        <f t="shared" si="11"/>
        <v>95</v>
      </c>
      <c r="N33" s="2">
        <f t="shared" si="11"/>
        <v>223078.81</v>
      </c>
      <c r="O33" s="2">
        <f t="shared" si="11"/>
        <v>0</v>
      </c>
      <c r="P33" s="2">
        <f t="shared" si="11"/>
        <v>0</v>
      </c>
      <c r="Q33" s="2">
        <f t="shared" si="11"/>
        <v>0</v>
      </c>
      <c r="R33" s="2">
        <f t="shared" si="11"/>
        <v>0</v>
      </c>
      <c r="S33" s="2">
        <f t="shared" si="11"/>
        <v>0</v>
      </c>
      <c r="T33" s="2">
        <f t="shared" si="11"/>
        <v>0</v>
      </c>
      <c r="U33" s="2">
        <f t="shared" si="11"/>
        <v>16563.37</v>
      </c>
      <c r="V33" s="18">
        <f>C33+C327+C799</f>
        <v>18873493.579999998</v>
      </c>
    </row>
    <row r="34" spans="1:22" ht="20.100000000000001" customHeight="1">
      <c r="A34" s="37" t="s">
        <v>1245</v>
      </c>
      <c r="B34" s="8" t="s">
        <v>87</v>
      </c>
      <c r="C34" s="2">
        <f t="shared" si="3"/>
        <v>239642.18</v>
      </c>
      <c r="D34" s="3">
        <f t="shared" ref="D34" si="12"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 t="shared" ref="V34" si="13">N34/M34</f>
        <v>2348.1979999999999</v>
      </c>
    </row>
    <row r="35" spans="1:22" ht="45" customHeight="1">
      <c r="A35" s="53" t="s">
        <v>93</v>
      </c>
      <c r="B35" s="53"/>
      <c r="C35" s="2">
        <f>SUM(C36:C37)</f>
        <v>6845927.2100000009</v>
      </c>
      <c r="D35" s="2">
        <f t="shared" ref="D35:U35" si="14">SUM(D36:D37)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14">
        <f t="shared" si="14"/>
        <v>4</v>
      </c>
      <c r="L35" s="2">
        <f t="shared" si="14"/>
        <v>6701917.2800000003</v>
      </c>
      <c r="M35" s="2">
        <f t="shared" si="14"/>
        <v>0</v>
      </c>
      <c r="N35" s="2">
        <f t="shared" si="14"/>
        <v>0</v>
      </c>
      <c r="O35" s="2">
        <f t="shared" si="14"/>
        <v>0</v>
      </c>
      <c r="P35" s="2">
        <f t="shared" si="14"/>
        <v>0</v>
      </c>
      <c r="Q35" s="2">
        <f t="shared" si="14"/>
        <v>0</v>
      </c>
      <c r="R35" s="2">
        <f t="shared" si="14"/>
        <v>0</v>
      </c>
      <c r="S35" s="2">
        <f t="shared" si="14"/>
        <v>0</v>
      </c>
      <c r="T35" s="2">
        <f t="shared" si="14"/>
        <v>0</v>
      </c>
      <c r="U35" s="2">
        <f t="shared" si="14"/>
        <v>144009.93</v>
      </c>
      <c r="V35" s="18">
        <f>C35+C333+C806</f>
        <v>27993011.330000002</v>
      </c>
    </row>
    <row r="36" spans="1:22" ht="21.9" customHeight="1">
      <c r="A36" s="36" t="s">
        <v>1246</v>
      </c>
      <c r="B36" s="8" t="s">
        <v>96</v>
      </c>
      <c r="C36" s="2">
        <f t="shared" si="3"/>
        <v>3423021.89</v>
      </c>
      <c r="D36" s="3">
        <f t="shared" ref="D36:D37" si="15"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 t="shared" ref="V36:V37" si="16">N36/M36</f>
        <v>#DIV/0!</v>
      </c>
    </row>
    <row r="37" spans="1:22" ht="21.9" customHeight="1">
      <c r="A37" s="36" t="s">
        <v>1247</v>
      </c>
      <c r="B37" s="8" t="s">
        <v>99</v>
      </c>
      <c r="C37" s="2">
        <f t="shared" si="3"/>
        <v>3422905.3200000003</v>
      </c>
      <c r="D37" s="3">
        <f t="shared" si="15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 t="shared" si="16"/>
        <v>#DIV/0!</v>
      </c>
    </row>
    <row r="38" spans="1:22" ht="45" customHeight="1">
      <c r="A38" s="53" t="s">
        <v>102</v>
      </c>
      <c r="B38" s="53"/>
      <c r="C38" s="2">
        <f>SUM(C39:C42)</f>
        <v>14891706.060000001</v>
      </c>
      <c r="D38" s="2">
        <f t="shared" ref="D38:U38" si="17">SUM(D39:D42)</f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  <c r="H38" s="2">
        <f t="shared" si="17"/>
        <v>0</v>
      </c>
      <c r="I38" s="2">
        <f t="shared" si="17"/>
        <v>0</v>
      </c>
      <c r="J38" s="2">
        <f t="shared" si="17"/>
        <v>0</v>
      </c>
      <c r="K38" s="14">
        <f t="shared" si="17"/>
        <v>0</v>
      </c>
      <c r="L38" s="2">
        <f t="shared" si="17"/>
        <v>0</v>
      </c>
      <c r="M38" s="2">
        <f t="shared" si="17"/>
        <v>3039.35</v>
      </c>
      <c r="N38" s="2">
        <f t="shared" si="17"/>
        <v>14685718.259999998</v>
      </c>
      <c r="O38" s="2">
        <f t="shared" si="17"/>
        <v>0</v>
      </c>
      <c r="P38" s="2">
        <f t="shared" si="17"/>
        <v>0</v>
      </c>
      <c r="Q38" s="2">
        <f t="shared" si="17"/>
        <v>0</v>
      </c>
      <c r="R38" s="2">
        <f t="shared" si="17"/>
        <v>0</v>
      </c>
      <c r="S38" s="2">
        <f t="shared" si="17"/>
        <v>0</v>
      </c>
      <c r="T38" s="2">
        <f t="shared" si="17"/>
        <v>0</v>
      </c>
      <c r="U38" s="2">
        <f t="shared" si="17"/>
        <v>205987.8</v>
      </c>
      <c r="V38" s="18">
        <f>C38+C339+C809</f>
        <v>54260016.060000002</v>
      </c>
    </row>
    <row r="39" spans="1:22" ht="21" customHeight="1">
      <c r="A39" s="37" t="s">
        <v>1248</v>
      </c>
      <c r="B39" s="8" t="s">
        <v>108</v>
      </c>
      <c r="C39" s="2">
        <f t="shared" si="3"/>
        <v>4562400</v>
      </c>
      <c r="D39" s="3">
        <f t="shared" ref="D39:D42" si="18"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 t="shared" ref="V39:V42" si="19">N39/M39</f>
        <v>5507.4843070980205</v>
      </c>
    </row>
    <row r="40" spans="1:22" ht="21.9" customHeight="1">
      <c r="A40" s="37" t="s">
        <v>1249</v>
      </c>
      <c r="B40" s="8" t="s">
        <v>110</v>
      </c>
      <c r="C40" s="2">
        <f t="shared" si="3"/>
        <v>3717862.4099999997</v>
      </c>
      <c r="D40" s="3">
        <f t="shared" si="18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 t="shared" si="19"/>
        <v>4703.4990654928397</v>
      </c>
    </row>
    <row r="41" spans="1:22" ht="21.9" customHeight="1">
      <c r="A41" s="37" t="s">
        <v>1250</v>
      </c>
      <c r="B41" s="8" t="s">
        <v>111</v>
      </c>
      <c r="C41" s="2">
        <f t="shared" si="3"/>
        <v>3672396.42</v>
      </c>
      <c r="D41" s="3">
        <f t="shared" si="18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 t="shared" si="19"/>
        <v>4386.8403005248219</v>
      </c>
    </row>
    <row r="42" spans="1:22" ht="21.9" customHeight="1">
      <c r="A42" s="37" t="s">
        <v>1251</v>
      </c>
      <c r="B42" s="8" t="s">
        <v>112</v>
      </c>
      <c r="C42" s="2">
        <f t="shared" si="3"/>
        <v>2939047.23</v>
      </c>
      <c r="D42" s="3">
        <f t="shared" si="18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 t="shared" si="19"/>
        <v>4677.7081168249424</v>
      </c>
    </row>
    <row r="43" spans="1:22" ht="45" customHeight="1">
      <c r="A43" s="53" t="s">
        <v>1071</v>
      </c>
      <c r="B43" s="53"/>
      <c r="C43" s="2">
        <f>SUM(C44)</f>
        <v>2818731.24</v>
      </c>
      <c r="D43" s="2">
        <f t="shared" ref="D43:U43" si="20">SUM(D44)</f>
        <v>0</v>
      </c>
      <c r="E43" s="2">
        <f t="shared" si="20"/>
        <v>0</v>
      </c>
      <c r="F43" s="2">
        <f t="shared" si="20"/>
        <v>0</v>
      </c>
      <c r="G43" s="2">
        <f t="shared" si="20"/>
        <v>0</v>
      </c>
      <c r="H43" s="2">
        <f t="shared" si="20"/>
        <v>0</v>
      </c>
      <c r="I43" s="2">
        <f t="shared" si="20"/>
        <v>0</v>
      </c>
      <c r="J43" s="2">
        <f t="shared" si="20"/>
        <v>0</v>
      </c>
      <c r="K43" s="14">
        <f t="shared" si="20"/>
        <v>0</v>
      </c>
      <c r="L43" s="2">
        <f t="shared" si="20"/>
        <v>0</v>
      </c>
      <c r="M43" s="2">
        <f t="shared" si="20"/>
        <v>585.66</v>
      </c>
      <c r="N43" s="2">
        <f t="shared" si="20"/>
        <v>2818731.24</v>
      </c>
      <c r="O43" s="2">
        <f t="shared" si="20"/>
        <v>0</v>
      </c>
      <c r="P43" s="2">
        <f t="shared" si="20"/>
        <v>0</v>
      </c>
      <c r="Q43" s="2">
        <f t="shared" si="20"/>
        <v>0</v>
      </c>
      <c r="R43" s="2">
        <f t="shared" si="20"/>
        <v>0</v>
      </c>
      <c r="S43" s="2">
        <f t="shared" si="20"/>
        <v>0</v>
      </c>
      <c r="T43" s="2">
        <f t="shared" si="20"/>
        <v>0</v>
      </c>
      <c r="U43" s="2">
        <f t="shared" si="20"/>
        <v>0</v>
      </c>
      <c r="V43" s="18">
        <f>C43</f>
        <v>2818731.24</v>
      </c>
    </row>
    <row r="44" spans="1:22" ht="21.9" customHeight="1">
      <c r="A44" s="36" t="s">
        <v>1252</v>
      </c>
      <c r="B44" s="8" t="s">
        <v>1072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>
      <c r="A45" s="53" t="s">
        <v>124</v>
      </c>
      <c r="B45" s="53"/>
      <c r="C45" s="2">
        <f>SUM(C46)</f>
        <v>3111460.64</v>
      </c>
      <c r="D45" s="2">
        <f t="shared" ref="D45:U45" si="21">SUM(D46)</f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f t="shared" si="21"/>
        <v>0</v>
      </c>
      <c r="I45" s="2">
        <f t="shared" si="21"/>
        <v>0</v>
      </c>
      <c r="J45" s="2">
        <f t="shared" si="21"/>
        <v>0</v>
      </c>
      <c r="K45" s="14">
        <f t="shared" si="21"/>
        <v>0</v>
      </c>
      <c r="L45" s="2">
        <f t="shared" si="21"/>
        <v>0</v>
      </c>
      <c r="M45" s="2">
        <f t="shared" si="21"/>
        <v>550</v>
      </c>
      <c r="N45" s="2">
        <f t="shared" si="21"/>
        <v>1812377.05</v>
      </c>
      <c r="O45" s="2">
        <f t="shared" si="21"/>
        <v>0</v>
      </c>
      <c r="P45" s="2">
        <f t="shared" si="21"/>
        <v>0</v>
      </c>
      <c r="Q45" s="2">
        <f t="shared" si="21"/>
        <v>600</v>
      </c>
      <c r="R45" s="2">
        <f t="shared" si="21"/>
        <v>1248132.32</v>
      </c>
      <c r="S45" s="2">
        <f t="shared" si="21"/>
        <v>0</v>
      </c>
      <c r="T45" s="2">
        <f t="shared" si="21"/>
        <v>0</v>
      </c>
      <c r="U45" s="2">
        <f t="shared" si="21"/>
        <v>50951.27</v>
      </c>
      <c r="V45" s="18">
        <f>C45+C351+C824</f>
        <v>14079185.640000001</v>
      </c>
    </row>
    <row r="46" spans="1:22" ht="21.9" customHeight="1">
      <c r="A46" s="36" t="s">
        <v>1253</v>
      </c>
      <c r="B46" s="8" t="s">
        <v>995</v>
      </c>
      <c r="C46" s="2">
        <f t="shared" si="3"/>
        <v>3111460.64</v>
      </c>
      <c r="D46" s="3">
        <f t="shared" ref="D46" si="22"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 t="shared" ref="V46" si="23">N46/M46</f>
        <v>3295.2310000000002</v>
      </c>
    </row>
    <row r="47" spans="1:22" ht="45" customHeight="1">
      <c r="A47" s="53" t="s">
        <v>131</v>
      </c>
      <c r="B47" s="53"/>
      <c r="C47" s="2">
        <f>SUM(C48)</f>
        <v>43691.17</v>
      </c>
      <c r="D47" s="2">
        <f t="shared" ref="D47:U47" si="24">SUM(D48)</f>
        <v>0</v>
      </c>
      <c r="E47" s="2">
        <f t="shared" si="24"/>
        <v>0</v>
      </c>
      <c r="F47" s="2">
        <f t="shared" si="24"/>
        <v>0</v>
      </c>
      <c r="G47" s="2">
        <f t="shared" si="24"/>
        <v>0</v>
      </c>
      <c r="H47" s="2">
        <f t="shared" si="24"/>
        <v>0</v>
      </c>
      <c r="I47" s="2">
        <f t="shared" si="24"/>
        <v>0</v>
      </c>
      <c r="J47" s="2">
        <f t="shared" si="24"/>
        <v>0</v>
      </c>
      <c r="K47" s="14">
        <f t="shared" si="24"/>
        <v>0</v>
      </c>
      <c r="L47" s="2">
        <f t="shared" si="24"/>
        <v>0</v>
      </c>
      <c r="M47" s="2">
        <f t="shared" si="24"/>
        <v>0</v>
      </c>
      <c r="N47" s="2">
        <f t="shared" si="24"/>
        <v>0</v>
      </c>
      <c r="O47" s="2">
        <f t="shared" si="24"/>
        <v>0</v>
      </c>
      <c r="P47" s="2">
        <f t="shared" si="24"/>
        <v>0</v>
      </c>
      <c r="Q47" s="2">
        <f t="shared" si="24"/>
        <v>0</v>
      </c>
      <c r="R47" s="2">
        <f t="shared" si="24"/>
        <v>0</v>
      </c>
      <c r="S47" s="2">
        <f t="shared" si="24"/>
        <v>0</v>
      </c>
      <c r="T47" s="2">
        <f t="shared" si="24"/>
        <v>0</v>
      </c>
      <c r="U47" s="2">
        <f t="shared" si="24"/>
        <v>43691.17</v>
      </c>
      <c r="V47" s="18">
        <f>C47+C357</f>
        <v>7615991.1699999999</v>
      </c>
    </row>
    <row r="48" spans="1:22" ht="21.9" customHeight="1">
      <c r="A48" s="37" t="s">
        <v>1254</v>
      </c>
      <c r="B48" s="8" t="s">
        <v>128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>
      <c r="A49" s="53" t="s">
        <v>133</v>
      </c>
      <c r="B49" s="53"/>
      <c r="C49" s="2">
        <f>SUM(C50:C52)</f>
        <v>16217698.190000001</v>
      </c>
      <c r="D49" s="2">
        <f t="shared" ref="D49:U49" si="25">SUM(D50:D52)</f>
        <v>0</v>
      </c>
      <c r="E49" s="2">
        <f t="shared" si="25"/>
        <v>0</v>
      </c>
      <c r="F49" s="2">
        <f t="shared" si="25"/>
        <v>0</v>
      </c>
      <c r="G49" s="2">
        <f t="shared" si="25"/>
        <v>0</v>
      </c>
      <c r="H49" s="2">
        <f t="shared" si="25"/>
        <v>0</v>
      </c>
      <c r="I49" s="2">
        <f t="shared" si="25"/>
        <v>0</v>
      </c>
      <c r="J49" s="2">
        <f t="shared" si="25"/>
        <v>0</v>
      </c>
      <c r="K49" s="14">
        <f t="shared" si="25"/>
        <v>0</v>
      </c>
      <c r="L49" s="2">
        <f t="shared" si="25"/>
        <v>0</v>
      </c>
      <c r="M49" s="2">
        <f t="shared" si="25"/>
        <v>3389.0600000000004</v>
      </c>
      <c r="N49" s="2">
        <f t="shared" si="25"/>
        <v>9709603.2300000004</v>
      </c>
      <c r="O49" s="2">
        <f t="shared" si="25"/>
        <v>0</v>
      </c>
      <c r="P49" s="2">
        <f t="shared" si="25"/>
        <v>0</v>
      </c>
      <c r="Q49" s="2">
        <f t="shared" si="25"/>
        <v>2934</v>
      </c>
      <c r="R49" s="2">
        <f t="shared" si="25"/>
        <v>6223562.8200000003</v>
      </c>
      <c r="S49" s="2">
        <f t="shared" si="25"/>
        <v>0</v>
      </c>
      <c r="T49" s="2">
        <f t="shared" si="25"/>
        <v>0</v>
      </c>
      <c r="U49" s="2">
        <f t="shared" si="25"/>
        <v>284532.14</v>
      </c>
      <c r="V49" s="18">
        <f>C49+C364</f>
        <v>19811548.190000001</v>
      </c>
    </row>
    <row r="50" spans="1:22" ht="21.9" customHeight="1">
      <c r="A50" s="37" t="s">
        <v>1255</v>
      </c>
      <c r="B50" s="8" t="s">
        <v>134</v>
      </c>
      <c r="C50" s="2">
        <f t="shared" si="3"/>
        <v>3640602.32</v>
      </c>
      <c r="D50" s="3">
        <f t="shared" ref="D50:D52" si="26"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 t="shared" ref="V50:V52" si="27">N50/M50</f>
        <v>3139.2932110670827</v>
      </c>
    </row>
    <row r="51" spans="1:22" ht="21.9" customHeight="1">
      <c r="A51" s="37" t="s">
        <v>1256</v>
      </c>
      <c r="B51" s="8" t="s">
        <v>135</v>
      </c>
      <c r="C51" s="2">
        <f t="shared" si="3"/>
        <v>3997560.56</v>
      </c>
      <c r="D51" s="3">
        <f t="shared" si="26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 t="shared" si="27"/>
        <v>3036.5339801332671</v>
      </c>
    </row>
    <row r="52" spans="1:22" ht="21.9" customHeight="1">
      <c r="A52" s="37" t="s">
        <v>1257</v>
      </c>
      <c r="B52" s="8" t="s">
        <v>136</v>
      </c>
      <c r="C52" s="2">
        <f t="shared" si="3"/>
        <v>8579535.3100000005</v>
      </c>
      <c r="D52" s="3">
        <f t="shared" si="26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 t="shared" si="27"/>
        <v>2302.5015550465464</v>
      </c>
    </row>
    <row r="53" spans="1:22" ht="45" customHeight="1">
      <c r="A53" s="53" t="s">
        <v>978</v>
      </c>
      <c r="B53" s="53"/>
      <c r="C53" s="2">
        <f>SUM(C54)</f>
        <v>1199702.6400000001</v>
      </c>
      <c r="D53" s="2">
        <f t="shared" ref="D53:U53" si="28">SUM(D54)</f>
        <v>0</v>
      </c>
      <c r="E53" s="2">
        <f t="shared" si="28"/>
        <v>0</v>
      </c>
      <c r="F53" s="2">
        <f t="shared" si="28"/>
        <v>0</v>
      </c>
      <c r="G53" s="2">
        <f t="shared" si="28"/>
        <v>0</v>
      </c>
      <c r="H53" s="2">
        <f t="shared" si="28"/>
        <v>0</v>
      </c>
      <c r="I53" s="2">
        <f t="shared" si="28"/>
        <v>0</v>
      </c>
      <c r="J53" s="2">
        <f t="shared" si="28"/>
        <v>0</v>
      </c>
      <c r="K53" s="14">
        <f t="shared" si="28"/>
        <v>0</v>
      </c>
      <c r="L53" s="2">
        <f t="shared" si="28"/>
        <v>0</v>
      </c>
      <c r="M53" s="2">
        <f t="shared" si="28"/>
        <v>367.1</v>
      </c>
      <c r="N53" s="2">
        <f t="shared" si="28"/>
        <v>1172693.07</v>
      </c>
      <c r="O53" s="2">
        <f t="shared" si="28"/>
        <v>0</v>
      </c>
      <c r="P53" s="2">
        <f t="shared" si="28"/>
        <v>0</v>
      </c>
      <c r="Q53" s="2">
        <f t="shared" si="28"/>
        <v>0</v>
      </c>
      <c r="R53" s="2">
        <f t="shared" si="28"/>
        <v>0</v>
      </c>
      <c r="S53" s="2">
        <f t="shared" si="28"/>
        <v>0</v>
      </c>
      <c r="T53" s="2">
        <f t="shared" si="28"/>
        <v>0</v>
      </c>
      <c r="U53" s="2">
        <f t="shared" si="28"/>
        <v>27009.57</v>
      </c>
      <c r="V53" s="18">
        <f>C53</f>
        <v>1199702.6400000001</v>
      </c>
    </row>
    <row r="54" spans="1:22" ht="21.9" customHeight="1">
      <c r="A54" s="37" t="s">
        <v>1258</v>
      </c>
      <c r="B54" s="8" t="s">
        <v>979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>
      <c r="A55" s="63" t="s">
        <v>132</v>
      </c>
      <c r="B55" s="64"/>
      <c r="C55" s="2">
        <f>SUM(C56)</f>
        <v>1474519.93</v>
      </c>
      <c r="D55" s="2">
        <f t="shared" ref="D55:U55" si="29">SUM(D56)</f>
        <v>0</v>
      </c>
      <c r="E55" s="2">
        <f t="shared" si="29"/>
        <v>0</v>
      </c>
      <c r="F55" s="2">
        <f t="shared" si="29"/>
        <v>0</v>
      </c>
      <c r="G55" s="2">
        <f t="shared" si="29"/>
        <v>0</v>
      </c>
      <c r="H55" s="2">
        <f t="shared" si="29"/>
        <v>0</v>
      </c>
      <c r="I55" s="2">
        <f t="shared" si="29"/>
        <v>0</v>
      </c>
      <c r="J55" s="2">
        <f t="shared" si="29"/>
        <v>0</v>
      </c>
      <c r="K55" s="14">
        <f t="shared" si="29"/>
        <v>0</v>
      </c>
      <c r="L55" s="2">
        <f t="shared" si="29"/>
        <v>0</v>
      </c>
      <c r="M55" s="2">
        <f t="shared" si="29"/>
        <v>336.44</v>
      </c>
      <c r="N55" s="2">
        <f t="shared" si="29"/>
        <v>1474519.93</v>
      </c>
      <c r="O55" s="2">
        <f t="shared" si="29"/>
        <v>0</v>
      </c>
      <c r="P55" s="2">
        <f t="shared" si="29"/>
        <v>0</v>
      </c>
      <c r="Q55" s="2">
        <f t="shared" si="29"/>
        <v>0</v>
      </c>
      <c r="R55" s="2">
        <f t="shared" si="29"/>
        <v>0</v>
      </c>
      <c r="S55" s="2">
        <f t="shared" si="29"/>
        <v>0</v>
      </c>
      <c r="T55" s="2">
        <f t="shared" si="29"/>
        <v>0</v>
      </c>
      <c r="U55" s="2">
        <f t="shared" si="29"/>
        <v>0</v>
      </c>
      <c r="V55" s="18" t="e">
        <f>C55+#REF!</f>
        <v>#REF!</v>
      </c>
    </row>
    <row r="56" spans="1:22" ht="21" customHeight="1">
      <c r="A56" s="37" t="s">
        <v>1259</v>
      </c>
      <c r="B56" s="8" t="s">
        <v>1064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>
      <c r="A57" s="53" t="s">
        <v>139</v>
      </c>
      <c r="B57" s="53"/>
      <c r="C57" s="2">
        <f t="shared" ref="C57:U57" si="30">SUM(C58:C58)</f>
        <v>642013.23</v>
      </c>
      <c r="D57" s="2">
        <f t="shared" si="30"/>
        <v>0</v>
      </c>
      <c r="E57" s="2">
        <f t="shared" si="30"/>
        <v>0</v>
      </c>
      <c r="F57" s="2">
        <f t="shared" si="30"/>
        <v>0</v>
      </c>
      <c r="G57" s="2">
        <f t="shared" si="30"/>
        <v>0</v>
      </c>
      <c r="H57" s="2">
        <f t="shared" si="30"/>
        <v>0</v>
      </c>
      <c r="I57" s="2">
        <f t="shared" si="30"/>
        <v>0</v>
      </c>
      <c r="J57" s="2">
        <f t="shared" si="30"/>
        <v>0</v>
      </c>
      <c r="K57" s="14">
        <f t="shared" si="30"/>
        <v>0</v>
      </c>
      <c r="L57" s="2">
        <f t="shared" si="30"/>
        <v>0</v>
      </c>
      <c r="M57" s="2">
        <f t="shared" si="30"/>
        <v>374.54</v>
      </c>
      <c r="N57" s="2">
        <f t="shared" si="30"/>
        <v>592997.37</v>
      </c>
      <c r="O57" s="2">
        <f t="shared" si="30"/>
        <v>0</v>
      </c>
      <c r="P57" s="2">
        <f t="shared" si="30"/>
        <v>0</v>
      </c>
      <c r="Q57" s="2">
        <f t="shared" si="30"/>
        <v>0</v>
      </c>
      <c r="R57" s="2">
        <f t="shared" si="30"/>
        <v>0</v>
      </c>
      <c r="S57" s="2">
        <f t="shared" si="30"/>
        <v>0</v>
      </c>
      <c r="T57" s="2">
        <f t="shared" si="30"/>
        <v>0</v>
      </c>
      <c r="U57" s="2">
        <f t="shared" si="30"/>
        <v>49015.86</v>
      </c>
      <c r="V57" s="18">
        <f>C57+C368</f>
        <v>6702298.2300000004</v>
      </c>
    </row>
    <row r="58" spans="1:22" ht="20.100000000000001" customHeight="1">
      <c r="A58" s="37" t="s">
        <v>1260</v>
      </c>
      <c r="B58" s="8" t="s">
        <v>141</v>
      </c>
      <c r="C58" s="2">
        <f t="shared" si="3"/>
        <v>642013.23</v>
      </c>
      <c r="D58" s="3">
        <f t="shared" ref="D58" si="31"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 t="shared" ref="V58" si="32">N58/M58</f>
        <v>1583.2684626475143</v>
      </c>
    </row>
    <row r="59" spans="1:22" ht="45" customHeight="1">
      <c r="A59" s="53" t="s">
        <v>145</v>
      </c>
      <c r="B59" s="53"/>
      <c r="C59" s="2">
        <f>SUM(C60)</f>
        <v>4680715.3900000006</v>
      </c>
      <c r="D59" s="2">
        <f t="shared" ref="D59:U59" si="33">SUM(D60)</f>
        <v>1109206.1199999999</v>
      </c>
      <c r="E59" s="2">
        <f t="shared" si="33"/>
        <v>343775.49</v>
      </c>
      <c r="F59" s="2">
        <f t="shared" si="33"/>
        <v>579500.93999999994</v>
      </c>
      <c r="G59" s="2">
        <f t="shared" si="33"/>
        <v>111741.49</v>
      </c>
      <c r="H59" s="2">
        <f t="shared" si="33"/>
        <v>0</v>
      </c>
      <c r="I59" s="2">
        <f t="shared" si="33"/>
        <v>74188.2</v>
      </c>
      <c r="J59" s="2">
        <f t="shared" si="33"/>
        <v>0</v>
      </c>
      <c r="K59" s="14">
        <f t="shared" si="33"/>
        <v>0</v>
      </c>
      <c r="L59" s="2">
        <f t="shared" si="33"/>
        <v>0</v>
      </c>
      <c r="M59" s="2">
        <f t="shared" si="33"/>
        <v>684</v>
      </c>
      <c r="N59" s="2">
        <f t="shared" si="33"/>
        <v>3414950.45</v>
      </c>
      <c r="O59" s="2">
        <f t="shared" si="33"/>
        <v>0</v>
      </c>
      <c r="P59" s="2">
        <f t="shared" si="33"/>
        <v>0</v>
      </c>
      <c r="Q59" s="2">
        <f t="shared" si="33"/>
        <v>0</v>
      </c>
      <c r="R59" s="2">
        <f t="shared" si="33"/>
        <v>0</v>
      </c>
      <c r="S59" s="2">
        <f t="shared" si="33"/>
        <v>0</v>
      </c>
      <c r="T59" s="2">
        <f t="shared" si="33"/>
        <v>0</v>
      </c>
      <c r="U59" s="2">
        <f t="shared" si="33"/>
        <v>156558.82</v>
      </c>
      <c r="V59" s="18">
        <f>C59</f>
        <v>4680715.3900000006</v>
      </c>
    </row>
    <row r="60" spans="1:22" ht="21.9" customHeight="1">
      <c r="A60" s="37" t="s">
        <v>1261</v>
      </c>
      <c r="B60" s="8" t="s">
        <v>994</v>
      </c>
      <c r="C60" s="2">
        <f t="shared" ref="C60:C121" si="34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>
      <c r="A61" s="53" t="s">
        <v>148</v>
      </c>
      <c r="B61" s="53"/>
      <c r="C61" s="2">
        <f>SUM(C62:C63)</f>
        <v>4603498.0599999996</v>
      </c>
      <c r="D61" s="2">
        <f t="shared" ref="D61:U61" si="35">SUM(D62:D63)</f>
        <v>0</v>
      </c>
      <c r="E61" s="2">
        <f t="shared" si="35"/>
        <v>0</v>
      </c>
      <c r="F61" s="2">
        <f t="shared" si="35"/>
        <v>0</v>
      </c>
      <c r="G61" s="2">
        <f t="shared" si="35"/>
        <v>0</v>
      </c>
      <c r="H61" s="2">
        <f t="shared" si="35"/>
        <v>0</v>
      </c>
      <c r="I61" s="2">
        <f t="shared" si="35"/>
        <v>0</v>
      </c>
      <c r="J61" s="2">
        <f t="shared" si="35"/>
        <v>0</v>
      </c>
      <c r="K61" s="14">
        <f t="shared" si="35"/>
        <v>0</v>
      </c>
      <c r="L61" s="2">
        <f t="shared" si="35"/>
        <v>0</v>
      </c>
      <c r="M61" s="2">
        <f t="shared" si="35"/>
        <v>1228.1500000000001</v>
      </c>
      <c r="N61" s="2">
        <f t="shared" si="35"/>
        <v>4458689.3599999994</v>
      </c>
      <c r="O61" s="2">
        <f t="shared" si="35"/>
        <v>0</v>
      </c>
      <c r="P61" s="2">
        <f t="shared" si="35"/>
        <v>0</v>
      </c>
      <c r="Q61" s="2">
        <f t="shared" si="35"/>
        <v>0</v>
      </c>
      <c r="R61" s="2">
        <f t="shared" si="35"/>
        <v>0</v>
      </c>
      <c r="S61" s="2">
        <f t="shared" si="35"/>
        <v>0</v>
      </c>
      <c r="T61" s="2">
        <f t="shared" si="35"/>
        <v>0</v>
      </c>
      <c r="U61" s="2">
        <f t="shared" si="35"/>
        <v>144808.70000000001</v>
      </c>
      <c r="V61" s="18">
        <f>C61+C372+C842</f>
        <v>33619848.060000002</v>
      </c>
    </row>
    <row r="62" spans="1:22" ht="21.9" customHeight="1">
      <c r="A62" s="37" t="s">
        <v>1262</v>
      </c>
      <c r="B62" s="8" t="s">
        <v>153</v>
      </c>
      <c r="C62" s="2">
        <f t="shared" si="34"/>
        <v>3593361.92</v>
      </c>
      <c r="D62" s="3">
        <f t="shared" ref="D62:D63" si="36"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 t="shared" ref="V62:V63" si="37">N62/M62</f>
        <v>4164.8231512025432</v>
      </c>
    </row>
    <row r="63" spans="1:22" ht="21.9" customHeight="1">
      <c r="A63" s="37" t="s">
        <v>1263</v>
      </c>
      <c r="B63" s="8" t="s">
        <v>157</v>
      </c>
      <c r="C63" s="2">
        <f t="shared" si="34"/>
        <v>1010136.14</v>
      </c>
      <c r="D63" s="3">
        <f t="shared" si="36"/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 t="shared" si="37"/>
        <v>2501.1014955640053</v>
      </c>
    </row>
    <row r="64" spans="1:22" ht="45" customHeight="1">
      <c r="A64" s="53" t="s">
        <v>1220</v>
      </c>
      <c r="B64" s="53"/>
      <c r="C64" s="2">
        <f>SUM(C65)</f>
        <v>1038347.45</v>
      </c>
      <c r="D64" s="2">
        <f t="shared" ref="D64:U64" si="38">SUM(D65)</f>
        <v>0</v>
      </c>
      <c r="E64" s="2">
        <f t="shared" si="38"/>
        <v>0</v>
      </c>
      <c r="F64" s="2">
        <f t="shared" si="38"/>
        <v>0</v>
      </c>
      <c r="G64" s="2">
        <f t="shared" si="38"/>
        <v>0</v>
      </c>
      <c r="H64" s="2">
        <f t="shared" si="38"/>
        <v>0</v>
      </c>
      <c r="I64" s="2">
        <f t="shared" si="38"/>
        <v>0</v>
      </c>
      <c r="J64" s="2">
        <f t="shared" si="38"/>
        <v>0</v>
      </c>
      <c r="K64" s="14">
        <f t="shared" si="38"/>
        <v>0</v>
      </c>
      <c r="L64" s="2">
        <f t="shared" si="38"/>
        <v>0</v>
      </c>
      <c r="M64" s="2">
        <f t="shared" si="38"/>
        <v>297</v>
      </c>
      <c r="N64" s="2">
        <f t="shared" si="38"/>
        <v>989234.72</v>
      </c>
      <c r="O64" s="2">
        <f t="shared" si="38"/>
        <v>0</v>
      </c>
      <c r="P64" s="2">
        <f t="shared" si="38"/>
        <v>0</v>
      </c>
      <c r="Q64" s="2">
        <f t="shared" si="38"/>
        <v>0</v>
      </c>
      <c r="R64" s="2">
        <f t="shared" si="38"/>
        <v>0</v>
      </c>
      <c r="S64" s="2">
        <f t="shared" si="38"/>
        <v>0</v>
      </c>
      <c r="T64" s="2">
        <f t="shared" si="38"/>
        <v>0</v>
      </c>
      <c r="U64" s="2">
        <f t="shared" si="38"/>
        <v>49112.73</v>
      </c>
      <c r="V64" s="18">
        <f>C64+C379+C847</f>
        <v>3668887.45</v>
      </c>
    </row>
    <row r="65" spans="1:22" ht="21.9" customHeight="1">
      <c r="A65" s="37" t="s">
        <v>1264</v>
      </c>
      <c r="B65" s="8" t="s">
        <v>158</v>
      </c>
      <c r="C65" s="2">
        <f t="shared" si="34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>
      <c r="A66" s="53" t="s">
        <v>161</v>
      </c>
      <c r="B66" s="53"/>
      <c r="C66" s="2">
        <f>SUM(C67)</f>
        <v>2269053.58</v>
      </c>
      <c r="D66" s="2">
        <f t="shared" ref="D66:U66" si="39">SUM(D67)</f>
        <v>0</v>
      </c>
      <c r="E66" s="2">
        <f t="shared" si="39"/>
        <v>0</v>
      </c>
      <c r="F66" s="2">
        <f t="shared" si="39"/>
        <v>0</v>
      </c>
      <c r="G66" s="2">
        <f t="shared" si="39"/>
        <v>0</v>
      </c>
      <c r="H66" s="2">
        <f t="shared" si="39"/>
        <v>0</v>
      </c>
      <c r="I66" s="2">
        <f t="shared" si="39"/>
        <v>0</v>
      </c>
      <c r="J66" s="2">
        <f t="shared" si="39"/>
        <v>0</v>
      </c>
      <c r="K66" s="14">
        <f t="shared" si="39"/>
        <v>0</v>
      </c>
      <c r="L66" s="2">
        <f t="shared" si="39"/>
        <v>0</v>
      </c>
      <c r="M66" s="2">
        <f t="shared" si="39"/>
        <v>710</v>
      </c>
      <c r="N66" s="2">
        <f t="shared" si="39"/>
        <v>2234087.79</v>
      </c>
      <c r="O66" s="2">
        <f t="shared" si="39"/>
        <v>0</v>
      </c>
      <c r="P66" s="2">
        <f t="shared" si="39"/>
        <v>0</v>
      </c>
      <c r="Q66" s="2">
        <f t="shared" si="39"/>
        <v>0</v>
      </c>
      <c r="R66" s="2">
        <f t="shared" si="39"/>
        <v>0</v>
      </c>
      <c r="S66" s="2">
        <f t="shared" si="39"/>
        <v>0</v>
      </c>
      <c r="T66" s="2">
        <f t="shared" si="39"/>
        <v>0</v>
      </c>
      <c r="U66" s="2">
        <f t="shared" si="39"/>
        <v>34965.79</v>
      </c>
      <c r="V66" s="18">
        <f>C66</f>
        <v>2269053.58</v>
      </c>
    </row>
    <row r="67" spans="1:22" ht="21.9" customHeight="1">
      <c r="A67" s="37" t="s">
        <v>1265</v>
      </c>
      <c r="B67" s="8" t="s">
        <v>162</v>
      </c>
      <c r="C67" s="2">
        <f t="shared" si="34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>
      <c r="A68" s="53" t="s">
        <v>163</v>
      </c>
      <c r="B68" s="53"/>
      <c r="C68" s="2">
        <f>SUM(C69:C85)</f>
        <v>94628257.640000015</v>
      </c>
      <c r="D68" s="2">
        <f t="shared" ref="D68:T68" si="40">SUM(D70:D85)</f>
        <v>23558992.600000001</v>
      </c>
      <c r="E68" s="2">
        <f t="shared" si="40"/>
        <v>3114461.6900000004</v>
      </c>
      <c r="F68" s="2">
        <f t="shared" si="40"/>
        <v>12001018.830000002</v>
      </c>
      <c r="G68" s="2">
        <f t="shared" si="40"/>
        <v>1803595.94</v>
      </c>
      <c r="H68" s="2">
        <f t="shared" si="40"/>
        <v>4526478.5600000005</v>
      </c>
      <c r="I68" s="2">
        <f t="shared" si="40"/>
        <v>2113437.58</v>
      </c>
      <c r="J68" s="2">
        <f t="shared" si="40"/>
        <v>0</v>
      </c>
      <c r="K68" s="14">
        <f t="shared" si="40"/>
        <v>0</v>
      </c>
      <c r="L68" s="2">
        <f t="shared" si="40"/>
        <v>0</v>
      </c>
      <c r="M68" s="2">
        <f t="shared" si="40"/>
        <v>7767.29</v>
      </c>
      <c r="N68" s="2">
        <f>SUM(N69:N85)</f>
        <v>32004630.640000001</v>
      </c>
      <c r="O68" s="2">
        <f t="shared" si="40"/>
        <v>0</v>
      </c>
      <c r="P68" s="2">
        <f t="shared" si="40"/>
        <v>0</v>
      </c>
      <c r="Q68" s="2">
        <f t="shared" si="40"/>
        <v>12887.32</v>
      </c>
      <c r="R68" s="2">
        <f>SUM(R69:R85)</f>
        <v>36515734.180000007</v>
      </c>
      <c r="S68" s="2">
        <f t="shared" si="40"/>
        <v>0</v>
      </c>
      <c r="T68" s="2">
        <f t="shared" si="40"/>
        <v>0</v>
      </c>
      <c r="U68" s="2">
        <f>SUM(U69:U85)</f>
        <v>2548900.2199999997</v>
      </c>
      <c r="V68" s="18">
        <f>C68+C381+C849</f>
        <v>338841918.63999999</v>
      </c>
    </row>
    <row r="69" spans="1:22" ht="21.9" customHeight="1">
      <c r="A69" s="37" t="s">
        <v>1329</v>
      </c>
      <c r="B69" s="21" t="s">
        <v>165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1.9" customHeight="1">
      <c r="A70" s="37" t="s">
        <v>1330</v>
      </c>
      <c r="B70" s="21" t="s">
        <v>166</v>
      </c>
      <c r="C70" s="2">
        <f t="shared" si="34"/>
        <v>16536342.01</v>
      </c>
      <c r="D70" s="3">
        <f t="shared" ref="D70:D85" si="41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42">N70/M70</f>
        <v>2811.6659122991782</v>
      </c>
    </row>
    <row r="71" spans="1:22" ht="21.9" customHeight="1">
      <c r="A71" s="37" t="s">
        <v>1331</v>
      </c>
      <c r="B71" s="21" t="s">
        <v>169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1.9" customHeight="1">
      <c r="A72" s="37" t="s">
        <v>1332</v>
      </c>
      <c r="B72" s="21" t="s">
        <v>170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 t="shared" ref="J72" si="43"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1.9" customHeight="1">
      <c r="A73" s="37" t="s">
        <v>1333</v>
      </c>
      <c r="B73" s="21" t="s">
        <v>167</v>
      </c>
      <c r="C73" s="2">
        <f t="shared" si="34"/>
        <v>3384995.6</v>
      </c>
      <c r="D73" s="3">
        <f t="shared" si="41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42"/>
        <v>3187.0423408584443</v>
      </c>
    </row>
    <row r="74" spans="1:22" ht="21.9" customHeight="1">
      <c r="A74" s="37" t="s">
        <v>1334</v>
      </c>
      <c r="B74" s="21" t="s">
        <v>168</v>
      </c>
      <c r="C74" s="2">
        <f t="shared" si="34"/>
        <v>9965702</v>
      </c>
      <c r="D74" s="3">
        <f t="shared" si="41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 t="shared" ref="J74" si="44">350*0</f>
        <v>0</v>
      </c>
      <c r="K74" s="4">
        <v>0</v>
      </c>
      <c r="L74" s="3">
        <v>0</v>
      </c>
      <c r="M74" s="3">
        <v>0</v>
      </c>
      <c r="N74" s="3">
        <f t="shared" ref="N74" si="45"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42"/>
        <v>#DIV/0!</v>
      </c>
    </row>
    <row r="75" spans="1:22" ht="21.9" customHeight="1">
      <c r="A75" s="37" t="s">
        <v>1335</v>
      </c>
      <c r="B75" s="1" t="s">
        <v>171</v>
      </c>
      <c r="C75" s="2">
        <f t="shared" si="34"/>
        <v>2190763.4900000002</v>
      </c>
      <c r="D75" s="3">
        <f t="shared" si="41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 t="shared" ref="J75:J76" si="46"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S911</f>
        <v>0</v>
      </c>
      <c r="T75" s="3">
        <v>0</v>
      </c>
      <c r="U75" s="3">
        <v>184333.66</v>
      </c>
      <c r="V75" s="6">
        <f t="shared" si="42"/>
        <v>4134.5059701492537</v>
      </c>
    </row>
    <row r="76" spans="1:22" ht="21.9" customHeight="1">
      <c r="A76" s="37" t="s">
        <v>1336</v>
      </c>
      <c r="B76" s="1" t="s">
        <v>172</v>
      </c>
      <c r="C76" s="2">
        <f t="shared" si="34"/>
        <v>2306617.94</v>
      </c>
      <c r="D76" s="3">
        <f t="shared" si="41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 t="shared" si="46"/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S942</f>
        <v>0</v>
      </c>
      <c r="T76" s="3">
        <v>0</v>
      </c>
      <c r="U76" s="3">
        <v>164922.54999999999</v>
      </c>
      <c r="V76" s="6">
        <f t="shared" si="42"/>
        <v>3832.6437613019893</v>
      </c>
    </row>
    <row r="77" spans="1:22" ht="26.25" customHeight="1">
      <c r="A77" s="37" t="s">
        <v>1337</v>
      </c>
      <c r="B77" s="1" t="s">
        <v>827</v>
      </c>
      <c r="C77" s="2">
        <f t="shared" si="34"/>
        <v>58827.5</v>
      </c>
      <c r="D77" s="3">
        <f t="shared" si="41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4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48">Q77*2605</f>
        <v>0</v>
      </c>
      <c r="S77" s="3">
        <v>0</v>
      </c>
      <c r="T77" s="3">
        <v>0</v>
      </c>
      <c r="U77" s="3">
        <v>58827.5</v>
      </c>
      <c r="V77" s="6" t="e">
        <f t="shared" si="42"/>
        <v>#DIV/0!</v>
      </c>
    </row>
    <row r="78" spans="1:22" ht="21.9" customHeight="1">
      <c r="A78" s="37" t="s">
        <v>1338</v>
      </c>
      <c r="B78" s="1" t="s">
        <v>173</v>
      </c>
      <c r="C78" s="2">
        <f t="shared" si="34"/>
        <v>5261291.6399999997</v>
      </c>
      <c r="D78" s="3">
        <f t="shared" si="41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 t="shared" ref="J78:J79" si="49"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S943</f>
        <v>0</v>
      </c>
      <c r="T78" s="3">
        <v>0</v>
      </c>
      <c r="U78" s="3">
        <v>198000</v>
      </c>
      <c r="V78" s="6">
        <f t="shared" si="42"/>
        <v>4524.8304369747893</v>
      </c>
    </row>
    <row r="79" spans="1:22" ht="21.9" customHeight="1">
      <c r="A79" s="37" t="s">
        <v>1339</v>
      </c>
      <c r="B79" s="1" t="s">
        <v>174</v>
      </c>
      <c r="C79" s="2">
        <f t="shared" si="34"/>
        <v>7324935.5599999996</v>
      </c>
      <c r="D79" s="3">
        <f t="shared" si="41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 t="shared" si="49"/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S944</f>
        <v>0</v>
      </c>
      <c r="T79" s="3">
        <v>0</v>
      </c>
      <c r="U79" s="3">
        <v>198000</v>
      </c>
      <c r="V79" s="6">
        <f t="shared" si="42"/>
        <v>4174.937695121951</v>
      </c>
    </row>
    <row r="80" spans="1:22" ht="21.9" customHeight="1">
      <c r="A80" s="37" t="s">
        <v>1340</v>
      </c>
      <c r="B80" s="1" t="s">
        <v>175</v>
      </c>
      <c r="C80" s="2">
        <f t="shared" si="34"/>
        <v>124764.64</v>
      </c>
      <c r="D80" s="3">
        <f t="shared" si="41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48"/>
        <v>0</v>
      </c>
      <c r="S80" s="3">
        <v>0</v>
      </c>
      <c r="T80" s="3">
        <v>0</v>
      </c>
      <c r="U80" s="3">
        <v>124764.64</v>
      </c>
      <c r="V80" s="6" t="e">
        <f t="shared" si="42"/>
        <v>#DIV/0!</v>
      </c>
    </row>
    <row r="81" spans="1:22" ht="21.9" customHeight="1">
      <c r="A81" s="37" t="s">
        <v>1341</v>
      </c>
      <c r="B81" s="1" t="s">
        <v>176</v>
      </c>
      <c r="C81" s="2">
        <f t="shared" si="34"/>
        <v>3505682.2199999997</v>
      </c>
      <c r="D81" s="3">
        <f t="shared" si="41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 t="shared" ref="J81:J82" si="50">350*0</f>
        <v>0</v>
      </c>
      <c r="K81" s="4">
        <v>0</v>
      </c>
      <c r="L81" s="3">
        <v>0</v>
      </c>
      <c r="M81" s="3">
        <v>379.45</v>
      </c>
      <c r="N81" s="3">
        <f t="shared" si="4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42"/>
        <v>5300</v>
      </c>
    </row>
    <row r="82" spans="1:22" ht="21.9" customHeight="1">
      <c r="A82" s="37" t="s">
        <v>1342</v>
      </c>
      <c r="B82" s="1" t="s">
        <v>177</v>
      </c>
      <c r="C82" s="2">
        <f t="shared" si="34"/>
        <v>140954.04</v>
      </c>
      <c r="D82" s="3">
        <f t="shared" si="41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 t="shared" si="50"/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S899</f>
        <v>0</v>
      </c>
      <c r="T82" s="3">
        <v>0</v>
      </c>
      <c r="U82" s="3">
        <v>140954.04</v>
      </c>
      <c r="V82" s="6" t="e">
        <f t="shared" si="42"/>
        <v>#DIV/0!</v>
      </c>
    </row>
    <row r="83" spans="1:22" ht="21.9" customHeight="1">
      <c r="A83" s="37" t="s">
        <v>1343</v>
      </c>
      <c r="B83" s="21" t="s">
        <v>178</v>
      </c>
      <c r="C83" s="2">
        <f t="shared" si="34"/>
        <v>52206.080000000002</v>
      </c>
      <c r="D83" s="3">
        <f t="shared" si="41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47"/>
        <v>0</v>
      </c>
      <c r="O83" s="3">
        <v>0</v>
      </c>
      <c r="P83" s="3">
        <v>0</v>
      </c>
      <c r="Q83" s="3">
        <v>0</v>
      </c>
      <c r="R83" s="3">
        <f t="shared" si="48"/>
        <v>0</v>
      </c>
      <c r="S83" s="3">
        <f>S900</f>
        <v>0</v>
      </c>
      <c r="T83" s="3">
        <v>0</v>
      </c>
      <c r="U83" s="3">
        <v>52206.080000000002</v>
      </c>
      <c r="V83" s="6" t="e">
        <f t="shared" si="42"/>
        <v>#DIV/0!</v>
      </c>
    </row>
    <row r="84" spans="1:22" ht="21.9" customHeight="1">
      <c r="A84" s="37" t="s">
        <v>1344</v>
      </c>
      <c r="B84" s="21" t="s">
        <v>179</v>
      </c>
      <c r="C84" s="2">
        <f t="shared" si="34"/>
        <v>49933.51</v>
      </c>
      <c r="D84" s="3">
        <f t="shared" si="41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47"/>
        <v>0</v>
      </c>
      <c r="O84" s="3">
        <v>0</v>
      </c>
      <c r="P84" s="3">
        <v>0</v>
      </c>
      <c r="Q84" s="3">
        <v>0</v>
      </c>
      <c r="R84" s="3">
        <f t="shared" si="48"/>
        <v>0</v>
      </c>
      <c r="S84" s="3">
        <f>S901</f>
        <v>0</v>
      </c>
      <c r="T84" s="3">
        <v>0</v>
      </c>
      <c r="U84" s="3">
        <v>49933.51</v>
      </c>
      <c r="V84" s="6" t="e">
        <f t="shared" si="42"/>
        <v>#DIV/0!</v>
      </c>
    </row>
    <row r="85" spans="1:22" ht="21.9" customHeight="1">
      <c r="A85" s="37" t="s">
        <v>1345</v>
      </c>
      <c r="B85" s="8" t="s">
        <v>1045</v>
      </c>
      <c r="C85" s="2">
        <f t="shared" si="34"/>
        <v>168307.13</v>
      </c>
      <c r="D85" s="3">
        <f t="shared" si="41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42"/>
        <v>#DIV/0!</v>
      </c>
    </row>
    <row r="86" spans="1:22" ht="45" customHeight="1">
      <c r="A86" s="53" t="s">
        <v>222</v>
      </c>
      <c r="B86" s="53"/>
      <c r="C86" s="2">
        <f>SUM(C87:C88)</f>
        <v>2602069.1</v>
      </c>
      <c r="D86" s="2">
        <f t="shared" ref="D86:U86" si="51">SUM(D87:D88)</f>
        <v>454084.26000000007</v>
      </c>
      <c r="E86" s="2">
        <f t="shared" si="51"/>
        <v>145809.64000000001</v>
      </c>
      <c r="F86" s="2">
        <f t="shared" si="51"/>
        <v>202522</v>
      </c>
      <c r="G86" s="2">
        <f t="shared" si="51"/>
        <v>48192.91</v>
      </c>
      <c r="H86" s="2">
        <f t="shared" si="51"/>
        <v>0</v>
      </c>
      <c r="I86" s="2">
        <f t="shared" si="51"/>
        <v>57559.71</v>
      </c>
      <c r="J86" s="2">
        <f t="shared" si="51"/>
        <v>0</v>
      </c>
      <c r="K86" s="14">
        <f t="shared" si="51"/>
        <v>0</v>
      </c>
      <c r="L86" s="2">
        <f t="shared" si="51"/>
        <v>0</v>
      </c>
      <c r="M86" s="2">
        <f t="shared" si="51"/>
        <v>240</v>
      </c>
      <c r="N86" s="2">
        <f t="shared" si="51"/>
        <v>1032050.92</v>
      </c>
      <c r="O86" s="2">
        <f t="shared" si="51"/>
        <v>0</v>
      </c>
      <c r="P86" s="2">
        <f t="shared" si="51"/>
        <v>0</v>
      </c>
      <c r="Q86" s="2">
        <f t="shared" si="51"/>
        <v>408.6</v>
      </c>
      <c r="R86" s="2">
        <f t="shared" si="51"/>
        <v>1063447.25</v>
      </c>
      <c r="S86" s="2">
        <f t="shared" si="51"/>
        <v>0</v>
      </c>
      <c r="T86" s="2">
        <f t="shared" si="51"/>
        <v>0</v>
      </c>
      <c r="U86" s="2">
        <f t="shared" si="51"/>
        <v>52486.67</v>
      </c>
      <c r="V86" s="18">
        <f>C86+C403</f>
        <v>6804109.5999999996</v>
      </c>
    </row>
    <row r="87" spans="1:22" ht="20.100000000000001" customHeight="1">
      <c r="A87" s="37" t="s">
        <v>1346</v>
      </c>
      <c r="B87" s="8" t="s">
        <v>223</v>
      </c>
      <c r="C87" s="2">
        <f t="shared" si="34"/>
        <v>2549582.4300000002</v>
      </c>
      <c r="D87" s="3">
        <f t="shared" ref="D87:D88" si="52"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 t="shared" ref="V87:V88" si="53">N87/M87</f>
        <v>4300.2121666666671</v>
      </c>
    </row>
    <row r="88" spans="1:22" ht="20.100000000000001" customHeight="1">
      <c r="A88" s="37" t="s">
        <v>1347</v>
      </c>
      <c r="B88" s="8" t="s">
        <v>224</v>
      </c>
      <c r="C88" s="2">
        <f t="shared" si="34"/>
        <v>52486.67</v>
      </c>
      <c r="D88" s="3">
        <f t="shared" si="52"/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 t="shared" si="53"/>
        <v>#DIV/0!</v>
      </c>
    </row>
    <row r="89" spans="1:22" ht="45" customHeight="1">
      <c r="A89" s="53" t="s">
        <v>221</v>
      </c>
      <c r="B89" s="53"/>
      <c r="C89" s="2">
        <f>SUM(C90:C95)</f>
        <v>5065932.63</v>
      </c>
      <c r="D89" s="2">
        <f t="shared" ref="D89:U89" si="54">SUM(D90:D95)</f>
        <v>203812.47</v>
      </c>
      <c r="E89" s="2">
        <f t="shared" si="54"/>
        <v>203812.47</v>
      </c>
      <c r="F89" s="2">
        <f t="shared" si="54"/>
        <v>0</v>
      </c>
      <c r="G89" s="2">
        <f t="shared" si="54"/>
        <v>0</v>
      </c>
      <c r="H89" s="2">
        <f t="shared" si="54"/>
        <v>0</v>
      </c>
      <c r="I89" s="2">
        <f t="shared" si="54"/>
        <v>0</v>
      </c>
      <c r="J89" s="2">
        <f t="shared" si="54"/>
        <v>0</v>
      </c>
      <c r="K89" s="14">
        <f t="shared" si="54"/>
        <v>0</v>
      </c>
      <c r="L89" s="2">
        <f t="shared" si="54"/>
        <v>0</v>
      </c>
      <c r="M89" s="2">
        <f t="shared" si="54"/>
        <v>370</v>
      </c>
      <c r="N89" s="2">
        <f t="shared" si="54"/>
        <v>1939364.18</v>
      </c>
      <c r="O89" s="2">
        <f t="shared" si="54"/>
        <v>0</v>
      </c>
      <c r="P89" s="2">
        <f t="shared" si="54"/>
        <v>0</v>
      </c>
      <c r="Q89" s="2">
        <f t="shared" si="54"/>
        <v>1390.05</v>
      </c>
      <c r="R89" s="2">
        <f t="shared" si="54"/>
        <v>2774118.74</v>
      </c>
      <c r="S89" s="2">
        <f t="shared" si="54"/>
        <v>0</v>
      </c>
      <c r="T89" s="2">
        <f t="shared" si="54"/>
        <v>0</v>
      </c>
      <c r="U89" s="2">
        <f t="shared" si="54"/>
        <v>148637.24</v>
      </c>
      <c r="V89" s="18">
        <f>C89+C405+C865</f>
        <v>42103981.399999999</v>
      </c>
    </row>
    <row r="90" spans="1:22" ht="21.9" customHeight="1">
      <c r="A90" s="37" t="s">
        <v>1348</v>
      </c>
      <c r="B90" s="8" t="s">
        <v>212</v>
      </c>
      <c r="C90" s="2">
        <f t="shared" si="34"/>
        <v>61829.57</v>
      </c>
      <c r="D90" s="3">
        <f t="shared" ref="D90:D95" si="55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56">N90/M90</f>
        <v>#DIV/0!</v>
      </c>
    </row>
    <row r="91" spans="1:22" ht="21.9" customHeight="1">
      <c r="A91" s="37" t="s">
        <v>1349</v>
      </c>
      <c r="B91" s="8" t="s">
        <v>215</v>
      </c>
      <c r="C91" s="2">
        <f t="shared" si="34"/>
        <v>32637.59</v>
      </c>
      <c r="D91" s="3">
        <f t="shared" si="55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56"/>
        <v>#DIV/0!</v>
      </c>
    </row>
    <row r="92" spans="1:22" ht="21.9" customHeight="1">
      <c r="A92" s="37" t="s">
        <v>1350</v>
      </c>
      <c r="B92" s="8" t="s">
        <v>1059</v>
      </c>
      <c r="C92" s="2">
        <f t="shared" si="34"/>
        <v>1326633.6000000001</v>
      </c>
      <c r="D92" s="3">
        <f t="shared" si="55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56"/>
        <v>#DIV/0!</v>
      </c>
    </row>
    <row r="93" spans="1:22" ht="21.9" customHeight="1">
      <c r="A93" s="37" t="s">
        <v>1351</v>
      </c>
      <c r="B93" s="8" t="s">
        <v>216</v>
      </c>
      <c r="C93" s="2">
        <f t="shared" si="34"/>
        <v>54170.080000000002</v>
      </c>
      <c r="D93" s="3">
        <f t="shared" si="55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56"/>
        <v>#DIV/0!</v>
      </c>
    </row>
    <row r="94" spans="1:22" ht="21.9" customHeight="1">
      <c r="A94" s="37" t="s">
        <v>1352</v>
      </c>
      <c r="B94" s="8" t="s">
        <v>1060</v>
      </c>
      <c r="C94" s="2">
        <f t="shared" si="34"/>
        <v>2637062.5499999998</v>
      </c>
      <c r="D94" s="3">
        <f t="shared" si="55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56"/>
        <v>5241.5248108108108</v>
      </c>
    </row>
    <row r="95" spans="1:22" ht="21.9" customHeight="1">
      <c r="A95" s="37" t="s">
        <v>1353</v>
      </c>
      <c r="B95" s="8" t="s">
        <v>1061</v>
      </c>
      <c r="C95" s="2">
        <f t="shared" si="34"/>
        <v>953599.24</v>
      </c>
      <c r="D95" s="3">
        <f t="shared" si="55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56"/>
        <v>#DIV/0!</v>
      </c>
    </row>
    <row r="96" spans="1:22" ht="45" customHeight="1">
      <c r="A96" s="53" t="s">
        <v>225</v>
      </c>
      <c r="B96" s="53"/>
      <c r="C96" s="2">
        <f>SUM(C97:C103)</f>
        <v>10285380.459999999</v>
      </c>
      <c r="D96" s="2">
        <f t="shared" ref="D96:T96" si="57">SUM(D98:D103)</f>
        <v>3102953.3</v>
      </c>
      <c r="E96" s="2">
        <f t="shared" si="57"/>
        <v>359199.98</v>
      </c>
      <c r="F96" s="2">
        <f t="shared" si="57"/>
        <v>1930196.5299999998</v>
      </c>
      <c r="G96" s="2">
        <f t="shared" si="57"/>
        <v>165331.20000000001</v>
      </c>
      <c r="H96" s="2">
        <f t="shared" si="57"/>
        <v>648225.59000000008</v>
      </c>
      <c r="I96" s="2">
        <f t="shared" si="57"/>
        <v>0</v>
      </c>
      <c r="J96" s="2">
        <f t="shared" si="57"/>
        <v>0</v>
      </c>
      <c r="K96" s="14">
        <f t="shared" si="57"/>
        <v>0</v>
      </c>
      <c r="L96" s="2">
        <f t="shared" si="57"/>
        <v>0</v>
      </c>
      <c r="M96" s="2">
        <f t="shared" si="57"/>
        <v>1610</v>
      </c>
      <c r="N96" s="2">
        <f>SUM(N97:N103)</f>
        <v>5424455.4399999995</v>
      </c>
      <c r="O96" s="2">
        <f t="shared" si="57"/>
        <v>0</v>
      </c>
      <c r="P96" s="2">
        <f t="shared" si="57"/>
        <v>0</v>
      </c>
      <c r="Q96" s="2">
        <f t="shared" si="57"/>
        <v>660</v>
      </c>
      <c r="R96" s="2">
        <f>SUM(R97:R103)</f>
        <v>1240574.96</v>
      </c>
      <c r="S96" s="2">
        <f t="shared" si="57"/>
        <v>0</v>
      </c>
      <c r="T96" s="2">
        <f t="shared" si="57"/>
        <v>0</v>
      </c>
      <c r="U96" s="2">
        <f>SUM(U97:U103)</f>
        <v>517396.75999999995</v>
      </c>
      <c r="V96" s="18">
        <f>C96+C415+C873</f>
        <v>54373169.259999998</v>
      </c>
    </row>
    <row r="97" spans="1:22" ht="21.9" customHeight="1">
      <c r="A97" s="37" t="s">
        <v>1354</v>
      </c>
      <c r="B97" s="8" t="s">
        <v>231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1.9" customHeight="1">
      <c r="A98" s="37" t="s">
        <v>1355</v>
      </c>
      <c r="B98" s="8" t="s">
        <v>228</v>
      </c>
      <c r="C98" s="2">
        <f t="shared" si="34"/>
        <v>1896196.86</v>
      </c>
      <c r="D98" s="3">
        <f t="shared" ref="D98:D103" si="58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59">N98/M98</f>
        <v>#DIV/0!</v>
      </c>
    </row>
    <row r="99" spans="1:22" ht="21.9" customHeight="1">
      <c r="A99" s="37" t="s">
        <v>1356</v>
      </c>
      <c r="B99" s="8" t="s">
        <v>229</v>
      </c>
      <c r="C99" s="2">
        <f t="shared" si="34"/>
        <v>3214200.37</v>
      </c>
      <c r="D99" s="3">
        <f t="shared" si="58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59"/>
        <v>2851.0027797833936</v>
      </c>
    </row>
    <row r="100" spans="1:22" ht="21.9" customHeight="1">
      <c r="A100" s="37" t="s">
        <v>1357</v>
      </c>
      <c r="B100" s="8" t="s">
        <v>230</v>
      </c>
      <c r="C100" s="2">
        <f t="shared" si="34"/>
        <v>1436634.3299999998</v>
      </c>
      <c r="D100" s="3">
        <f t="shared" si="58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59"/>
        <v>#DIV/0!</v>
      </c>
    </row>
    <row r="101" spans="1:22" ht="21.9" customHeight="1">
      <c r="A101" s="37" t="s">
        <v>1358</v>
      </c>
      <c r="B101" s="8" t="s">
        <v>237</v>
      </c>
      <c r="C101" s="2">
        <f t="shared" si="34"/>
        <v>43502.720000000001</v>
      </c>
      <c r="D101" s="3">
        <f t="shared" si="58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59"/>
        <v>#DIV/0!</v>
      </c>
    </row>
    <row r="102" spans="1:22" ht="21.9" customHeight="1">
      <c r="A102" s="37" t="s">
        <v>1359</v>
      </c>
      <c r="B102" s="8" t="s">
        <v>238</v>
      </c>
      <c r="C102" s="2">
        <f t="shared" si="34"/>
        <v>3590879.9499999997</v>
      </c>
      <c r="D102" s="3">
        <f t="shared" si="58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59"/>
        <v>4513.0365737051789</v>
      </c>
    </row>
    <row r="103" spans="1:22" ht="21.9" customHeight="1">
      <c r="A103" s="37" t="s">
        <v>1360</v>
      </c>
      <c r="B103" s="8" t="s">
        <v>239</v>
      </c>
      <c r="C103" s="2">
        <f t="shared" si="34"/>
        <v>36034.29</v>
      </c>
      <c r="D103" s="3">
        <f t="shared" si="58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59"/>
        <v>#DIV/0!</v>
      </c>
    </row>
    <row r="104" spans="1:22" ht="45" customHeight="1">
      <c r="A104" s="53" t="s">
        <v>267</v>
      </c>
      <c r="B104" s="53"/>
      <c r="C104" s="2">
        <f>SUM(C105:C113)</f>
        <v>21052476.790000003</v>
      </c>
      <c r="D104" s="2">
        <f t="shared" ref="D104:U104" si="60">SUM(D105:D113)</f>
        <v>2996229.58</v>
      </c>
      <c r="E104" s="2">
        <f t="shared" si="60"/>
        <v>776561.23</v>
      </c>
      <c r="F104" s="2">
        <f t="shared" si="60"/>
        <v>1654258.34</v>
      </c>
      <c r="G104" s="2">
        <f t="shared" si="60"/>
        <v>228876.97000000003</v>
      </c>
      <c r="H104" s="2">
        <f t="shared" si="60"/>
        <v>0</v>
      </c>
      <c r="I104" s="2">
        <f t="shared" si="60"/>
        <v>336533.04</v>
      </c>
      <c r="J104" s="2">
        <f t="shared" si="60"/>
        <v>0</v>
      </c>
      <c r="K104" s="14">
        <f t="shared" si="60"/>
        <v>0</v>
      </c>
      <c r="L104" s="2">
        <f t="shared" si="60"/>
        <v>0</v>
      </c>
      <c r="M104" s="2">
        <f t="shared" si="60"/>
        <v>1739.9</v>
      </c>
      <c r="N104" s="2">
        <f t="shared" si="60"/>
        <v>8597281.5099999998</v>
      </c>
      <c r="O104" s="2">
        <f t="shared" si="60"/>
        <v>1281.5</v>
      </c>
      <c r="P104" s="2">
        <f t="shared" si="60"/>
        <v>1244201.9099999999</v>
      </c>
      <c r="Q104" s="2">
        <f t="shared" si="60"/>
        <v>3032</v>
      </c>
      <c r="R104" s="2">
        <f t="shared" si="60"/>
        <v>6762381.1899999995</v>
      </c>
      <c r="S104" s="2">
        <f t="shared" si="60"/>
        <v>0</v>
      </c>
      <c r="T104" s="2">
        <f t="shared" si="60"/>
        <v>0</v>
      </c>
      <c r="U104" s="2">
        <f t="shared" si="60"/>
        <v>1452382.5999999999</v>
      </c>
      <c r="V104" s="18">
        <f>C104+C427+C881</f>
        <v>226990971.18000001</v>
      </c>
    </row>
    <row r="105" spans="1:22" ht="21.9" customHeight="1">
      <c r="A105" s="37" t="s">
        <v>1361</v>
      </c>
      <c r="B105" s="22" t="s">
        <v>243</v>
      </c>
      <c r="C105" s="2">
        <f t="shared" si="34"/>
        <v>11569870.460000001</v>
      </c>
      <c r="D105" s="3">
        <f t="shared" ref="D105:D113" si="61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62">N105/M105</f>
        <v>5093.990734030438</v>
      </c>
    </row>
    <row r="106" spans="1:22" ht="21.9" customHeight="1">
      <c r="A106" s="37" t="s">
        <v>1362</v>
      </c>
      <c r="B106" s="22" t="s">
        <v>244</v>
      </c>
      <c r="C106" s="2">
        <f t="shared" si="34"/>
        <v>8428223.7300000004</v>
      </c>
      <c r="D106" s="3">
        <f t="shared" si="61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62"/>
        <v>4750.6406459948321</v>
      </c>
    </row>
    <row r="107" spans="1:22" ht="21.9" customHeight="1">
      <c r="A107" s="37" t="s">
        <v>1363</v>
      </c>
      <c r="B107" s="22" t="s">
        <v>245</v>
      </c>
      <c r="C107" s="2">
        <f t="shared" si="34"/>
        <v>199000</v>
      </c>
      <c r="D107" s="3">
        <f t="shared" si="61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62"/>
        <v>#DIV/0!</v>
      </c>
    </row>
    <row r="108" spans="1:22" ht="21.9" customHeight="1">
      <c r="A108" s="37" t="s">
        <v>1266</v>
      </c>
      <c r="B108" s="8" t="s">
        <v>247</v>
      </c>
      <c r="C108" s="2">
        <f t="shared" si="34"/>
        <v>317122.92</v>
      </c>
      <c r="D108" s="3">
        <f t="shared" si="61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62"/>
        <v>#DIV/0!</v>
      </c>
    </row>
    <row r="109" spans="1:22" ht="21.9" customHeight="1">
      <c r="A109" s="37" t="s">
        <v>1364</v>
      </c>
      <c r="B109" s="22" t="s">
        <v>246</v>
      </c>
      <c r="C109" s="2">
        <f t="shared" si="34"/>
        <v>62427.49</v>
      </c>
      <c r="D109" s="3">
        <f t="shared" si="61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62"/>
        <v>#DIV/0!</v>
      </c>
    </row>
    <row r="110" spans="1:22" ht="21.9" customHeight="1">
      <c r="A110" s="37" t="s">
        <v>1365</v>
      </c>
      <c r="B110" s="22" t="s">
        <v>248</v>
      </c>
      <c r="C110" s="2">
        <f t="shared" si="34"/>
        <v>76336.39</v>
      </c>
      <c r="D110" s="3">
        <f t="shared" si="61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62"/>
        <v>#DIV/0!</v>
      </c>
    </row>
    <row r="111" spans="1:22" ht="21.9" customHeight="1">
      <c r="A111" s="37" t="s">
        <v>1366</v>
      </c>
      <c r="B111" s="22" t="s">
        <v>249</v>
      </c>
      <c r="C111" s="2">
        <f t="shared" si="34"/>
        <v>199000</v>
      </c>
      <c r="D111" s="3">
        <f t="shared" si="61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62"/>
        <v>#DIV/0!</v>
      </c>
    </row>
    <row r="112" spans="1:22" ht="21.9" customHeight="1">
      <c r="A112" s="37" t="s">
        <v>1267</v>
      </c>
      <c r="B112" s="22" t="s">
        <v>258</v>
      </c>
      <c r="C112" s="2">
        <f t="shared" si="34"/>
        <v>81875.320000000007</v>
      </c>
      <c r="D112" s="3">
        <f t="shared" si="61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62"/>
        <v>#DIV/0!</v>
      </c>
    </row>
    <row r="113" spans="1:22" ht="21.9" customHeight="1">
      <c r="A113" s="37" t="s">
        <v>1367</v>
      </c>
      <c r="B113" s="22" t="s">
        <v>261</v>
      </c>
      <c r="C113" s="2">
        <f t="shared" si="34"/>
        <v>118620.48</v>
      </c>
      <c r="D113" s="3">
        <f t="shared" si="61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62"/>
        <v>#DIV/0!</v>
      </c>
    </row>
    <row r="114" spans="1:22" ht="45" customHeight="1">
      <c r="A114" s="53" t="s">
        <v>990</v>
      </c>
      <c r="B114" s="53"/>
      <c r="C114" s="2">
        <f>SUM(C115)</f>
        <v>1686325.08</v>
      </c>
      <c r="D114" s="2">
        <f t="shared" ref="D114:U114" si="63">SUM(D115)</f>
        <v>0</v>
      </c>
      <c r="E114" s="2">
        <f t="shared" si="63"/>
        <v>0</v>
      </c>
      <c r="F114" s="2">
        <f t="shared" si="63"/>
        <v>0</v>
      </c>
      <c r="G114" s="2">
        <f t="shared" si="63"/>
        <v>0</v>
      </c>
      <c r="H114" s="2">
        <f t="shared" si="63"/>
        <v>0</v>
      </c>
      <c r="I114" s="2">
        <f t="shared" si="63"/>
        <v>0</v>
      </c>
      <c r="J114" s="2">
        <f t="shared" si="63"/>
        <v>0</v>
      </c>
      <c r="K114" s="14">
        <f t="shared" si="63"/>
        <v>0</v>
      </c>
      <c r="L114" s="2">
        <f t="shared" si="63"/>
        <v>0</v>
      </c>
      <c r="M114" s="2">
        <f t="shared" si="63"/>
        <v>536.4</v>
      </c>
      <c r="N114" s="2">
        <f t="shared" si="63"/>
        <v>1654017.3</v>
      </c>
      <c r="O114" s="2">
        <f t="shared" si="63"/>
        <v>0</v>
      </c>
      <c r="P114" s="2">
        <f t="shared" si="63"/>
        <v>0</v>
      </c>
      <c r="Q114" s="2">
        <f t="shared" si="63"/>
        <v>0</v>
      </c>
      <c r="R114" s="2">
        <f t="shared" si="63"/>
        <v>0</v>
      </c>
      <c r="S114" s="2">
        <f t="shared" si="63"/>
        <v>0</v>
      </c>
      <c r="T114" s="2">
        <f t="shared" si="63"/>
        <v>0</v>
      </c>
      <c r="U114" s="2">
        <f t="shared" si="63"/>
        <v>32307.78</v>
      </c>
      <c r="V114" s="18">
        <f>C114+C446</f>
        <v>3666325.08</v>
      </c>
    </row>
    <row r="115" spans="1:22" ht="21.9" customHeight="1">
      <c r="A115" s="37" t="s">
        <v>1368</v>
      </c>
      <c r="B115" s="22" t="s">
        <v>991</v>
      </c>
      <c r="C115" s="2">
        <f t="shared" si="34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>
      <c r="A116" s="53" t="s">
        <v>268</v>
      </c>
      <c r="B116" s="53"/>
      <c r="C116" s="2">
        <f>SUM(C117)</f>
        <v>166377.20000000001</v>
      </c>
      <c r="D116" s="2">
        <f t="shared" ref="D116:U116" si="64">SUM(D117)</f>
        <v>0</v>
      </c>
      <c r="E116" s="2">
        <f t="shared" si="64"/>
        <v>0</v>
      </c>
      <c r="F116" s="2">
        <f t="shared" si="64"/>
        <v>0</v>
      </c>
      <c r="G116" s="2">
        <f t="shared" si="64"/>
        <v>0</v>
      </c>
      <c r="H116" s="2">
        <f t="shared" si="64"/>
        <v>0</v>
      </c>
      <c r="I116" s="2">
        <f t="shared" si="64"/>
        <v>0</v>
      </c>
      <c r="J116" s="2">
        <f t="shared" si="64"/>
        <v>0</v>
      </c>
      <c r="K116" s="14">
        <f t="shared" si="64"/>
        <v>0</v>
      </c>
      <c r="L116" s="2">
        <f t="shared" si="64"/>
        <v>0</v>
      </c>
      <c r="M116" s="2">
        <f t="shared" si="64"/>
        <v>0</v>
      </c>
      <c r="N116" s="2">
        <f t="shared" si="64"/>
        <v>0</v>
      </c>
      <c r="O116" s="2">
        <f t="shared" si="64"/>
        <v>0</v>
      </c>
      <c r="P116" s="2">
        <f t="shared" si="64"/>
        <v>0</v>
      </c>
      <c r="Q116" s="2">
        <f t="shared" si="64"/>
        <v>0</v>
      </c>
      <c r="R116" s="2">
        <f t="shared" si="64"/>
        <v>0</v>
      </c>
      <c r="S116" s="2">
        <f t="shared" si="64"/>
        <v>0</v>
      </c>
      <c r="T116" s="2">
        <f t="shared" si="64"/>
        <v>0</v>
      </c>
      <c r="U116" s="2">
        <f t="shared" si="64"/>
        <v>166377.20000000001</v>
      </c>
      <c r="V116" s="18">
        <f>C116</f>
        <v>166377.20000000001</v>
      </c>
    </row>
    <row r="117" spans="1:22" ht="21.9" customHeight="1">
      <c r="A117" s="37" t="s">
        <v>1369</v>
      </c>
      <c r="B117" s="22" t="s">
        <v>269</v>
      </c>
      <c r="C117" s="2">
        <f t="shared" si="34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>
      <c r="A118" s="53" t="s">
        <v>1062</v>
      </c>
      <c r="B118" s="53"/>
      <c r="C118" s="2">
        <f>SUM(C119)</f>
        <v>2170164.9699999997</v>
      </c>
      <c r="D118" s="2">
        <f t="shared" ref="D118:U118" si="65">SUM(D119)</f>
        <v>280113.19</v>
      </c>
      <c r="E118" s="2">
        <f t="shared" si="65"/>
        <v>198739.27</v>
      </c>
      <c r="F118" s="2">
        <f t="shared" si="65"/>
        <v>0</v>
      </c>
      <c r="G118" s="2">
        <f t="shared" si="65"/>
        <v>0</v>
      </c>
      <c r="H118" s="2">
        <f t="shared" si="65"/>
        <v>0</v>
      </c>
      <c r="I118" s="2">
        <f t="shared" si="65"/>
        <v>81373.919999999998</v>
      </c>
      <c r="J118" s="2">
        <f t="shared" si="65"/>
        <v>0</v>
      </c>
      <c r="K118" s="14">
        <f t="shared" si="65"/>
        <v>0</v>
      </c>
      <c r="L118" s="2">
        <f t="shared" si="65"/>
        <v>0</v>
      </c>
      <c r="M118" s="2">
        <f t="shared" si="65"/>
        <v>0</v>
      </c>
      <c r="N118" s="2">
        <f t="shared" si="65"/>
        <v>0</v>
      </c>
      <c r="O118" s="2">
        <f t="shared" si="65"/>
        <v>0</v>
      </c>
      <c r="P118" s="2">
        <f t="shared" si="65"/>
        <v>0</v>
      </c>
      <c r="Q118" s="2">
        <f t="shared" si="65"/>
        <v>710</v>
      </c>
      <c r="R118" s="2">
        <f t="shared" si="65"/>
        <v>1743230.17</v>
      </c>
      <c r="S118" s="2">
        <f t="shared" si="65"/>
        <v>0</v>
      </c>
      <c r="T118" s="2">
        <f t="shared" si="65"/>
        <v>0</v>
      </c>
      <c r="U118" s="2">
        <f t="shared" si="65"/>
        <v>146821.60999999999</v>
      </c>
      <c r="V118" s="18">
        <f>C118</f>
        <v>2170164.9699999997</v>
      </c>
    </row>
    <row r="119" spans="1:22" ht="21.9" customHeight="1">
      <c r="A119" s="37" t="s">
        <v>1268</v>
      </c>
      <c r="B119" s="22" t="s">
        <v>1063</v>
      </c>
      <c r="C119" s="2">
        <f t="shared" si="34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>
      <c r="A120" s="53" t="s">
        <v>378</v>
      </c>
      <c r="B120" s="53"/>
      <c r="C120" s="2">
        <f>SUM(C121:C236)</f>
        <v>305918620.67000008</v>
      </c>
      <c r="D120" s="2">
        <f t="shared" ref="D120:U120" si="66">SUM(D121:D236)</f>
        <v>113103388.14000002</v>
      </c>
      <c r="E120" s="2">
        <f t="shared" si="66"/>
        <v>17706561.520000003</v>
      </c>
      <c r="F120" s="2">
        <f t="shared" si="66"/>
        <v>69731826.920000002</v>
      </c>
      <c r="G120" s="2">
        <f t="shared" si="66"/>
        <v>8199732.6899999995</v>
      </c>
      <c r="H120" s="2">
        <f t="shared" si="66"/>
        <v>10460029.600000001</v>
      </c>
      <c r="I120" s="2">
        <f t="shared" si="66"/>
        <v>7005237.4100000001</v>
      </c>
      <c r="J120" s="2">
        <f t="shared" si="66"/>
        <v>0</v>
      </c>
      <c r="K120" s="14">
        <f t="shared" si="66"/>
        <v>2</v>
      </c>
      <c r="L120" s="2">
        <f t="shared" si="66"/>
        <v>3467713.03</v>
      </c>
      <c r="M120" s="2">
        <f t="shared" si="66"/>
        <v>25419.300000000007</v>
      </c>
      <c r="N120" s="2">
        <f t="shared" si="66"/>
        <v>116337857.07000002</v>
      </c>
      <c r="O120" s="2">
        <f t="shared" si="66"/>
        <v>1032</v>
      </c>
      <c r="P120" s="2">
        <f t="shared" si="66"/>
        <v>1229693.94</v>
      </c>
      <c r="Q120" s="2">
        <f t="shared" si="66"/>
        <v>25327.71</v>
      </c>
      <c r="R120" s="2">
        <f t="shared" si="66"/>
        <v>57600037.990000002</v>
      </c>
      <c r="S120" s="2">
        <f t="shared" si="66"/>
        <v>60982.93</v>
      </c>
      <c r="T120" s="2">
        <f t="shared" si="66"/>
        <v>678303.6</v>
      </c>
      <c r="U120" s="2">
        <f t="shared" si="66"/>
        <v>13440643.969999997</v>
      </c>
      <c r="V120" s="18">
        <f>C120+C457+C902</f>
        <v>1971754338.3199999</v>
      </c>
    </row>
    <row r="121" spans="1:22" ht="21.9" customHeight="1">
      <c r="A121" s="37" t="s">
        <v>1370</v>
      </c>
      <c r="B121" s="8" t="s">
        <v>471</v>
      </c>
      <c r="C121" s="2">
        <f t="shared" si="34"/>
        <v>3323627.13</v>
      </c>
      <c r="D121" s="3">
        <f t="shared" ref="D121:D174" si="67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68">N121/M121</f>
        <v>4865.2083055975791</v>
      </c>
    </row>
    <row r="122" spans="1:22" ht="21.9" customHeight="1">
      <c r="A122" s="37" t="s">
        <v>1371</v>
      </c>
      <c r="B122" s="8" t="s">
        <v>472</v>
      </c>
      <c r="C122" s="2">
        <f t="shared" ref="C122:C174" si="69">D122+L122+N122+P122+R122+S122+T122+U122</f>
        <v>3234332.3800000004</v>
      </c>
      <c r="D122" s="3">
        <f t="shared" si="67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68"/>
        <v>4998.4420095693786</v>
      </c>
    </row>
    <row r="123" spans="1:22" ht="21.9" customHeight="1">
      <c r="A123" s="37" t="s">
        <v>1372</v>
      </c>
      <c r="B123" s="8" t="s">
        <v>487</v>
      </c>
      <c r="C123" s="2">
        <f t="shared" si="69"/>
        <v>4313501.8099999996</v>
      </c>
      <c r="D123" s="3">
        <f t="shared" si="67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68"/>
        <v>5196.6750368912926</v>
      </c>
    </row>
    <row r="124" spans="1:22" ht="21.9" customHeight="1">
      <c r="A124" s="37" t="s">
        <v>1373</v>
      </c>
      <c r="B124" s="8" t="s">
        <v>429</v>
      </c>
      <c r="C124" s="2">
        <f t="shared" si="69"/>
        <v>163490.91</v>
      </c>
      <c r="D124" s="3">
        <f t="shared" si="67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68"/>
        <v>#DIV/0!</v>
      </c>
    </row>
    <row r="125" spans="1:22" ht="21.9" customHeight="1">
      <c r="A125" s="37" t="s">
        <v>1374</v>
      </c>
      <c r="B125" s="8" t="s">
        <v>488</v>
      </c>
      <c r="C125" s="2">
        <f t="shared" si="69"/>
        <v>5015105.75</v>
      </c>
      <c r="D125" s="3">
        <f t="shared" si="67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68"/>
        <v>5299.9992508710802</v>
      </c>
    </row>
    <row r="126" spans="1:22" ht="21.9" customHeight="1">
      <c r="A126" s="37" t="s">
        <v>1375</v>
      </c>
      <c r="B126" s="8" t="s">
        <v>422</v>
      </c>
      <c r="C126" s="2">
        <f t="shared" si="69"/>
        <v>173076.4</v>
      </c>
      <c r="D126" s="3">
        <f t="shared" si="67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68"/>
        <v>#DIV/0!</v>
      </c>
    </row>
    <row r="127" spans="1:22" ht="21.9" customHeight="1">
      <c r="A127" s="37" t="s">
        <v>1376</v>
      </c>
      <c r="B127" s="23" t="s">
        <v>379</v>
      </c>
      <c r="C127" s="2">
        <f t="shared" si="69"/>
        <v>1822584.59</v>
      </c>
      <c r="D127" s="3">
        <f t="shared" si="67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68"/>
        <v>3913.8824922532094</v>
      </c>
    </row>
    <row r="128" spans="1:22" ht="21.9" customHeight="1">
      <c r="A128" s="37" t="s">
        <v>1377</v>
      </c>
      <c r="B128" s="24" t="s">
        <v>1041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1.9" customHeight="1">
      <c r="A129" s="37" t="s">
        <v>1378</v>
      </c>
      <c r="B129" s="24" t="s">
        <v>1042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1.9" customHeight="1">
      <c r="A130" s="37" t="s">
        <v>1379</v>
      </c>
      <c r="B130" s="24" t="s">
        <v>1043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1.9" customHeight="1">
      <c r="A131" s="37" t="s">
        <v>1380</v>
      </c>
      <c r="B131" s="8" t="s">
        <v>423</v>
      </c>
      <c r="C131" s="2">
        <f t="shared" si="69"/>
        <v>39639.949999999997</v>
      </c>
      <c r="D131" s="3">
        <f t="shared" si="67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68"/>
        <v>#DIV/0!</v>
      </c>
    </row>
    <row r="132" spans="1:22" ht="21.9" customHeight="1">
      <c r="A132" s="37" t="s">
        <v>1381</v>
      </c>
      <c r="B132" s="23" t="s">
        <v>424</v>
      </c>
      <c r="C132" s="2">
        <f t="shared" si="69"/>
        <v>55918.46</v>
      </c>
      <c r="D132" s="3">
        <f t="shared" si="67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68"/>
        <v>#DIV/0!</v>
      </c>
    </row>
    <row r="133" spans="1:22" ht="21.9" customHeight="1">
      <c r="A133" s="37" t="s">
        <v>1382</v>
      </c>
      <c r="B133" s="23" t="s">
        <v>444</v>
      </c>
      <c r="C133" s="2">
        <f t="shared" si="69"/>
        <v>64358.54</v>
      </c>
      <c r="D133" s="3">
        <f t="shared" si="67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68"/>
        <v>#DIV/0!</v>
      </c>
    </row>
    <row r="134" spans="1:22" ht="21.9" customHeight="1">
      <c r="A134" s="37" t="s">
        <v>1383</v>
      </c>
      <c r="B134" s="8" t="s">
        <v>489</v>
      </c>
      <c r="C134" s="2">
        <f t="shared" si="69"/>
        <v>2558331.8400000003</v>
      </c>
      <c r="D134" s="3">
        <f t="shared" si="67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68"/>
        <v>3539.6632843414359</v>
      </c>
    </row>
    <row r="135" spans="1:22" ht="21.9" customHeight="1">
      <c r="A135" s="37" t="s">
        <v>1384</v>
      </c>
      <c r="B135" s="8" t="s">
        <v>490</v>
      </c>
      <c r="C135" s="2">
        <f t="shared" si="69"/>
        <v>53597.85</v>
      </c>
      <c r="D135" s="3">
        <f t="shared" si="67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68"/>
        <v>#DIV/0!</v>
      </c>
    </row>
    <row r="136" spans="1:22" ht="21.9" customHeight="1">
      <c r="A136" s="37" t="s">
        <v>1385</v>
      </c>
      <c r="B136" s="8" t="s">
        <v>491</v>
      </c>
      <c r="C136" s="2">
        <f t="shared" si="69"/>
        <v>68863.03</v>
      </c>
      <c r="D136" s="3">
        <f t="shared" si="67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68"/>
        <v>#DIV/0!</v>
      </c>
    </row>
    <row r="137" spans="1:22" ht="21.9" customHeight="1">
      <c r="A137" s="37" t="s">
        <v>1386</v>
      </c>
      <c r="B137" s="8" t="s">
        <v>473</v>
      </c>
      <c r="C137" s="2">
        <f t="shared" si="69"/>
        <v>84581.04</v>
      </c>
      <c r="D137" s="3">
        <f t="shared" si="67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68"/>
        <v>#DIV/0!</v>
      </c>
    </row>
    <row r="138" spans="1:22" ht="21.9" customHeight="1">
      <c r="A138" s="37" t="s">
        <v>1387</v>
      </c>
      <c r="B138" s="8" t="s">
        <v>492</v>
      </c>
      <c r="C138" s="2">
        <f t="shared" si="69"/>
        <v>41774.69</v>
      </c>
      <c r="D138" s="3">
        <f t="shared" si="67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68"/>
        <v>#DIV/0!</v>
      </c>
    </row>
    <row r="139" spans="1:22" ht="21.9" customHeight="1">
      <c r="A139" s="37" t="s">
        <v>1388</v>
      </c>
      <c r="B139" s="8" t="s">
        <v>416</v>
      </c>
      <c r="C139" s="2">
        <f t="shared" si="69"/>
        <v>95551.6</v>
      </c>
      <c r="D139" s="3">
        <f t="shared" si="67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68"/>
        <v>#DIV/0!</v>
      </c>
    </row>
    <row r="140" spans="1:22" ht="21.9" customHeight="1">
      <c r="A140" s="37" t="s">
        <v>1389</v>
      </c>
      <c r="B140" s="23" t="s">
        <v>474</v>
      </c>
      <c r="C140" s="2">
        <f t="shared" si="69"/>
        <v>108492.72</v>
      </c>
      <c r="D140" s="3">
        <f t="shared" si="67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68"/>
        <v>#DIV/0!</v>
      </c>
    </row>
    <row r="141" spans="1:22" ht="21.9" customHeight="1">
      <c r="A141" s="37" t="s">
        <v>1390</v>
      </c>
      <c r="B141" s="8" t="s">
        <v>388</v>
      </c>
      <c r="C141" s="2">
        <f t="shared" si="69"/>
        <v>3164401.52</v>
      </c>
      <c r="D141" s="3">
        <f t="shared" si="67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68"/>
        <v>5646.1239223134653</v>
      </c>
    </row>
    <row r="142" spans="1:22" ht="21.9" customHeight="1">
      <c r="A142" s="37" t="s">
        <v>1391</v>
      </c>
      <c r="B142" s="8" t="s">
        <v>493</v>
      </c>
      <c r="C142" s="2">
        <f t="shared" si="69"/>
        <v>2763011.6300000004</v>
      </c>
      <c r="D142" s="3">
        <f t="shared" si="67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68"/>
        <v>5299.9767752583803</v>
      </c>
    </row>
    <row r="143" spans="1:22" ht="21.9" customHeight="1">
      <c r="A143" s="37" t="s">
        <v>1392</v>
      </c>
      <c r="B143" s="8" t="s">
        <v>494</v>
      </c>
      <c r="C143" s="2">
        <f t="shared" si="69"/>
        <v>1935029.82</v>
      </c>
      <c r="D143" s="3">
        <f t="shared" si="67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68"/>
        <v>4350.7331244196839</v>
      </c>
    </row>
    <row r="144" spans="1:22" ht="21.9" customHeight="1">
      <c r="A144" s="37" t="s">
        <v>1393</v>
      </c>
      <c r="B144" s="8" t="s">
        <v>458</v>
      </c>
      <c r="C144" s="2">
        <f t="shared" si="69"/>
        <v>1988523.26</v>
      </c>
      <c r="D144" s="3">
        <f t="shared" si="67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68"/>
        <v>5049.2714566156255</v>
      </c>
    </row>
    <row r="145" spans="1:22" ht="21.9" customHeight="1">
      <c r="A145" s="37" t="s">
        <v>1394</v>
      </c>
      <c r="B145" s="8" t="s">
        <v>495</v>
      </c>
      <c r="C145" s="2">
        <f t="shared" si="69"/>
        <v>1313592.3500000001</v>
      </c>
      <c r="D145" s="3">
        <f t="shared" si="67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68"/>
        <v>4497.1620751341679</v>
      </c>
    </row>
    <row r="146" spans="1:22" ht="21.9" customHeight="1">
      <c r="A146" s="37" t="s">
        <v>1395</v>
      </c>
      <c r="B146" s="8" t="s">
        <v>496</v>
      </c>
      <c r="C146" s="2">
        <f t="shared" si="69"/>
        <v>1315989.95</v>
      </c>
      <c r="D146" s="3">
        <f t="shared" si="67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68"/>
        <v>4513.8150537634401</v>
      </c>
    </row>
    <row r="147" spans="1:22" ht="21.9" customHeight="1">
      <c r="A147" s="37" t="s">
        <v>1396</v>
      </c>
      <c r="B147" s="8" t="s">
        <v>436</v>
      </c>
      <c r="C147" s="2">
        <f t="shared" si="69"/>
        <v>58699.22</v>
      </c>
      <c r="D147" s="3">
        <f t="shared" si="67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68"/>
        <v>#DIV/0!</v>
      </c>
    </row>
    <row r="148" spans="1:22" ht="21.9" customHeight="1">
      <c r="A148" s="37" t="s">
        <v>1397</v>
      </c>
      <c r="B148" s="8" t="s">
        <v>437</v>
      </c>
      <c r="C148" s="2">
        <f t="shared" si="69"/>
        <v>44647.56</v>
      </c>
      <c r="D148" s="3">
        <f t="shared" si="67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68"/>
        <v>#DIV/0!</v>
      </c>
    </row>
    <row r="149" spans="1:22" ht="21.9" customHeight="1">
      <c r="A149" s="37" t="s">
        <v>1398</v>
      </c>
      <c r="B149" s="8" t="s">
        <v>393</v>
      </c>
      <c r="C149" s="2">
        <f t="shared" si="69"/>
        <v>47629.84</v>
      </c>
      <c r="D149" s="3">
        <f t="shared" si="67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68"/>
        <v>#DIV/0!</v>
      </c>
    </row>
    <row r="150" spans="1:22" ht="21.9" customHeight="1">
      <c r="A150" s="37" t="s">
        <v>1399</v>
      </c>
      <c r="B150" s="8" t="s">
        <v>675</v>
      </c>
      <c r="C150" s="2">
        <f t="shared" si="69"/>
        <v>46183.66</v>
      </c>
      <c r="D150" s="3">
        <f t="shared" si="67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68"/>
        <v>#DIV/0!</v>
      </c>
    </row>
    <row r="151" spans="1:22" ht="21.9" customHeight="1">
      <c r="A151" s="37" t="s">
        <v>1400</v>
      </c>
      <c r="B151" s="8" t="s">
        <v>445</v>
      </c>
      <c r="C151" s="2">
        <f t="shared" si="69"/>
        <v>2465982.14</v>
      </c>
      <c r="D151" s="3">
        <f t="shared" si="67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68"/>
        <v>#DIV/0!</v>
      </c>
    </row>
    <row r="152" spans="1:22" ht="21.9" customHeight="1">
      <c r="A152" s="37" t="s">
        <v>1401</v>
      </c>
      <c r="B152" s="8" t="s">
        <v>459</v>
      </c>
      <c r="C152" s="2">
        <f t="shared" si="69"/>
        <v>2191313.1800000002</v>
      </c>
      <c r="D152" s="3">
        <f t="shared" si="67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68"/>
        <v>#DIV/0!</v>
      </c>
    </row>
    <row r="153" spans="1:22" ht="21.9" customHeight="1">
      <c r="A153" s="37" t="s">
        <v>1402</v>
      </c>
      <c r="B153" s="23" t="s">
        <v>385</v>
      </c>
      <c r="C153" s="2">
        <f t="shared" si="69"/>
        <v>18021469.080000002</v>
      </c>
      <c r="D153" s="3">
        <f t="shared" si="67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68"/>
        <v>#DIV/0!</v>
      </c>
    </row>
    <row r="154" spans="1:22" ht="21.9" customHeight="1">
      <c r="A154" s="37" t="s">
        <v>1403</v>
      </c>
      <c r="B154" s="24" t="s">
        <v>1050</v>
      </c>
      <c r="C154" s="2">
        <f t="shared" si="69"/>
        <v>11052597.710000001</v>
      </c>
      <c r="D154" s="3">
        <f t="shared" si="67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68"/>
        <v>5271.9676259890675</v>
      </c>
    </row>
    <row r="155" spans="1:22" ht="21.9" customHeight="1">
      <c r="A155" s="37" t="s">
        <v>1404</v>
      </c>
      <c r="B155" s="24" t="s">
        <v>1052</v>
      </c>
      <c r="C155" s="2">
        <f t="shared" si="69"/>
        <v>4233066</v>
      </c>
      <c r="D155" s="3">
        <f t="shared" si="67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68"/>
        <v>5298.8277008310251</v>
      </c>
    </row>
    <row r="156" spans="1:22" ht="21.9" customHeight="1">
      <c r="A156" s="37" t="s">
        <v>1405</v>
      </c>
      <c r="B156" s="23" t="s">
        <v>449</v>
      </c>
      <c r="C156" s="2">
        <f t="shared" si="69"/>
        <v>5449604.25</v>
      </c>
      <c r="D156" s="3">
        <f t="shared" si="67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68"/>
        <v>4592.1469103190002</v>
      </c>
    </row>
    <row r="157" spans="1:22" ht="21.9" customHeight="1">
      <c r="A157" s="37" t="s">
        <v>1406</v>
      </c>
      <c r="B157" s="23" t="s">
        <v>425</v>
      </c>
      <c r="C157" s="2">
        <f t="shared" si="69"/>
        <v>57604.23</v>
      </c>
      <c r="D157" s="3">
        <f t="shared" si="67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68"/>
        <v>#DIV/0!</v>
      </c>
    </row>
    <row r="158" spans="1:22" ht="21.9" customHeight="1">
      <c r="A158" s="37" t="s">
        <v>1407</v>
      </c>
      <c r="B158" s="23" t="s">
        <v>430</v>
      </c>
      <c r="C158" s="2">
        <f t="shared" si="69"/>
        <v>57288.18</v>
      </c>
      <c r="D158" s="3">
        <f t="shared" si="67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68"/>
        <v>#DIV/0!</v>
      </c>
    </row>
    <row r="159" spans="1:22" ht="21.9" customHeight="1">
      <c r="A159" s="37" t="s">
        <v>1408</v>
      </c>
      <c r="B159" s="23" t="s">
        <v>460</v>
      </c>
      <c r="C159" s="2">
        <f t="shared" si="69"/>
        <v>47015.32</v>
      </c>
      <c r="D159" s="3">
        <f t="shared" si="67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68"/>
        <v>#DIV/0!</v>
      </c>
    </row>
    <row r="160" spans="1:22" ht="21.9" customHeight="1">
      <c r="A160" s="37" t="s">
        <v>1409</v>
      </c>
      <c r="B160" s="8" t="s">
        <v>409</v>
      </c>
      <c r="C160" s="2">
        <f t="shared" si="69"/>
        <v>43169.63</v>
      </c>
      <c r="D160" s="3">
        <f t="shared" si="67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68"/>
        <v>#DIV/0!</v>
      </c>
    </row>
    <row r="161" spans="1:22" ht="21.9" customHeight="1">
      <c r="A161" s="37" t="s">
        <v>1410</v>
      </c>
      <c r="B161" s="8" t="s">
        <v>410</v>
      </c>
      <c r="C161" s="2">
        <f t="shared" si="69"/>
        <v>44381.3</v>
      </c>
      <c r="D161" s="3">
        <f t="shared" si="67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68"/>
        <v>#DIV/0!</v>
      </c>
    </row>
    <row r="162" spans="1:22" ht="21.9" customHeight="1">
      <c r="A162" s="37" t="s">
        <v>1411</v>
      </c>
      <c r="B162" s="8" t="s">
        <v>411</v>
      </c>
      <c r="C162" s="2">
        <f t="shared" si="69"/>
        <v>42168.68</v>
      </c>
      <c r="D162" s="3">
        <f t="shared" si="67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68"/>
        <v>#DIV/0!</v>
      </c>
    </row>
    <row r="163" spans="1:22" ht="21.9" customHeight="1">
      <c r="A163" s="37" t="s">
        <v>1412</v>
      </c>
      <c r="B163" s="8" t="s">
        <v>408</v>
      </c>
      <c r="C163" s="2">
        <f t="shared" si="69"/>
        <v>44381.3</v>
      </c>
      <c r="D163" s="3">
        <f t="shared" si="67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68"/>
        <v>#DIV/0!</v>
      </c>
    </row>
    <row r="164" spans="1:22" ht="21.9" customHeight="1">
      <c r="A164" s="37" t="s">
        <v>1413</v>
      </c>
      <c r="B164" s="8" t="s">
        <v>500</v>
      </c>
      <c r="C164" s="2">
        <f t="shared" si="69"/>
        <v>24442991.599999998</v>
      </c>
      <c r="D164" s="3">
        <f t="shared" si="67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68"/>
        <v>2949.1103359971739</v>
      </c>
    </row>
    <row r="165" spans="1:22" ht="21.9" customHeight="1">
      <c r="A165" s="37" t="s">
        <v>1414</v>
      </c>
      <c r="B165" s="24" t="s">
        <v>1068</v>
      </c>
      <c r="C165" s="2">
        <f t="shared" si="69"/>
        <v>1845974.65</v>
      </c>
      <c r="D165" s="3">
        <f t="shared" si="67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68"/>
        <v>4651.1755102040815</v>
      </c>
    </row>
    <row r="166" spans="1:22" ht="21.9" customHeight="1">
      <c r="A166" s="37" t="s">
        <v>1415</v>
      </c>
      <c r="B166" s="8" t="s">
        <v>461</v>
      </c>
      <c r="C166" s="2">
        <f t="shared" si="69"/>
        <v>60640.68</v>
      </c>
      <c r="D166" s="3">
        <f t="shared" si="67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68"/>
        <v>#DIV/0!</v>
      </c>
    </row>
    <row r="167" spans="1:22" ht="21.9" customHeight="1">
      <c r="A167" s="37" t="s">
        <v>1416</v>
      </c>
      <c r="B167" s="8" t="s">
        <v>450</v>
      </c>
      <c r="C167" s="2">
        <f t="shared" si="69"/>
        <v>21399145.73</v>
      </c>
      <c r="D167" s="3">
        <f t="shared" si="67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7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68"/>
        <v>#DIV/0!</v>
      </c>
    </row>
    <row r="168" spans="1:22" ht="21.9" customHeight="1">
      <c r="A168" s="37" t="s">
        <v>1417</v>
      </c>
      <c r="B168" s="8" t="s">
        <v>439</v>
      </c>
      <c r="C168" s="2">
        <f t="shared" si="69"/>
        <v>128639.99</v>
      </c>
      <c r="D168" s="3">
        <f t="shared" si="67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7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68"/>
        <v>#DIV/0!</v>
      </c>
    </row>
    <row r="169" spans="1:22" ht="21.9" customHeight="1">
      <c r="A169" s="37" t="s">
        <v>1269</v>
      </c>
      <c r="B169" s="8" t="s">
        <v>431</v>
      </c>
      <c r="C169" s="2">
        <f t="shared" si="69"/>
        <v>200000</v>
      </c>
      <c r="D169" s="3">
        <f t="shared" si="67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7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68"/>
        <v>#DIV/0!</v>
      </c>
    </row>
    <row r="170" spans="1:22" ht="21.9" customHeight="1">
      <c r="A170" s="37" t="s">
        <v>1270</v>
      </c>
      <c r="B170" s="8" t="s">
        <v>417</v>
      </c>
      <c r="C170" s="2">
        <f t="shared" si="69"/>
        <v>2315708.7499999995</v>
      </c>
      <c r="D170" s="3">
        <f t="shared" si="67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7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68"/>
        <v>#DIV/0!</v>
      </c>
    </row>
    <row r="171" spans="1:22" ht="21.9" customHeight="1">
      <c r="A171" s="37" t="s">
        <v>1418</v>
      </c>
      <c r="B171" s="8" t="s">
        <v>432</v>
      </c>
      <c r="C171" s="2">
        <f t="shared" si="69"/>
        <v>200000</v>
      </c>
      <c r="D171" s="3">
        <f t="shared" si="67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7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68"/>
        <v>#DIV/0!</v>
      </c>
    </row>
    <row r="172" spans="1:22" ht="21.9" customHeight="1">
      <c r="A172" s="37" t="s">
        <v>1271</v>
      </c>
      <c r="B172" s="8" t="s">
        <v>438</v>
      </c>
      <c r="C172" s="2">
        <f t="shared" si="69"/>
        <v>128923.69</v>
      </c>
      <c r="D172" s="3">
        <f t="shared" si="67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7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68"/>
        <v>#DIV/0!</v>
      </c>
    </row>
    <row r="173" spans="1:22" ht="21.9" customHeight="1">
      <c r="A173" s="37" t="s">
        <v>1272</v>
      </c>
      <c r="B173" s="8" t="s">
        <v>475</v>
      </c>
      <c r="C173" s="2">
        <f t="shared" si="69"/>
        <v>6825610.0200000005</v>
      </c>
      <c r="D173" s="3">
        <f t="shared" si="67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68"/>
        <v>#DIV/0!</v>
      </c>
    </row>
    <row r="174" spans="1:22" ht="21.9" customHeight="1">
      <c r="A174" s="37" t="s">
        <v>1419</v>
      </c>
      <c r="B174" s="8" t="s">
        <v>397</v>
      </c>
      <c r="C174" s="2">
        <f t="shared" si="69"/>
        <v>200000</v>
      </c>
      <c r="D174" s="3">
        <f t="shared" si="67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68"/>
        <v>#DIV/0!</v>
      </c>
    </row>
    <row r="175" spans="1:22" ht="21.9" customHeight="1">
      <c r="A175" s="37" t="s">
        <v>1420</v>
      </c>
      <c r="B175" s="23" t="s">
        <v>441</v>
      </c>
      <c r="C175" s="2">
        <f t="shared" ref="C175:C210" si="71">D175+L175+N175+P175+R175+S175+T175+U175</f>
        <v>200000</v>
      </c>
      <c r="D175" s="3">
        <f t="shared" ref="D175:D209" si="72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 t="shared" ref="J175:J515" si="73"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74">N175/M175</f>
        <v>#DIV/0!</v>
      </c>
    </row>
    <row r="176" spans="1:22" ht="21.9" customHeight="1">
      <c r="A176" s="37" t="s">
        <v>1421</v>
      </c>
      <c r="B176" s="8" t="s">
        <v>476</v>
      </c>
      <c r="C176" s="2">
        <f t="shared" si="71"/>
        <v>3724471.58</v>
      </c>
      <c r="D176" s="3">
        <f t="shared" si="72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74"/>
        <v>4537.3351607276354</v>
      </c>
    </row>
    <row r="177" spans="1:22" ht="21.9" customHeight="1">
      <c r="A177" s="37" t="s">
        <v>1422</v>
      </c>
      <c r="B177" s="8" t="s">
        <v>462</v>
      </c>
      <c r="C177" s="2">
        <f t="shared" si="71"/>
        <v>62674.98</v>
      </c>
      <c r="D177" s="3">
        <f t="shared" si="72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74"/>
        <v>#DIV/0!</v>
      </c>
    </row>
    <row r="178" spans="1:22" ht="21.9" customHeight="1">
      <c r="A178" s="37" t="s">
        <v>1423</v>
      </c>
      <c r="B178" s="8" t="s">
        <v>463</v>
      </c>
      <c r="C178" s="2">
        <f t="shared" si="71"/>
        <v>63754.32</v>
      </c>
      <c r="D178" s="3">
        <f t="shared" si="72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74"/>
        <v>#DIV/0!</v>
      </c>
    </row>
    <row r="179" spans="1:22" ht="21.9" customHeight="1">
      <c r="A179" s="37" t="s">
        <v>1424</v>
      </c>
      <c r="B179" s="23" t="s">
        <v>446</v>
      </c>
      <c r="C179" s="2">
        <f t="shared" si="71"/>
        <v>4392186.8099999996</v>
      </c>
      <c r="D179" s="3">
        <f t="shared" si="72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74"/>
        <v>4332.3694015748033</v>
      </c>
    </row>
    <row r="180" spans="1:22" ht="21.9" customHeight="1">
      <c r="A180" s="37" t="s">
        <v>1425</v>
      </c>
      <c r="B180" s="8" t="s">
        <v>418</v>
      </c>
      <c r="C180" s="2">
        <f t="shared" si="71"/>
        <v>42590.11</v>
      </c>
      <c r="D180" s="3">
        <f t="shared" si="72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74"/>
        <v>#DIV/0!</v>
      </c>
    </row>
    <row r="181" spans="1:22" ht="21.9" customHeight="1">
      <c r="A181" s="37" t="s">
        <v>1426</v>
      </c>
      <c r="B181" s="8" t="s">
        <v>477</v>
      </c>
      <c r="C181" s="2">
        <f t="shared" si="71"/>
        <v>200000</v>
      </c>
      <c r="D181" s="3">
        <f t="shared" si="72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74"/>
        <v>#DIV/0!</v>
      </c>
    </row>
    <row r="182" spans="1:22" ht="21.9" customHeight="1">
      <c r="A182" s="37" t="s">
        <v>1427</v>
      </c>
      <c r="B182" s="8" t="s">
        <v>447</v>
      </c>
      <c r="C182" s="2">
        <f t="shared" si="71"/>
        <v>4615765.99</v>
      </c>
      <c r="D182" s="3">
        <f t="shared" si="72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74"/>
        <v>#DIV/0!</v>
      </c>
    </row>
    <row r="183" spans="1:22" ht="21.9" customHeight="1">
      <c r="A183" s="37" t="s">
        <v>1273</v>
      </c>
      <c r="B183" s="23" t="s">
        <v>478</v>
      </c>
      <c r="C183" s="2">
        <f t="shared" si="71"/>
        <v>5786822.2199999997</v>
      </c>
      <c r="D183" s="3">
        <f t="shared" si="72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74"/>
        <v>5115.7037556942187</v>
      </c>
    </row>
    <row r="184" spans="1:22" ht="21.9" customHeight="1">
      <c r="A184" s="37" t="s">
        <v>1428</v>
      </c>
      <c r="B184" s="24" t="s">
        <v>1057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1.9" customHeight="1">
      <c r="A185" s="37" t="s">
        <v>1429</v>
      </c>
      <c r="B185" s="23" t="s">
        <v>391</v>
      </c>
      <c r="C185" s="2">
        <f t="shared" si="71"/>
        <v>78903.490000000005</v>
      </c>
      <c r="D185" s="3">
        <f t="shared" si="72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74"/>
        <v>#DIV/0!</v>
      </c>
    </row>
    <row r="186" spans="1:22" ht="21.9" customHeight="1">
      <c r="A186" s="37" t="s">
        <v>1430</v>
      </c>
      <c r="B186" s="8" t="s">
        <v>386</v>
      </c>
      <c r="C186" s="2">
        <f t="shared" si="71"/>
        <v>65980.28</v>
      </c>
      <c r="D186" s="3">
        <f t="shared" si="7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74"/>
        <v>#DIV/0!</v>
      </c>
    </row>
    <row r="187" spans="1:22" ht="21.9" customHeight="1">
      <c r="A187" s="37" t="s">
        <v>1431</v>
      </c>
      <c r="B187" s="8" t="s">
        <v>399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75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1.9" customHeight="1">
      <c r="A188" s="37" t="s">
        <v>1432</v>
      </c>
      <c r="B188" s="8" t="s">
        <v>499</v>
      </c>
      <c r="C188" s="2">
        <f t="shared" si="71"/>
        <v>11697685.68</v>
      </c>
      <c r="D188" s="3">
        <f t="shared" si="7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75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74"/>
        <v>4614.2002518597983</v>
      </c>
    </row>
    <row r="189" spans="1:22" ht="21.9" customHeight="1">
      <c r="A189" s="37" t="s">
        <v>1433</v>
      </c>
      <c r="B189" s="8" t="s">
        <v>1055</v>
      </c>
      <c r="C189" s="2">
        <f t="shared" si="71"/>
        <v>367317.96</v>
      </c>
      <c r="D189" s="3">
        <f t="shared" si="7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75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74"/>
        <v>#DIV/0!</v>
      </c>
    </row>
    <row r="190" spans="1:22" ht="21.9" customHeight="1">
      <c r="A190" s="37" t="s">
        <v>1434</v>
      </c>
      <c r="B190" s="8" t="s">
        <v>1076</v>
      </c>
      <c r="C190" s="2">
        <f t="shared" si="71"/>
        <v>13956660.52</v>
      </c>
      <c r="D190" s="3">
        <f t="shared" si="7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75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74"/>
        <v>#DIV/0!</v>
      </c>
    </row>
    <row r="191" spans="1:22" ht="21.9" customHeight="1">
      <c r="A191" s="37" t="s">
        <v>1435</v>
      </c>
      <c r="B191" s="8" t="s">
        <v>394</v>
      </c>
      <c r="C191" s="2">
        <f t="shared" si="71"/>
        <v>200000</v>
      </c>
      <c r="D191" s="3">
        <f t="shared" si="7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75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74"/>
        <v>#DIV/0!</v>
      </c>
    </row>
    <row r="192" spans="1:22" ht="21.9" customHeight="1">
      <c r="A192" s="37" t="s">
        <v>1436</v>
      </c>
      <c r="B192" s="8" t="s">
        <v>389</v>
      </c>
      <c r="C192" s="2">
        <f t="shared" si="71"/>
        <v>186810.04</v>
      </c>
      <c r="D192" s="3">
        <f t="shared" si="7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75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74"/>
        <v>#DIV/0!</v>
      </c>
    </row>
    <row r="193" spans="1:22" ht="21.9" customHeight="1">
      <c r="A193" s="37" t="s">
        <v>1437</v>
      </c>
      <c r="B193" s="24" t="s">
        <v>1051</v>
      </c>
      <c r="C193" s="2">
        <f t="shared" si="71"/>
        <v>4548983.59</v>
      </c>
      <c r="D193" s="3">
        <f t="shared" si="7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74"/>
        <v>3641.6797598870057</v>
      </c>
    </row>
    <row r="194" spans="1:22" ht="21.9" customHeight="1">
      <c r="A194" s="37" t="s">
        <v>1438</v>
      </c>
      <c r="B194" s="8" t="s">
        <v>502</v>
      </c>
      <c r="C194" s="2">
        <f t="shared" si="71"/>
        <v>4309443.47</v>
      </c>
      <c r="D194" s="3">
        <f t="shared" si="7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74"/>
        <v>#DIV/0!</v>
      </c>
    </row>
    <row r="195" spans="1:22" ht="21.9" customHeight="1">
      <c r="A195" s="37" t="s">
        <v>1439</v>
      </c>
      <c r="B195" s="8" t="s">
        <v>464</v>
      </c>
      <c r="C195" s="2">
        <f t="shared" si="71"/>
        <v>80998.289999999994</v>
      </c>
      <c r="D195" s="3">
        <f t="shared" si="7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74"/>
        <v>#DIV/0!</v>
      </c>
    </row>
    <row r="196" spans="1:22" ht="21.9" customHeight="1">
      <c r="A196" s="37" t="s">
        <v>1440</v>
      </c>
      <c r="B196" s="8" t="s">
        <v>1077</v>
      </c>
      <c r="C196" s="2">
        <f t="shared" si="71"/>
        <v>268000</v>
      </c>
      <c r="D196" s="3">
        <f t="shared" si="7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74"/>
        <v>#DIV/0!</v>
      </c>
    </row>
    <row r="197" spans="1:22" ht="21.9" customHeight="1">
      <c r="A197" s="37" t="s">
        <v>1441</v>
      </c>
      <c r="B197" s="8" t="s">
        <v>405</v>
      </c>
      <c r="C197" s="2">
        <f t="shared" si="71"/>
        <v>200000</v>
      </c>
      <c r="D197" s="3">
        <f t="shared" si="7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74"/>
        <v>#DIV/0!</v>
      </c>
    </row>
    <row r="198" spans="1:22" ht="21.9" customHeight="1">
      <c r="A198" s="37" t="s">
        <v>1442</v>
      </c>
      <c r="B198" s="24" t="s">
        <v>1040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1.9" customHeight="1">
      <c r="A199" s="37" t="s">
        <v>1443</v>
      </c>
      <c r="B199" s="8" t="s">
        <v>480</v>
      </c>
      <c r="C199" s="2">
        <f t="shared" si="71"/>
        <v>2317624.1</v>
      </c>
      <c r="D199" s="3">
        <f t="shared" si="7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74"/>
        <v>4978.1390728476817</v>
      </c>
    </row>
    <row r="200" spans="1:22" ht="21.9" customHeight="1">
      <c r="A200" s="37" t="s">
        <v>1444</v>
      </c>
      <c r="B200" s="8" t="s">
        <v>481</v>
      </c>
      <c r="C200" s="2">
        <f t="shared" si="71"/>
        <v>1057534.19</v>
      </c>
      <c r="D200" s="3">
        <f t="shared" si="7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74"/>
        <v>4026.9552695092516</v>
      </c>
    </row>
    <row r="201" spans="1:22" ht="21.9" customHeight="1">
      <c r="A201" s="37" t="s">
        <v>1445</v>
      </c>
      <c r="B201" s="8" t="s">
        <v>497</v>
      </c>
      <c r="C201" s="2">
        <f t="shared" si="71"/>
        <v>3327672.9299999997</v>
      </c>
      <c r="D201" s="3">
        <f t="shared" si="7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74"/>
        <v>5134.7432423917835</v>
      </c>
    </row>
    <row r="202" spans="1:22" ht="21.9" customHeight="1">
      <c r="A202" s="37" t="s">
        <v>1446</v>
      </c>
      <c r="B202" s="8" t="s">
        <v>427</v>
      </c>
      <c r="C202" s="2">
        <f t="shared" si="71"/>
        <v>2462464.0900000003</v>
      </c>
      <c r="D202" s="3">
        <f t="shared" si="7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74"/>
        <v>#DIV/0!</v>
      </c>
    </row>
    <row r="203" spans="1:22" ht="21.9" customHeight="1">
      <c r="A203" s="37" t="s">
        <v>1447</v>
      </c>
      <c r="B203" s="24" t="s">
        <v>1078</v>
      </c>
      <c r="C203" s="2">
        <f t="shared" si="71"/>
        <v>117294.52</v>
      </c>
      <c r="D203" s="3">
        <f t="shared" si="7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74"/>
        <v>#DIV/0!</v>
      </c>
    </row>
    <row r="204" spans="1:22" ht="21.9" customHeight="1">
      <c r="A204" s="37" t="s">
        <v>1448</v>
      </c>
      <c r="B204" s="8" t="s">
        <v>415</v>
      </c>
      <c r="C204" s="2">
        <f t="shared" si="71"/>
        <v>58789.59</v>
      </c>
      <c r="D204" s="3">
        <f t="shared" si="7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74"/>
        <v>#DIV/0!</v>
      </c>
    </row>
    <row r="205" spans="1:22" ht="21.9" customHeight="1">
      <c r="A205" s="37" t="s">
        <v>1274</v>
      </c>
      <c r="B205" s="8" t="s">
        <v>400</v>
      </c>
      <c r="C205" s="2">
        <f t="shared" si="71"/>
        <v>2630727.2000000002</v>
      </c>
      <c r="D205" s="3">
        <f t="shared" si="7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74"/>
        <v>#DIV/0!</v>
      </c>
    </row>
    <row r="206" spans="1:22" ht="21.9" customHeight="1">
      <c r="A206" s="37" t="s">
        <v>1449</v>
      </c>
      <c r="B206" s="8" t="s">
        <v>498</v>
      </c>
      <c r="C206" s="2">
        <f t="shared" si="71"/>
        <v>20198852.490000002</v>
      </c>
      <c r="D206" s="3">
        <f t="shared" si="7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74"/>
        <v>4840.0854947869029</v>
      </c>
    </row>
    <row r="207" spans="1:22" ht="21.9" customHeight="1">
      <c r="A207" s="37" t="s">
        <v>1450</v>
      </c>
      <c r="B207" s="8" t="s">
        <v>822</v>
      </c>
      <c r="C207" s="2">
        <f t="shared" si="71"/>
        <v>3611336.3299999996</v>
      </c>
      <c r="D207" s="3">
        <f t="shared" si="7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74"/>
        <v>#DIV/0!</v>
      </c>
    </row>
    <row r="208" spans="1:22" ht="21.9" customHeight="1">
      <c r="A208" s="37" t="s">
        <v>1451</v>
      </c>
      <c r="B208" s="8" t="s">
        <v>407</v>
      </c>
      <c r="C208" s="2">
        <f t="shared" si="71"/>
        <v>2281426.62</v>
      </c>
      <c r="D208" s="3">
        <f t="shared" si="7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74"/>
        <v>#DIV/0!</v>
      </c>
    </row>
    <row r="209" spans="1:22" ht="21.9" customHeight="1">
      <c r="A209" s="37" t="s">
        <v>1452</v>
      </c>
      <c r="B209" s="24" t="s">
        <v>1031</v>
      </c>
      <c r="C209" s="2">
        <f t="shared" si="71"/>
        <v>3226159.2</v>
      </c>
      <c r="D209" s="3">
        <f t="shared" si="7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74"/>
        <v>#DIV/0!</v>
      </c>
    </row>
    <row r="210" spans="1:22" ht="21.9" customHeight="1">
      <c r="A210" s="37" t="s">
        <v>1453</v>
      </c>
      <c r="B210" s="24" t="s">
        <v>1056</v>
      </c>
      <c r="C210" s="2">
        <f t="shared" si="71"/>
        <v>3368829.6</v>
      </c>
      <c r="D210" s="3">
        <f t="shared" ref="D210:D236" si="76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74"/>
        <v>2177.779961342289</v>
      </c>
    </row>
    <row r="211" spans="1:22" ht="21.9" customHeight="1">
      <c r="A211" s="37" t="s">
        <v>1454</v>
      </c>
      <c r="B211" s="24" t="s">
        <v>1054</v>
      </c>
      <c r="C211" s="2">
        <f t="shared" ref="C211:C260" si="77">D211+L211+N211+P211+R211+S211+T211+U211</f>
        <v>4094363</v>
      </c>
      <c r="D211" s="3">
        <f t="shared" si="76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74"/>
        <v>#DIV/0!</v>
      </c>
    </row>
    <row r="212" spans="1:22" ht="21.9" customHeight="1">
      <c r="A212" s="37" t="s">
        <v>1455</v>
      </c>
      <c r="B212" s="8" t="s">
        <v>442</v>
      </c>
      <c r="C212" s="2">
        <f t="shared" si="77"/>
        <v>338823.02999999997</v>
      </c>
      <c r="D212" s="3">
        <f t="shared" si="76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78">N212/M212</f>
        <v>#DIV/0!</v>
      </c>
    </row>
    <row r="213" spans="1:22" ht="21.9" customHeight="1">
      <c r="A213" s="37" t="s">
        <v>1456</v>
      </c>
      <c r="B213" s="8" t="s">
        <v>448</v>
      </c>
      <c r="C213" s="2">
        <f t="shared" si="77"/>
        <v>1100401.56</v>
      </c>
      <c r="D213" s="3">
        <f t="shared" si="76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78"/>
        <v>4021.7486725663721</v>
      </c>
    </row>
    <row r="214" spans="1:22" ht="21.9" customHeight="1">
      <c r="A214" s="37" t="s">
        <v>1457</v>
      </c>
      <c r="B214" s="8" t="s">
        <v>452</v>
      </c>
      <c r="C214" s="2">
        <f t="shared" si="77"/>
        <v>99358.51</v>
      </c>
      <c r="D214" s="3">
        <f t="shared" si="76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78"/>
        <v>#DIV/0!</v>
      </c>
    </row>
    <row r="215" spans="1:22" ht="21.9" customHeight="1">
      <c r="A215" s="37" t="s">
        <v>1458</v>
      </c>
      <c r="B215" s="8" t="s">
        <v>433</v>
      </c>
      <c r="C215" s="2">
        <f t="shared" si="77"/>
        <v>104881.83</v>
      </c>
      <c r="D215" s="3">
        <f t="shared" si="76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78"/>
        <v>#DIV/0!</v>
      </c>
    </row>
    <row r="216" spans="1:22" ht="21.9" customHeight="1">
      <c r="A216" s="37" t="s">
        <v>1459</v>
      </c>
      <c r="B216" s="23" t="s">
        <v>453</v>
      </c>
      <c r="C216" s="2">
        <f t="shared" si="77"/>
        <v>6160573.5499999998</v>
      </c>
      <c r="D216" s="3">
        <f t="shared" si="76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78"/>
        <v>5034.6326649471666</v>
      </c>
    </row>
    <row r="217" spans="1:22" ht="21.9" customHeight="1">
      <c r="A217" s="37" t="s">
        <v>1460</v>
      </c>
      <c r="B217" s="8" t="s">
        <v>482</v>
      </c>
      <c r="C217" s="2">
        <f t="shared" si="77"/>
        <v>3600310.75</v>
      </c>
      <c r="D217" s="3">
        <f t="shared" si="76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78"/>
        <v>5101.9482407676651</v>
      </c>
    </row>
    <row r="218" spans="1:22" ht="21.9" customHeight="1">
      <c r="A218" s="37" t="s">
        <v>1275</v>
      </c>
      <c r="B218" s="8" t="s">
        <v>401</v>
      </c>
      <c r="C218" s="2">
        <f t="shared" si="77"/>
        <v>164909.60999999999</v>
      </c>
      <c r="D218" s="3">
        <f t="shared" si="7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78"/>
        <v>#DIV/0!</v>
      </c>
    </row>
    <row r="219" spans="1:22" ht="21.9" customHeight="1">
      <c r="A219" s="37" t="s">
        <v>1461</v>
      </c>
      <c r="B219" s="8" t="s">
        <v>455</v>
      </c>
      <c r="C219" s="2">
        <f t="shared" si="77"/>
        <v>4921900.3999999994</v>
      </c>
      <c r="D219" s="3">
        <f t="shared" si="7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78"/>
        <v>#DIV/0!</v>
      </c>
    </row>
    <row r="220" spans="1:22" ht="21.9" customHeight="1">
      <c r="A220" s="37" t="s">
        <v>1462</v>
      </c>
      <c r="B220" s="8" t="s">
        <v>466</v>
      </c>
      <c r="C220" s="2">
        <f t="shared" si="77"/>
        <v>12226422.870000001</v>
      </c>
      <c r="D220" s="3">
        <f t="shared" si="7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78"/>
        <v>5272.3918395748988</v>
      </c>
    </row>
    <row r="221" spans="1:22" ht="21.9" customHeight="1">
      <c r="A221" s="37" t="s">
        <v>1463</v>
      </c>
      <c r="B221" s="23" t="s">
        <v>456</v>
      </c>
      <c r="C221" s="2">
        <f t="shared" si="77"/>
        <v>4823836.51</v>
      </c>
      <c r="D221" s="3">
        <f t="shared" si="7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78"/>
        <v>4896.4427320125133</v>
      </c>
    </row>
    <row r="222" spans="1:22" ht="21.9" customHeight="1">
      <c r="A222" s="37" t="s">
        <v>1464</v>
      </c>
      <c r="B222" s="8" t="s">
        <v>467</v>
      </c>
      <c r="C222" s="2">
        <f t="shared" si="77"/>
        <v>54862.78</v>
      </c>
      <c r="D222" s="3">
        <f t="shared" si="7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78"/>
        <v>#DIV/0!</v>
      </c>
    </row>
    <row r="223" spans="1:22" ht="21.9" customHeight="1">
      <c r="A223" s="37" t="s">
        <v>1465</v>
      </c>
      <c r="B223" s="8" t="s">
        <v>483</v>
      </c>
      <c r="C223" s="2">
        <f t="shared" si="77"/>
        <v>1824644.4600000002</v>
      </c>
      <c r="D223" s="3">
        <f t="shared" si="7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78"/>
        <v>4552.9635824742272</v>
      </c>
    </row>
    <row r="224" spans="1:22" ht="21.9" customHeight="1">
      <c r="A224" s="37" t="s">
        <v>1466</v>
      </c>
      <c r="B224" s="8" t="s">
        <v>402</v>
      </c>
      <c r="C224" s="2">
        <f t="shared" si="77"/>
        <v>75456.38</v>
      </c>
      <c r="D224" s="3">
        <f t="shared" si="7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78"/>
        <v>#DIV/0!</v>
      </c>
    </row>
    <row r="225" spans="1:22" ht="21.9" customHeight="1">
      <c r="A225" s="37" t="s">
        <v>1276</v>
      </c>
      <c r="B225" s="8" t="s">
        <v>484</v>
      </c>
      <c r="C225" s="2">
        <f t="shared" si="77"/>
        <v>2965032.13</v>
      </c>
      <c r="D225" s="3">
        <f t="shared" si="7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78"/>
        <v>4881.4706849315071</v>
      </c>
    </row>
    <row r="226" spans="1:22" ht="21.9" customHeight="1">
      <c r="A226" s="37" t="s">
        <v>1277</v>
      </c>
      <c r="B226" s="8" t="s">
        <v>468</v>
      </c>
      <c r="C226" s="2">
        <f t="shared" si="77"/>
        <v>2904799.21</v>
      </c>
      <c r="D226" s="3">
        <f t="shared" si="7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78"/>
        <v>4778.2834680134674</v>
      </c>
    </row>
    <row r="227" spans="1:22" ht="21.9" customHeight="1">
      <c r="A227" s="37" t="s">
        <v>1467</v>
      </c>
      <c r="B227" s="8" t="s">
        <v>384</v>
      </c>
      <c r="C227" s="2">
        <f t="shared" si="77"/>
        <v>2062847.55</v>
      </c>
      <c r="D227" s="3">
        <f t="shared" si="7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78"/>
        <v>#DIV/0!</v>
      </c>
    </row>
    <row r="228" spans="1:22" ht="21.9" customHeight="1">
      <c r="A228" s="37" t="s">
        <v>1468</v>
      </c>
      <c r="B228" s="8" t="s">
        <v>457</v>
      </c>
      <c r="C228" s="2">
        <f t="shared" si="77"/>
        <v>72988.7</v>
      </c>
      <c r="D228" s="3">
        <f t="shared" si="7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78"/>
        <v>#DIV/0!</v>
      </c>
    </row>
    <row r="229" spans="1:22" ht="21.9" customHeight="1">
      <c r="A229" s="37" t="s">
        <v>1469</v>
      </c>
      <c r="B229" s="8" t="s">
        <v>443</v>
      </c>
      <c r="C229" s="2">
        <f t="shared" si="77"/>
        <v>6267141.54</v>
      </c>
      <c r="D229" s="3">
        <f t="shared" si="7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78"/>
        <v>5230.0817686343744</v>
      </c>
    </row>
    <row r="230" spans="1:22" ht="21.9" customHeight="1">
      <c r="A230" s="37" t="s">
        <v>1470</v>
      </c>
      <c r="B230" s="8" t="s">
        <v>469</v>
      </c>
      <c r="C230" s="2">
        <f t="shared" si="77"/>
        <v>3566948.55</v>
      </c>
      <c r="D230" s="3">
        <f t="shared" ref="D230:D235" si="79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78"/>
        <v>5031.924877697842</v>
      </c>
    </row>
    <row r="231" spans="1:22" ht="21.9" customHeight="1">
      <c r="A231" s="37" t="s">
        <v>1471</v>
      </c>
      <c r="B231" s="24" t="s">
        <v>1028</v>
      </c>
      <c r="C231" s="2">
        <f>D231+L231+N231+P231+R231+S231+T231+U231</f>
        <v>5179580.74</v>
      </c>
      <c r="D231" s="3">
        <f t="shared" si="79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78"/>
        <v>4983.7368120300753</v>
      </c>
    </row>
    <row r="232" spans="1:22" ht="21.9" customHeight="1">
      <c r="A232" s="37" t="s">
        <v>1472</v>
      </c>
      <c r="B232" s="8" t="s">
        <v>470</v>
      </c>
      <c r="C232" s="2">
        <f t="shared" si="77"/>
        <v>39357.33</v>
      </c>
      <c r="D232" s="3">
        <f t="shared" si="79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78"/>
        <v>#DIV/0!</v>
      </c>
    </row>
    <row r="233" spans="1:22" ht="21.9" customHeight="1">
      <c r="A233" s="37" t="s">
        <v>1473</v>
      </c>
      <c r="B233" s="8" t="s">
        <v>485</v>
      </c>
      <c r="C233" s="2">
        <f t="shared" si="77"/>
        <v>1742990.48</v>
      </c>
      <c r="D233" s="3">
        <f t="shared" si="79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78"/>
        <v>4535.4692485985333</v>
      </c>
    </row>
    <row r="234" spans="1:22" ht="21.9" customHeight="1">
      <c r="A234" s="37" t="s">
        <v>1474</v>
      </c>
      <c r="B234" s="8" t="s">
        <v>419</v>
      </c>
      <c r="C234" s="2">
        <f t="shared" si="77"/>
        <v>42605.66</v>
      </c>
      <c r="D234" s="3">
        <f t="shared" si="79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78"/>
        <v>#DIV/0!</v>
      </c>
    </row>
    <row r="235" spans="1:22" ht="21.9" customHeight="1">
      <c r="A235" s="37" t="s">
        <v>1278</v>
      </c>
      <c r="B235" s="8" t="s">
        <v>434</v>
      </c>
      <c r="C235" s="2">
        <f t="shared" si="77"/>
        <v>46635.76</v>
      </c>
      <c r="D235" s="3">
        <f t="shared" si="79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78"/>
        <v>#DIV/0!</v>
      </c>
    </row>
    <row r="236" spans="1:22" ht="21.9" customHeight="1">
      <c r="A236" s="37" t="s">
        <v>1475</v>
      </c>
      <c r="B236" s="8" t="s">
        <v>435</v>
      </c>
      <c r="C236" s="2">
        <f t="shared" si="77"/>
        <v>2255774.0699999998</v>
      </c>
      <c r="D236" s="3">
        <f t="shared" si="7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78"/>
        <v>#DIV/0!</v>
      </c>
    </row>
    <row r="237" spans="1:22" ht="45" customHeight="1">
      <c r="A237" s="53" t="s">
        <v>304</v>
      </c>
      <c r="B237" s="53"/>
      <c r="C237" s="2">
        <f>SUM(C238:C241)</f>
        <v>2538146.2999999998</v>
      </c>
      <c r="D237" s="2">
        <f t="shared" ref="D237:U237" si="80">SUM(D238:D241)</f>
        <v>2538146.2999999998</v>
      </c>
      <c r="E237" s="2">
        <f t="shared" si="80"/>
        <v>0</v>
      </c>
      <c r="F237" s="2">
        <f t="shared" si="80"/>
        <v>1951709.6399999997</v>
      </c>
      <c r="G237" s="2">
        <f t="shared" si="80"/>
        <v>276757.42</v>
      </c>
      <c r="H237" s="2">
        <f t="shared" si="80"/>
        <v>0</v>
      </c>
      <c r="I237" s="2">
        <f t="shared" si="80"/>
        <v>309679.24</v>
      </c>
      <c r="J237" s="2">
        <f t="shared" si="80"/>
        <v>0</v>
      </c>
      <c r="K237" s="14">
        <f t="shared" si="80"/>
        <v>0</v>
      </c>
      <c r="L237" s="2">
        <f t="shared" si="80"/>
        <v>0</v>
      </c>
      <c r="M237" s="2">
        <f t="shared" si="80"/>
        <v>0</v>
      </c>
      <c r="N237" s="2">
        <f t="shared" si="80"/>
        <v>0</v>
      </c>
      <c r="O237" s="2">
        <f t="shared" si="80"/>
        <v>0</v>
      </c>
      <c r="P237" s="2">
        <f t="shared" si="80"/>
        <v>0</v>
      </c>
      <c r="Q237" s="2">
        <f t="shared" si="80"/>
        <v>0</v>
      </c>
      <c r="R237" s="2">
        <f t="shared" si="80"/>
        <v>0</v>
      </c>
      <c r="S237" s="2">
        <f t="shared" si="80"/>
        <v>0</v>
      </c>
      <c r="T237" s="2">
        <f t="shared" si="80"/>
        <v>0</v>
      </c>
      <c r="U237" s="2">
        <f t="shared" si="80"/>
        <v>0</v>
      </c>
      <c r="V237" s="18">
        <f>C237+C1101</f>
        <v>11147541.300000001</v>
      </c>
    </row>
    <row r="238" spans="1:22" ht="21.9" customHeight="1">
      <c r="A238" s="37" t="s">
        <v>1476</v>
      </c>
      <c r="B238" s="8" t="s">
        <v>1035</v>
      </c>
      <c r="C238" s="2">
        <f t="shared" si="77"/>
        <v>419071.85</v>
      </c>
      <c r="D238" s="3">
        <f t="shared" ref="D238:D241" si="81"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 t="shared" ref="V238:V241" si="82">N238/M238</f>
        <v>#DIV/0!</v>
      </c>
    </row>
    <row r="239" spans="1:22" ht="21.9" customHeight="1">
      <c r="A239" s="37" t="s">
        <v>1477</v>
      </c>
      <c r="B239" s="8" t="s">
        <v>1034</v>
      </c>
      <c r="C239" s="2">
        <f t="shared" si="77"/>
        <v>709295.13</v>
      </c>
      <c r="D239" s="3">
        <f t="shared" si="81"/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 t="shared" si="82"/>
        <v>#DIV/0!</v>
      </c>
    </row>
    <row r="240" spans="1:22" ht="21.9" customHeight="1">
      <c r="A240" s="37" t="s">
        <v>1478</v>
      </c>
      <c r="B240" s="8" t="s">
        <v>1033</v>
      </c>
      <c r="C240" s="2">
        <f t="shared" si="77"/>
        <v>668196.1</v>
      </c>
      <c r="D240" s="3">
        <f t="shared" si="81"/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 t="shared" si="82"/>
        <v>#DIV/0!</v>
      </c>
    </row>
    <row r="241" spans="1:22" ht="21.9" customHeight="1">
      <c r="A241" s="37" t="s">
        <v>1479</v>
      </c>
      <c r="B241" s="8" t="s">
        <v>1032</v>
      </c>
      <c r="C241" s="2">
        <f t="shared" si="77"/>
        <v>741583.22</v>
      </c>
      <c r="D241" s="3">
        <f t="shared" si="81"/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 t="shared" si="82"/>
        <v>#DIV/0!</v>
      </c>
    </row>
    <row r="242" spans="1:22" ht="45" customHeight="1">
      <c r="A242" s="53" t="s">
        <v>280</v>
      </c>
      <c r="B242" s="53"/>
      <c r="C242" s="2">
        <f>SUM(C243)</f>
        <v>34252.04</v>
      </c>
      <c r="D242" s="2">
        <f t="shared" ref="D242:U242" si="83">SUM(D243)</f>
        <v>0</v>
      </c>
      <c r="E242" s="2">
        <f t="shared" si="83"/>
        <v>0</v>
      </c>
      <c r="F242" s="2">
        <f t="shared" si="83"/>
        <v>0</v>
      </c>
      <c r="G242" s="2">
        <f t="shared" si="83"/>
        <v>0</v>
      </c>
      <c r="H242" s="2">
        <f t="shared" si="83"/>
        <v>0</v>
      </c>
      <c r="I242" s="2">
        <f t="shared" si="83"/>
        <v>0</v>
      </c>
      <c r="J242" s="2">
        <f t="shared" si="83"/>
        <v>0</v>
      </c>
      <c r="K242" s="14">
        <f t="shared" si="83"/>
        <v>0</v>
      </c>
      <c r="L242" s="2">
        <f t="shared" si="83"/>
        <v>0</v>
      </c>
      <c r="M242" s="2">
        <f t="shared" si="83"/>
        <v>0</v>
      </c>
      <c r="N242" s="2">
        <f t="shared" si="83"/>
        <v>0</v>
      </c>
      <c r="O242" s="2">
        <f t="shared" si="83"/>
        <v>0</v>
      </c>
      <c r="P242" s="2">
        <f t="shared" si="83"/>
        <v>0</v>
      </c>
      <c r="Q242" s="2">
        <f t="shared" si="83"/>
        <v>0</v>
      </c>
      <c r="R242" s="2">
        <f t="shared" si="83"/>
        <v>0</v>
      </c>
      <c r="S242" s="2">
        <f t="shared" si="83"/>
        <v>0</v>
      </c>
      <c r="T242" s="2">
        <f t="shared" si="83"/>
        <v>0</v>
      </c>
      <c r="U242" s="2">
        <f t="shared" si="83"/>
        <v>34252.04</v>
      </c>
      <c r="V242" s="18">
        <f>C242+C695+C1103</f>
        <v>18142539.669999998</v>
      </c>
    </row>
    <row r="243" spans="1:22" ht="21.9" customHeight="1">
      <c r="A243" s="37" t="s">
        <v>1480</v>
      </c>
      <c r="B243" s="8" t="s">
        <v>306</v>
      </c>
      <c r="C243" s="2">
        <f t="shared" si="77"/>
        <v>34252.04</v>
      </c>
      <c r="D243" s="3">
        <f t="shared" ref="D243" si="84"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>
      <c r="A244" s="53" t="s">
        <v>285</v>
      </c>
      <c r="B244" s="53"/>
      <c r="C244" s="2">
        <f>SUM(C245:C246)</f>
        <v>6414068.6400000006</v>
      </c>
      <c r="D244" s="2">
        <f t="shared" ref="D244:U244" si="85">SUM(D245:D246)</f>
        <v>517361.39</v>
      </c>
      <c r="E244" s="2">
        <f t="shared" si="85"/>
        <v>264982.02</v>
      </c>
      <c r="F244" s="2">
        <f t="shared" si="85"/>
        <v>159810.94</v>
      </c>
      <c r="G244" s="2">
        <f t="shared" si="85"/>
        <v>54255.360000000001</v>
      </c>
      <c r="H244" s="2">
        <f t="shared" si="85"/>
        <v>0</v>
      </c>
      <c r="I244" s="2">
        <f t="shared" si="85"/>
        <v>38313.07</v>
      </c>
      <c r="J244" s="2">
        <f t="shared" si="85"/>
        <v>0</v>
      </c>
      <c r="K244" s="14">
        <f t="shared" si="85"/>
        <v>0</v>
      </c>
      <c r="L244" s="2">
        <f t="shared" si="85"/>
        <v>0</v>
      </c>
      <c r="M244" s="2">
        <f t="shared" si="85"/>
        <v>753.21</v>
      </c>
      <c r="N244" s="2">
        <f t="shared" si="85"/>
        <v>3858635.48</v>
      </c>
      <c r="O244" s="2">
        <f t="shared" si="85"/>
        <v>0</v>
      </c>
      <c r="P244" s="2">
        <f t="shared" si="85"/>
        <v>0</v>
      </c>
      <c r="Q244" s="2">
        <f t="shared" si="85"/>
        <v>1152</v>
      </c>
      <c r="R244" s="2">
        <f t="shared" si="85"/>
        <v>1646478.24</v>
      </c>
      <c r="S244" s="2">
        <f t="shared" si="85"/>
        <v>0</v>
      </c>
      <c r="T244" s="2">
        <f t="shared" si="85"/>
        <v>0</v>
      </c>
      <c r="U244" s="2">
        <f t="shared" si="85"/>
        <v>391593.53</v>
      </c>
      <c r="V244" s="18">
        <f>C244+C701+C1109</f>
        <v>22775573.640000001</v>
      </c>
    </row>
    <row r="245" spans="1:22" ht="21.9" customHeight="1">
      <c r="A245" s="37" t="s">
        <v>1481</v>
      </c>
      <c r="B245" s="8" t="s">
        <v>286</v>
      </c>
      <c r="C245" s="2">
        <f t="shared" si="77"/>
        <v>3331574.8200000003</v>
      </c>
      <c r="D245" s="3">
        <f t="shared" ref="D245:D246" si="86"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 t="shared" ref="V245:V246" si="87">N245/M245</f>
        <v>5194.1586609617607</v>
      </c>
    </row>
    <row r="246" spans="1:22" ht="21.9" customHeight="1">
      <c r="A246" s="37" t="s">
        <v>1482</v>
      </c>
      <c r="B246" s="8" t="s">
        <v>287</v>
      </c>
      <c r="C246" s="2">
        <f t="shared" si="77"/>
        <v>3082493.82</v>
      </c>
      <c r="D246" s="3">
        <f t="shared" si="86"/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 t="shared" si="87"/>
        <v>5053.5486897274632</v>
      </c>
    </row>
    <row r="247" spans="1:22" ht="45" customHeight="1">
      <c r="A247" s="53" t="s">
        <v>290</v>
      </c>
      <c r="B247" s="53"/>
      <c r="C247" s="2">
        <f>SUM(C248:C250)</f>
        <v>145766.94</v>
      </c>
      <c r="D247" s="2">
        <f t="shared" ref="D247:U247" si="88">SUM(D248:D250)</f>
        <v>0</v>
      </c>
      <c r="E247" s="2">
        <f t="shared" si="88"/>
        <v>0</v>
      </c>
      <c r="F247" s="2">
        <f t="shared" si="88"/>
        <v>0</v>
      </c>
      <c r="G247" s="2">
        <f t="shared" si="88"/>
        <v>0</v>
      </c>
      <c r="H247" s="2">
        <f t="shared" si="88"/>
        <v>0</v>
      </c>
      <c r="I247" s="2">
        <f t="shared" si="88"/>
        <v>0</v>
      </c>
      <c r="J247" s="2">
        <f t="shared" si="88"/>
        <v>0</v>
      </c>
      <c r="K247" s="14">
        <f t="shared" si="88"/>
        <v>0</v>
      </c>
      <c r="L247" s="2">
        <f t="shared" si="88"/>
        <v>0</v>
      </c>
      <c r="M247" s="2">
        <f t="shared" si="88"/>
        <v>0</v>
      </c>
      <c r="N247" s="2">
        <f t="shared" si="88"/>
        <v>0</v>
      </c>
      <c r="O247" s="2">
        <f t="shared" si="88"/>
        <v>0</v>
      </c>
      <c r="P247" s="2">
        <f t="shared" si="88"/>
        <v>0</v>
      </c>
      <c r="Q247" s="2">
        <f t="shared" si="88"/>
        <v>0</v>
      </c>
      <c r="R247" s="2">
        <f t="shared" si="88"/>
        <v>0</v>
      </c>
      <c r="S247" s="2">
        <f t="shared" si="88"/>
        <v>0</v>
      </c>
      <c r="T247" s="2">
        <f t="shared" si="88"/>
        <v>0</v>
      </c>
      <c r="U247" s="2">
        <f t="shared" si="88"/>
        <v>145766.94</v>
      </c>
      <c r="V247" s="18">
        <f>C247+C704+C1113</f>
        <v>41777912.909999996</v>
      </c>
    </row>
    <row r="248" spans="1:22" ht="21.9" customHeight="1">
      <c r="A248" s="37" t="s">
        <v>1483</v>
      </c>
      <c r="B248" s="8" t="s">
        <v>295</v>
      </c>
      <c r="C248" s="2">
        <f t="shared" si="77"/>
        <v>49421.84</v>
      </c>
      <c r="D248" s="3">
        <f t="shared" ref="D248:D250" si="89"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 t="shared" ref="V248:V250" si="90">N248/M248</f>
        <v>#DIV/0!</v>
      </c>
    </row>
    <row r="249" spans="1:22" ht="21.9" customHeight="1">
      <c r="A249" s="37" t="s">
        <v>1484</v>
      </c>
      <c r="B249" s="8" t="s">
        <v>296</v>
      </c>
      <c r="C249" s="2">
        <f t="shared" si="77"/>
        <v>50355.93</v>
      </c>
      <c r="D249" s="3">
        <f t="shared" si="89"/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 t="shared" si="90"/>
        <v>#DIV/0!</v>
      </c>
    </row>
    <row r="250" spans="1:22" ht="21.9" customHeight="1">
      <c r="A250" s="37" t="s">
        <v>1485</v>
      </c>
      <c r="B250" s="8" t="s">
        <v>298</v>
      </c>
      <c r="C250" s="2">
        <f t="shared" si="77"/>
        <v>45989.17</v>
      </c>
      <c r="D250" s="3">
        <f t="shared" si="89"/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 t="shared" si="90"/>
        <v>#DIV/0!</v>
      </c>
    </row>
    <row r="251" spans="1:22" ht="45" customHeight="1">
      <c r="A251" s="53" t="s">
        <v>308</v>
      </c>
      <c r="B251" s="53"/>
      <c r="C251" s="2">
        <f>SUM(C252:C254)</f>
        <v>7854268.2100000009</v>
      </c>
      <c r="D251" s="2">
        <f t="shared" ref="D251:U251" si="91">SUM(D252:D254)</f>
        <v>180683</v>
      </c>
      <c r="E251" s="2">
        <f t="shared" si="91"/>
        <v>147697</v>
      </c>
      <c r="F251" s="2">
        <f t="shared" si="91"/>
        <v>0</v>
      </c>
      <c r="G251" s="2">
        <f t="shared" si="91"/>
        <v>16717</v>
      </c>
      <c r="H251" s="2">
        <f t="shared" si="91"/>
        <v>0</v>
      </c>
      <c r="I251" s="2">
        <f t="shared" si="91"/>
        <v>16269</v>
      </c>
      <c r="J251" s="2">
        <f t="shared" si="91"/>
        <v>0</v>
      </c>
      <c r="K251" s="14">
        <f t="shared" si="91"/>
        <v>0</v>
      </c>
      <c r="L251" s="2">
        <f t="shared" si="91"/>
        <v>0</v>
      </c>
      <c r="M251" s="2">
        <f t="shared" si="91"/>
        <v>758</v>
      </c>
      <c r="N251" s="2">
        <f t="shared" si="91"/>
        <v>3934473</v>
      </c>
      <c r="O251" s="2">
        <f t="shared" si="91"/>
        <v>0</v>
      </c>
      <c r="P251" s="2">
        <f t="shared" si="91"/>
        <v>0</v>
      </c>
      <c r="Q251" s="2">
        <f t="shared" si="91"/>
        <v>1168.8000000000002</v>
      </c>
      <c r="R251" s="2">
        <f t="shared" si="91"/>
        <v>3044652.5</v>
      </c>
      <c r="S251" s="2">
        <f t="shared" si="91"/>
        <v>290445.24</v>
      </c>
      <c r="T251" s="2">
        <f t="shared" si="91"/>
        <v>0</v>
      </c>
      <c r="U251" s="2">
        <f t="shared" si="91"/>
        <v>404014.47</v>
      </c>
      <c r="V251" s="18">
        <f>C251+C715</f>
        <v>11627192.210000001</v>
      </c>
    </row>
    <row r="252" spans="1:22" ht="21.9" customHeight="1">
      <c r="A252" s="37" t="s">
        <v>1486</v>
      </c>
      <c r="B252" s="8" t="s">
        <v>309</v>
      </c>
      <c r="C252" s="2">
        <f t="shared" si="77"/>
        <v>2428435.9</v>
      </c>
      <c r="D252" s="3">
        <f t="shared" ref="D252:D254" si="92"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 t="shared" ref="V252:V254" si="93">N252/M252</f>
        <v>5293.4708333333338</v>
      </c>
    </row>
    <row r="253" spans="1:22" ht="21.9" customHeight="1">
      <c r="A253" s="37" t="s">
        <v>1487</v>
      </c>
      <c r="B253" s="8" t="s">
        <v>310</v>
      </c>
      <c r="C253" s="2">
        <f t="shared" si="77"/>
        <v>2365776.25</v>
      </c>
      <c r="D253" s="3">
        <f t="shared" si="92"/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 t="shared" si="93"/>
        <v>5007.2745901639346</v>
      </c>
    </row>
    <row r="254" spans="1:22" ht="21.9" customHeight="1">
      <c r="A254" s="37" t="s">
        <v>1488</v>
      </c>
      <c r="B254" s="8" t="s">
        <v>311</v>
      </c>
      <c r="C254" s="2">
        <f t="shared" si="77"/>
        <v>3060056.06</v>
      </c>
      <c r="D254" s="3">
        <f t="shared" si="92"/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 t="shared" si="93"/>
        <v>5263.7408759124091</v>
      </c>
    </row>
    <row r="255" spans="1:22" ht="45" customHeight="1">
      <c r="A255" s="53" t="s">
        <v>313</v>
      </c>
      <c r="B255" s="53"/>
      <c r="C255" s="2">
        <f>SUM(C256)</f>
        <v>48130.46</v>
      </c>
      <c r="D255" s="2">
        <f t="shared" ref="D255:U255" si="94">SUM(D256)</f>
        <v>0</v>
      </c>
      <c r="E255" s="2">
        <f t="shared" si="94"/>
        <v>0</v>
      </c>
      <c r="F255" s="2">
        <f t="shared" si="94"/>
        <v>0</v>
      </c>
      <c r="G255" s="2">
        <f t="shared" si="94"/>
        <v>0</v>
      </c>
      <c r="H255" s="2">
        <f t="shared" si="94"/>
        <v>0</v>
      </c>
      <c r="I255" s="2">
        <f t="shared" si="94"/>
        <v>0</v>
      </c>
      <c r="J255" s="2">
        <f t="shared" si="94"/>
        <v>0</v>
      </c>
      <c r="K255" s="14">
        <f t="shared" si="94"/>
        <v>0</v>
      </c>
      <c r="L255" s="2">
        <f t="shared" si="94"/>
        <v>0</v>
      </c>
      <c r="M255" s="2">
        <f t="shared" si="94"/>
        <v>0</v>
      </c>
      <c r="N255" s="2">
        <f t="shared" si="94"/>
        <v>0</v>
      </c>
      <c r="O255" s="2">
        <f t="shared" si="94"/>
        <v>0</v>
      </c>
      <c r="P255" s="2">
        <f t="shared" si="94"/>
        <v>0</v>
      </c>
      <c r="Q255" s="2">
        <f t="shared" si="94"/>
        <v>0</v>
      </c>
      <c r="R255" s="2">
        <f t="shared" si="94"/>
        <v>0</v>
      </c>
      <c r="S255" s="2">
        <f t="shared" si="94"/>
        <v>0</v>
      </c>
      <c r="T255" s="2">
        <f t="shared" si="94"/>
        <v>0</v>
      </c>
      <c r="U255" s="2">
        <f t="shared" si="94"/>
        <v>48130.46</v>
      </c>
      <c r="V255" s="18">
        <f>C255+C717+C1116</f>
        <v>16950065.460000001</v>
      </c>
    </row>
    <row r="256" spans="1:22" ht="21.9" customHeight="1">
      <c r="A256" s="36" t="s">
        <v>1489</v>
      </c>
      <c r="B256" s="8" t="s">
        <v>317</v>
      </c>
      <c r="C256" s="2">
        <f t="shared" si="77"/>
        <v>48130.46</v>
      </c>
      <c r="D256" s="3">
        <f t="shared" ref="D256" si="95"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200000000000003" customHeight="1">
      <c r="A257" s="53" t="s">
        <v>973</v>
      </c>
      <c r="B257" s="53"/>
      <c r="C257" s="2">
        <f>SUM(C258)</f>
        <v>2999935.13</v>
      </c>
      <c r="D257" s="2">
        <f t="shared" ref="D257:U257" si="96">SUM(D258)</f>
        <v>97668.77</v>
      </c>
      <c r="E257" s="2">
        <f t="shared" si="96"/>
        <v>97668.77</v>
      </c>
      <c r="F257" s="2">
        <f t="shared" si="96"/>
        <v>0</v>
      </c>
      <c r="G257" s="2">
        <f t="shared" si="96"/>
        <v>0</v>
      </c>
      <c r="H257" s="2">
        <f t="shared" si="96"/>
        <v>0</v>
      </c>
      <c r="I257" s="2">
        <f t="shared" si="96"/>
        <v>0</v>
      </c>
      <c r="J257" s="2">
        <f t="shared" si="96"/>
        <v>0</v>
      </c>
      <c r="K257" s="14">
        <f t="shared" si="96"/>
        <v>0</v>
      </c>
      <c r="L257" s="2">
        <f t="shared" si="96"/>
        <v>0</v>
      </c>
      <c r="M257" s="2">
        <f t="shared" si="96"/>
        <v>414</v>
      </c>
      <c r="N257" s="2">
        <f t="shared" si="96"/>
        <v>2020023.69</v>
      </c>
      <c r="O257" s="2">
        <f t="shared" si="96"/>
        <v>0</v>
      </c>
      <c r="P257" s="2">
        <f t="shared" si="96"/>
        <v>0</v>
      </c>
      <c r="Q257" s="2">
        <f t="shared" si="96"/>
        <v>556</v>
      </c>
      <c r="R257" s="2">
        <f t="shared" si="96"/>
        <v>776040.08</v>
      </c>
      <c r="S257" s="2">
        <f t="shared" si="96"/>
        <v>0</v>
      </c>
      <c r="T257" s="2">
        <f t="shared" si="96"/>
        <v>0</v>
      </c>
      <c r="U257" s="2">
        <f t="shared" si="96"/>
        <v>106202.59</v>
      </c>
      <c r="V257" s="18">
        <f>C257+C721+C1123</f>
        <v>8498525.129999999</v>
      </c>
    </row>
    <row r="258" spans="1:22" ht="21.9" customHeight="1">
      <c r="A258" s="37" t="s">
        <v>1490</v>
      </c>
      <c r="B258" s="8" t="s">
        <v>324</v>
      </c>
      <c r="C258" s="2">
        <f t="shared" si="77"/>
        <v>2999935.13</v>
      </c>
      <c r="D258" s="3">
        <f t="shared" ref="D258" si="97"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" customHeight="1">
      <c r="A259" s="53" t="s">
        <v>325</v>
      </c>
      <c r="B259" s="53"/>
      <c r="C259" s="2">
        <f>SUM(C260:C261)</f>
        <v>1151732.3800000001</v>
      </c>
      <c r="D259" s="2">
        <f t="shared" ref="D259:U259" si="98">SUM(D260:D261)</f>
        <v>0</v>
      </c>
      <c r="E259" s="2">
        <f t="shared" si="98"/>
        <v>0</v>
      </c>
      <c r="F259" s="2">
        <f t="shared" si="98"/>
        <v>0</v>
      </c>
      <c r="G259" s="2">
        <f t="shared" si="98"/>
        <v>0</v>
      </c>
      <c r="H259" s="2">
        <f t="shared" si="98"/>
        <v>0</v>
      </c>
      <c r="I259" s="2">
        <f t="shared" si="98"/>
        <v>0</v>
      </c>
      <c r="J259" s="2">
        <f t="shared" si="98"/>
        <v>0</v>
      </c>
      <c r="K259" s="14">
        <f t="shared" si="98"/>
        <v>0</v>
      </c>
      <c r="L259" s="2">
        <f t="shared" si="98"/>
        <v>0</v>
      </c>
      <c r="M259" s="2">
        <f t="shared" si="98"/>
        <v>315.04000000000002</v>
      </c>
      <c r="N259" s="2">
        <f t="shared" si="98"/>
        <v>1069200</v>
      </c>
      <c r="O259" s="2">
        <f t="shared" si="98"/>
        <v>0</v>
      </c>
      <c r="P259" s="2">
        <f t="shared" si="98"/>
        <v>0</v>
      </c>
      <c r="Q259" s="2">
        <f t="shared" si="98"/>
        <v>0</v>
      </c>
      <c r="R259" s="2">
        <f t="shared" si="98"/>
        <v>0</v>
      </c>
      <c r="S259" s="2">
        <f t="shared" si="98"/>
        <v>0</v>
      </c>
      <c r="T259" s="2">
        <f t="shared" si="98"/>
        <v>0</v>
      </c>
      <c r="U259" s="2">
        <f t="shared" si="98"/>
        <v>82532.38</v>
      </c>
      <c r="V259" s="18">
        <f>C259+C723+C1125</f>
        <v>23025132.380000003</v>
      </c>
    </row>
    <row r="260" spans="1:22" ht="23.1" customHeight="1">
      <c r="A260" s="36" t="s">
        <v>1491</v>
      </c>
      <c r="B260" s="8" t="s">
        <v>976</v>
      </c>
      <c r="C260" s="2">
        <f t="shared" si="77"/>
        <v>1102862.77</v>
      </c>
      <c r="D260" s="3">
        <f t="shared" ref="D260:D261" si="99"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 t="shared" ref="V260:V261" si="100">N260/M260</f>
        <v>3393.8547486033517</v>
      </c>
    </row>
    <row r="261" spans="1:22" ht="23.1" customHeight="1">
      <c r="A261" s="36" t="s">
        <v>1492</v>
      </c>
      <c r="B261" s="8" t="s">
        <v>327</v>
      </c>
      <c r="C261" s="2">
        <f t="shared" ref="C261:C282" si="101">D261+L261+N261+P261+R261+S261+T261+U261</f>
        <v>48869.61</v>
      </c>
      <c r="D261" s="3">
        <f t="shared" si="99"/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 t="shared" si="100"/>
        <v>#DIV/0!</v>
      </c>
    </row>
    <row r="262" spans="1:22" ht="42.9" customHeight="1">
      <c r="A262" s="53" t="s">
        <v>329</v>
      </c>
      <c r="B262" s="53"/>
      <c r="C262" s="2">
        <f>SUM(C263)</f>
        <v>2990808.4</v>
      </c>
      <c r="D262" s="2">
        <f t="shared" ref="D262:U262" si="102">SUM(D263)</f>
        <v>0</v>
      </c>
      <c r="E262" s="2">
        <f t="shared" si="102"/>
        <v>0</v>
      </c>
      <c r="F262" s="2">
        <f t="shared" si="102"/>
        <v>0</v>
      </c>
      <c r="G262" s="2">
        <f t="shared" si="102"/>
        <v>0</v>
      </c>
      <c r="H262" s="2">
        <f t="shared" si="102"/>
        <v>0</v>
      </c>
      <c r="I262" s="2">
        <f t="shared" si="102"/>
        <v>0</v>
      </c>
      <c r="J262" s="2">
        <f t="shared" si="102"/>
        <v>0</v>
      </c>
      <c r="K262" s="14">
        <f t="shared" si="102"/>
        <v>0</v>
      </c>
      <c r="L262" s="2">
        <f t="shared" si="102"/>
        <v>0</v>
      </c>
      <c r="M262" s="2">
        <f t="shared" si="102"/>
        <v>366.4</v>
      </c>
      <c r="N262" s="2">
        <f t="shared" si="102"/>
        <v>1920360.81</v>
      </c>
      <c r="O262" s="2">
        <f t="shared" si="102"/>
        <v>0</v>
      </c>
      <c r="P262" s="2">
        <f t="shared" si="102"/>
        <v>0</v>
      </c>
      <c r="Q262" s="2">
        <f t="shared" si="102"/>
        <v>426</v>
      </c>
      <c r="R262" s="2">
        <f t="shared" si="102"/>
        <v>990609.29</v>
      </c>
      <c r="S262" s="2">
        <f t="shared" si="102"/>
        <v>0</v>
      </c>
      <c r="T262" s="2">
        <f t="shared" si="102"/>
        <v>0</v>
      </c>
      <c r="U262" s="2">
        <f t="shared" si="102"/>
        <v>79838.3</v>
      </c>
      <c r="V262" s="18">
        <f>C262+C727</f>
        <v>3290808.4</v>
      </c>
    </row>
    <row r="263" spans="1:22" ht="23.1" customHeight="1">
      <c r="A263" s="37" t="s">
        <v>1493</v>
      </c>
      <c r="B263" s="1" t="s">
        <v>331</v>
      </c>
      <c r="C263" s="2">
        <f t="shared" si="101"/>
        <v>2990808.4</v>
      </c>
      <c r="D263" s="3">
        <f t="shared" ref="D263" si="103"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" customHeight="1">
      <c r="A264" s="53" t="s">
        <v>1217</v>
      </c>
      <c r="B264" s="53"/>
      <c r="C264" s="2">
        <f>SUM(C265)</f>
        <v>4068458.4</v>
      </c>
      <c r="D264" s="2">
        <f t="shared" ref="D264:U264" si="104">SUM(D265)</f>
        <v>0</v>
      </c>
      <c r="E264" s="2">
        <f t="shared" si="104"/>
        <v>0</v>
      </c>
      <c r="F264" s="2">
        <f t="shared" si="104"/>
        <v>0</v>
      </c>
      <c r="G264" s="2">
        <f t="shared" si="104"/>
        <v>0</v>
      </c>
      <c r="H264" s="2">
        <f t="shared" si="104"/>
        <v>0</v>
      </c>
      <c r="I264" s="2">
        <f t="shared" si="104"/>
        <v>0</v>
      </c>
      <c r="J264" s="2">
        <f t="shared" si="104"/>
        <v>0</v>
      </c>
      <c r="K264" s="14">
        <f t="shared" si="104"/>
        <v>0</v>
      </c>
      <c r="L264" s="2">
        <f t="shared" si="104"/>
        <v>0</v>
      </c>
      <c r="M264" s="2">
        <f t="shared" si="104"/>
        <v>1220.3</v>
      </c>
      <c r="N264" s="2">
        <f t="shared" si="104"/>
        <v>4068458.4</v>
      </c>
      <c r="O264" s="2">
        <f t="shared" si="104"/>
        <v>0</v>
      </c>
      <c r="P264" s="2">
        <f t="shared" si="104"/>
        <v>0</v>
      </c>
      <c r="Q264" s="2">
        <f t="shared" si="104"/>
        <v>0</v>
      </c>
      <c r="R264" s="2">
        <f t="shared" si="104"/>
        <v>0</v>
      </c>
      <c r="S264" s="2">
        <f t="shared" si="104"/>
        <v>0</v>
      </c>
      <c r="T264" s="2">
        <f t="shared" si="104"/>
        <v>0</v>
      </c>
      <c r="U264" s="2">
        <f t="shared" si="104"/>
        <v>0</v>
      </c>
      <c r="V264" s="18">
        <f>C264+C731</f>
        <v>31337108.399999999</v>
      </c>
    </row>
    <row r="265" spans="1:22" ht="24.9" customHeight="1">
      <c r="A265" s="37" t="s">
        <v>1494</v>
      </c>
      <c r="B265" s="1" t="s">
        <v>1218</v>
      </c>
      <c r="C265" s="2">
        <f t="shared" ref="C265" si="105">D265+L265+N265+P265+R265+S265+T265+U265</f>
        <v>4068458.4</v>
      </c>
      <c r="D265" s="3">
        <f t="shared" ref="D265" si="106"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>
      <c r="A266" s="53" t="s">
        <v>332</v>
      </c>
      <c r="B266" s="53"/>
      <c r="C266" s="2">
        <f>SUM(C267)</f>
        <v>2367169.1</v>
      </c>
      <c r="D266" s="2">
        <f t="shared" ref="D266:U266" si="107">SUM(D267:D267)</f>
        <v>0</v>
      </c>
      <c r="E266" s="2">
        <f t="shared" si="107"/>
        <v>0</v>
      </c>
      <c r="F266" s="2">
        <f t="shared" si="107"/>
        <v>0</v>
      </c>
      <c r="G266" s="2">
        <f t="shared" si="107"/>
        <v>0</v>
      </c>
      <c r="H266" s="2">
        <f t="shared" si="107"/>
        <v>0</v>
      </c>
      <c r="I266" s="2">
        <f t="shared" si="107"/>
        <v>0</v>
      </c>
      <c r="J266" s="2">
        <f t="shared" si="107"/>
        <v>0</v>
      </c>
      <c r="K266" s="14">
        <f t="shared" si="107"/>
        <v>0</v>
      </c>
      <c r="L266" s="2">
        <f t="shared" si="107"/>
        <v>0</v>
      </c>
      <c r="M266" s="2">
        <f t="shared" si="107"/>
        <v>488.37</v>
      </c>
      <c r="N266" s="2">
        <f t="shared" si="107"/>
        <v>2367169.1</v>
      </c>
      <c r="O266" s="2">
        <f t="shared" si="107"/>
        <v>0</v>
      </c>
      <c r="P266" s="2">
        <f t="shared" si="107"/>
        <v>0</v>
      </c>
      <c r="Q266" s="2">
        <f t="shared" si="107"/>
        <v>0</v>
      </c>
      <c r="R266" s="2">
        <f t="shared" si="107"/>
        <v>0</v>
      </c>
      <c r="S266" s="2">
        <f t="shared" si="107"/>
        <v>0</v>
      </c>
      <c r="T266" s="2">
        <f t="shared" si="107"/>
        <v>0</v>
      </c>
      <c r="U266" s="2">
        <f t="shared" si="107"/>
        <v>0</v>
      </c>
      <c r="V266" s="18">
        <f>C266</f>
        <v>2367169.1</v>
      </c>
    </row>
    <row r="267" spans="1:22" ht="24.9" customHeight="1">
      <c r="A267" s="36" t="s">
        <v>1495</v>
      </c>
      <c r="B267" s="8" t="s">
        <v>1213</v>
      </c>
      <c r="C267" s="2">
        <f t="shared" si="101"/>
        <v>2367169.1</v>
      </c>
      <c r="D267" s="3">
        <f t="shared" ref="D267" si="108"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 t="shared" ref="V267" si="109">N267/M267</f>
        <v>4847.081311300858</v>
      </c>
    </row>
    <row r="268" spans="1:22" ht="40.200000000000003" customHeight="1">
      <c r="A268" s="53" t="s">
        <v>336</v>
      </c>
      <c r="B268" s="53"/>
      <c r="C268" s="2">
        <f>SUM(C269)</f>
        <v>1083858.1100000001</v>
      </c>
      <c r="D268" s="2">
        <f t="shared" ref="D268:U268" si="110">SUM(D269)</f>
        <v>0</v>
      </c>
      <c r="E268" s="2">
        <f t="shared" si="110"/>
        <v>0</v>
      </c>
      <c r="F268" s="2">
        <f t="shared" si="110"/>
        <v>0</v>
      </c>
      <c r="G268" s="2">
        <f t="shared" si="110"/>
        <v>0</v>
      </c>
      <c r="H268" s="2">
        <f t="shared" si="110"/>
        <v>0</v>
      </c>
      <c r="I268" s="2">
        <f t="shared" si="110"/>
        <v>0</v>
      </c>
      <c r="J268" s="2">
        <f t="shared" si="110"/>
        <v>0</v>
      </c>
      <c r="K268" s="14">
        <f t="shared" si="110"/>
        <v>0</v>
      </c>
      <c r="L268" s="2">
        <f t="shared" si="110"/>
        <v>0</v>
      </c>
      <c r="M268" s="2">
        <f t="shared" si="110"/>
        <v>321.10000000000002</v>
      </c>
      <c r="N268" s="2">
        <f t="shared" si="110"/>
        <v>1059307.8500000001</v>
      </c>
      <c r="O268" s="2">
        <f t="shared" si="110"/>
        <v>0</v>
      </c>
      <c r="P268" s="2">
        <f t="shared" si="110"/>
        <v>0</v>
      </c>
      <c r="Q268" s="2">
        <f t="shared" si="110"/>
        <v>0</v>
      </c>
      <c r="R268" s="2">
        <f t="shared" si="110"/>
        <v>0</v>
      </c>
      <c r="S268" s="2">
        <f t="shared" si="110"/>
        <v>0</v>
      </c>
      <c r="T268" s="2">
        <f t="shared" si="110"/>
        <v>0</v>
      </c>
      <c r="U268" s="2">
        <f t="shared" si="110"/>
        <v>24550.26</v>
      </c>
      <c r="V268" s="18">
        <f>C268</f>
        <v>1083858.1100000001</v>
      </c>
    </row>
    <row r="269" spans="1:22" ht="21.9" customHeight="1">
      <c r="A269" s="37" t="s">
        <v>1496</v>
      </c>
      <c r="B269" s="8" t="s">
        <v>337</v>
      </c>
      <c r="C269" s="2">
        <f t="shared" si="101"/>
        <v>1083858.1100000001</v>
      </c>
      <c r="D269" s="3">
        <f t="shared" ref="D269" si="111"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200000000000003" customHeight="1">
      <c r="A270" s="53" t="s">
        <v>1284</v>
      </c>
      <c r="B270" s="53"/>
      <c r="C270" s="2">
        <f>SUM(C271:C283)</f>
        <v>51998849.679999992</v>
      </c>
      <c r="D270" s="2">
        <f t="shared" ref="D270:U270" si="112">SUM(D271:D283)</f>
        <v>713279.95</v>
      </c>
      <c r="E270" s="2">
        <f t="shared" si="112"/>
        <v>316423.8</v>
      </c>
      <c r="F270" s="2">
        <f t="shared" si="112"/>
        <v>0</v>
      </c>
      <c r="G270" s="2">
        <f t="shared" si="112"/>
        <v>203648.15</v>
      </c>
      <c r="H270" s="2">
        <f t="shared" si="112"/>
        <v>0</v>
      </c>
      <c r="I270" s="2">
        <f t="shared" si="112"/>
        <v>193208</v>
      </c>
      <c r="J270" s="2">
        <f t="shared" si="112"/>
        <v>0</v>
      </c>
      <c r="K270" s="14">
        <f t="shared" si="112"/>
        <v>0</v>
      </c>
      <c r="L270" s="2">
        <f t="shared" si="112"/>
        <v>0</v>
      </c>
      <c r="M270" s="2">
        <f t="shared" si="112"/>
        <v>7845</v>
      </c>
      <c r="N270" s="2">
        <f t="shared" si="112"/>
        <v>25612943.949999999</v>
      </c>
      <c r="O270" s="2">
        <f t="shared" si="112"/>
        <v>0</v>
      </c>
      <c r="P270" s="2">
        <f t="shared" si="112"/>
        <v>0</v>
      </c>
      <c r="Q270" s="2">
        <f t="shared" si="112"/>
        <v>9809.4</v>
      </c>
      <c r="R270" s="2">
        <f t="shared" si="112"/>
        <v>22910394.800000001</v>
      </c>
      <c r="S270" s="2">
        <f t="shared" si="112"/>
        <v>488565.26</v>
      </c>
      <c r="T270" s="2">
        <f t="shared" si="112"/>
        <v>0</v>
      </c>
      <c r="U270" s="2">
        <f t="shared" si="112"/>
        <v>2273665.7200000002</v>
      </c>
      <c r="V270" s="18">
        <f>C270+C734+C1133</f>
        <v>294632471.80000001</v>
      </c>
    </row>
    <row r="271" spans="1:22" ht="21.9" customHeight="1">
      <c r="A271" s="37" t="s">
        <v>1497</v>
      </c>
      <c r="B271" s="8" t="s">
        <v>338</v>
      </c>
      <c r="C271" s="2">
        <f t="shared" si="101"/>
        <v>2925706.35</v>
      </c>
      <c r="D271" s="3">
        <f t="shared" ref="D271:D283" si="113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114">N271/M271</f>
        <v>3103.5535602559739</v>
      </c>
    </row>
    <row r="272" spans="1:22" ht="21.9" customHeight="1">
      <c r="A272" s="37" t="s">
        <v>1498</v>
      </c>
      <c r="B272" s="8" t="s">
        <v>339</v>
      </c>
      <c r="C272" s="2">
        <f t="shared" si="101"/>
        <v>3929419.09</v>
      </c>
      <c r="D272" s="3">
        <f t="shared" si="113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114"/>
        <v>3096.7366155937029</v>
      </c>
    </row>
    <row r="273" spans="1:22" ht="21.9" customHeight="1">
      <c r="A273" s="37" t="s">
        <v>1499</v>
      </c>
      <c r="B273" s="8" t="s">
        <v>340</v>
      </c>
      <c r="C273" s="2">
        <f t="shared" si="101"/>
        <v>4817880.9799999995</v>
      </c>
      <c r="D273" s="3">
        <f t="shared" si="113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114"/>
        <v>2964.71859999244</v>
      </c>
    </row>
    <row r="274" spans="1:22" ht="21.9" customHeight="1">
      <c r="A274" s="37" t="s">
        <v>1500</v>
      </c>
      <c r="B274" s="8" t="s">
        <v>341</v>
      </c>
      <c r="C274" s="2">
        <f t="shared" si="101"/>
        <v>4998407.29</v>
      </c>
      <c r="D274" s="3">
        <f t="shared" si="113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114"/>
        <v>2937.7836222355049</v>
      </c>
    </row>
    <row r="275" spans="1:22" ht="21.9" customHeight="1">
      <c r="A275" s="37" t="s">
        <v>1501</v>
      </c>
      <c r="B275" s="8" t="s">
        <v>342</v>
      </c>
      <c r="C275" s="2">
        <f t="shared" si="101"/>
        <v>4568951.93</v>
      </c>
      <c r="D275" s="3">
        <f t="shared" si="113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114"/>
        <v>#DIV/0!</v>
      </c>
    </row>
    <row r="276" spans="1:22" ht="21.9" customHeight="1">
      <c r="A276" s="37" t="s">
        <v>1502</v>
      </c>
      <c r="B276" s="8" t="s">
        <v>344</v>
      </c>
      <c r="C276" s="2">
        <f t="shared" si="101"/>
        <v>4381271.97</v>
      </c>
      <c r="D276" s="3">
        <f t="shared" si="113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114"/>
        <v>#DIV/0!</v>
      </c>
    </row>
    <row r="277" spans="1:22" ht="21.9" customHeight="1">
      <c r="A277" s="37" t="s">
        <v>1503</v>
      </c>
      <c r="B277" s="8" t="s">
        <v>345</v>
      </c>
      <c r="C277" s="2">
        <f t="shared" si="101"/>
        <v>4530496.58</v>
      </c>
      <c r="D277" s="3">
        <f t="shared" si="113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114"/>
        <v>#DIV/0!</v>
      </c>
    </row>
    <row r="278" spans="1:22" ht="21.9" customHeight="1">
      <c r="A278" s="37" t="s">
        <v>1504</v>
      </c>
      <c r="B278" s="8" t="s">
        <v>346</v>
      </c>
      <c r="C278" s="2">
        <f t="shared" si="101"/>
        <v>4528460.6399999997</v>
      </c>
      <c r="D278" s="3">
        <f t="shared" si="113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114"/>
        <v>#DIV/0!</v>
      </c>
    </row>
    <row r="279" spans="1:22" ht="21.9" customHeight="1">
      <c r="A279" s="37" t="s">
        <v>1505</v>
      </c>
      <c r="B279" s="8" t="s">
        <v>343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1.9" customHeight="1">
      <c r="A280" s="37" t="s">
        <v>1506</v>
      </c>
      <c r="B280" s="8" t="s">
        <v>1066</v>
      </c>
      <c r="C280" s="2">
        <f t="shared" si="101"/>
        <v>3104305.26</v>
      </c>
      <c r="D280" s="3">
        <f t="shared" si="113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114"/>
        <v>#DIV/0!</v>
      </c>
    </row>
    <row r="281" spans="1:22" ht="21.9" customHeight="1">
      <c r="A281" s="37" t="s">
        <v>1507</v>
      </c>
      <c r="B281" s="8" t="s">
        <v>1027</v>
      </c>
      <c r="C281" s="2">
        <f t="shared" ref="C281" si="115">D281+L281+N281+P281+R281+S281+T281+U281</f>
        <v>435666.08</v>
      </c>
      <c r="D281" s="3">
        <f t="shared" ref="D281" si="116"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>
        <f>N743/M743</f>
        <v>5500</v>
      </c>
    </row>
    <row r="282" spans="1:22" ht="21.9" customHeight="1">
      <c r="A282" s="37" t="s">
        <v>1508</v>
      </c>
      <c r="B282" s="8" t="s">
        <v>1067</v>
      </c>
      <c r="C282" s="2">
        <f t="shared" si="101"/>
        <v>8063449.2299999995</v>
      </c>
      <c r="D282" s="3">
        <f t="shared" si="113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114"/>
        <v>5328.1704423592491</v>
      </c>
    </row>
    <row r="283" spans="1:22" ht="21.9" customHeight="1">
      <c r="A283" s="37" t="s">
        <v>1509</v>
      </c>
      <c r="B283" s="8" t="s">
        <v>371</v>
      </c>
      <c r="C283" s="2">
        <f>D283+L283+N283+P283+R283+S283+T283+U283</f>
        <v>5609632.9100000001</v>
      </c>
      <c r="D283" s="3">
        <f t="shared" si="113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114"/>
        <v>3169.8599393405498</v>
      </c>
    </row>
    <row r="284" spans="1:22" s="16" customFormat="1" ht="24.9" customHeight="1">
      <c r="A284" s="61" t="s">
        <v>208</v>
      </c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15"/>
    </row>
    <row r="285" spans="1:22" ht="24.9" customHeight="1">
      <c r="A285" s="62" t="s">
        <v>209</v>
      </c>
      <c r="B285" s="62"/>
      <c r="C285" s="2">
        <f>C286+C291+C313+C315+C319+C321+C325+C327+C331+C333+C339+C347+C349+C351+C355+C357+C360+C362+C364+C368+C372+C379+C381+C403+C405+C415+C423+C425+C427+C446+C448+C450+C453+C457+C695+C699+C701+C704+C715+C717+C721+C723+C727+C729+C731+C734+C751+C754</f>
        <v>1781264788.99</v>
      </c>
      <c r="D285" s="2">
        <f t="shared" ref="D285:U285" si="117">D286+D291+D313+D315+D319+D321+D325+D327+D331+D333+D339+D347+D349+D351+D355+D357+D360+D362+D364+D368+D372+D379+D381+D403+D405+D415+D423+D425+D427+D446+D448+D450+D453+D457+D695+D699+D701+D704+D715+D717+D721+D723+D727+D729+D731+D734+D751+D754</f>
        <v>396273958.12</v>
      </c>
      <c r="E285" s="2">
        <f t="shared" si="117"/>
        <v>68236859.74000001</v>
      </c>
      <c r="F285" s="2">
        <f t="shared" si="117"/>
        <v>185145918.47000003</v>
      </c>
      <c r="G285" s="2">
        <f t="shared" si="117"/>
        <v>52147521.109999999</v>
      </c>
      <c r="H285" s="2">
        <f t="shared" si="117"/>
        <v>41486027.740000002</v>
      </c>
      <c r="I285" s="2">
        <f t="shared" si="117"/>
        <v>49257631.060000002</v>
      </c>
      <c r="J285" s="2">
        <f t="shared" si="117"/>
        <v>0</v>
      </c>
      <c r="K285" s="47">
        <f t="shared" si="117"/>
        <v>39</v>
      </c>
      <c r="L285" s="2">
        <f t="shared" si="117"/>
        <v>85500000</v>
      </c>
      <c r="M285" s="2">
        <f t="shared" si="117"/>
        <v>164482.22000000006</v>
      </c>
      <c r="N285" s="2">
        <f t="shared" si="117"/>
        <v>860016047.68999994</v>
      </c>
      <c r="O285" s="2">
        <f t="shared" si="117"/>
        <v>3422.65</v>
      </c>
      <c r="P285" s="2">
        <f t="shared" si="117"/>
        <v>4598573.41</v>
      </c>
      <c r="Q285" s="2">
        <f t="shared" si="117"/>
        <v>129287.04000000004</v>
      </c>
      <c r="R285" s="2">
        <f t="shared" si="117"/>
        <v>382990446.38</v>
      </c>
      <c r="S285" s="2">
        <f t="shared" si="117"/>
        <v>7342232.3200000003</v>
      </c>
      <c r="T285" s="2">
        <f t="shared" si="117"/>
        <v>0</v>
      </c>
      <c r="U285" s="2">
        <f t="shared" si="117"/>
        <v>44543531.069999993</v>
      </c>
    </row>
    <row r="286" spans="1:22" ht="45" customHeight="1">
      <c r="A286" s="53" t="s">
        <v>1283</v>
      </c>
      <c r="B286" s="53"/>
      <c r="C286" s="2">
        <f>SUM(C287:C290)</f>
        <v>17757941</v>
      </c>
      <c r="D286" s="2">
        <f t="shared" ref="D286:U286" si="118">SUM(D287:D290)</f>
        <v>1799365</v>
      </c>
      <c r="E286" s="2">
        <f t="shared" si="118"/>
        <v>787045</v>
      </c>
      <c r="F286" s="2">
        <f t="shared" si="118"/>
        <v>664335</v>
      </c>
      <c r="G286" s="2">
        <f t="shared" si="118"/>
        <v>189810</v>
      </c>
      <c r="H286" s="2">
        <f t="shared" si="118"/>
        <v>0</v>
      </c>
      <c r="I286" s="2">
        <f t="shared" si="118"/>
        <v>158175</v>
      </c>
      <c r="J286" s="2">
        <f t="shared" si="118"/>
        <v>0</v>
      </c>
      <c r="K286" s="14">
        <f t="shared" si="118"/>
        <v>0</v>
      </c>
      <c r="L286" s="2">
        <f t="shared" si="118"/>
        <v>0</v>
      </c>
      <c r="M286" s="2">
        <f t="shared" si="118"/>
        <v>1654</v>
      </c>
      <c r="N286" s="2">
        <f t="shared" si="118"/>
        <v>8360516</v>
      </c>
      <c r="O286" s="2">
        <f t="shared" si="118"/>
        <v>0</v>
      </c>
      <c r="P286" s="2">
        <f t="shared" si="118"/>
        <v>0</v>
      </c>
      <c r="Q286" s="2">
        <f t="shared" si="118"/>
        <v>2066.02</v>
      </c>
      <c r="R286" s="2">
        <f t="shared" si="118"/>
        <v>6198060</v>
      </c>
      <c r="S286" s="2">
        <f t="shared" si="118"/>
        <v>0</v>
      </c>
      <c r="T286" s="2">
        <f t="shared" si="118"/>
        <v>0</v>
      </c>
      <c r="U286" s="2">
        <f t="shared" si="118"/>
        <v>1400000</v>
      </c>
    </row>
    <row r="287" spans="1:22" ht="21.9" customHeight="1">
      <c r="A287" s="37" t="s">
        <v>1539</v>
      </c>
      <c r="B287" s="38" t="s">
        <v>20</v>
      </c>
      <c r="C287" s="2">
        <f>D287+L287+N287+P287+R287+S287+T287+U287</f>
        <v>5211050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532</v>
      </c>
      <c r="N287" s="3">
        <f>M287*5500</f>
        <v>2926000</v>
      </c>
      <c r="O287" s="3">
        <v>0</v>
      </c>
      <c r="P287" s="3">
        <v>0</v>
      </c>
      <c r="Q287" s="3">
        <v>647.5</v>
      </c>
      <c r="R287" s="3">
        <f>Q287*3000</f>
        <v>1942500</v>
      </c>
      <c r="S287" s="3">
        <v>0</v>
      </c>
      <c r="T287" s="3">
        <v>0</v>
      </c>
      <c r="U287" s="3">
        <v>100000</v>
      </c>
      <c r="V287" s="6">
        <f>N287/M287</f>
        <v>5500</v>
      </c>
    </row>
    <row r="288" spans="1:22" ht="21.9" customHeight="1">
      <c r="A288" s="37" t="s">
        <v>1540</v>
      </c>
      <c r="B288" s="38" t="s">
        <v>21</v>
      </c>
      <c r="C288" s="2">
        <f>D288+L288+N288+P288+R288+S288+T288+U288</f>
        <v>3134801</v>
      </c>
      <c r="D288" s="3">
        <f>SUM(E288:J288)</f>
        <v>658905</v>
      </c>
      <c r="E288" s="3">
        <f>350*337.9</f>
        <v>118264.99999999999</v>
      </c>
      <c r="F288" s="3">
        <f>1050*337.9</f>
        <v>354795</v>
      </c>
      <c r="G288" s="3">
        <f>300*337.9</f>
        <v>101370</v>
      </c>
      <c r="H288" s="3">
        <f>500*0</f>
        <v>0</v>
      </c>
      <c r="I288" s="3">
        <f>250*337.9</f>
        <v>84475</v>
      </c>
      <c r="J288" s="3">
        <f>350*0</f>
        <v>0</v>
      </c>
      <c r="K288" s="4">
        <v>0</v>
      </c>
      <c r="L288" s="3">
        <v>0</v>
      </c>
      <c r="M288" s="3">
        <v>196</v>
      </c>
      <c r="N288" s="3">
        <f>M288*3686</f>
        <v>722456</v>
      </c>
      <c r="O288" s="3">
        <v>0</v>
      </c>
      <c r="P288" s="3">
        <v>0</v>
      </c>
      <c r="Q288" s="3">
        <v>384.48</v>
      </c>
      <c r="R288" s="3">
        <f>Q288*3000</f>
        <v>1153440</v>
      </c>
      <c r="S288" s="3">
        <v>0</v>
      </c>
      <c r="T288" s="3">
        <v>0</v>
      </c>
      <c r="U288" s="3">
        <v>600000</v>
      </c>
      <c r="V288" s="6">
        <f>N288/M288</f>
        <v>3686</v>
      </c>
    </row>
    <row r="289" spans="1:22" ht="21.9" customHeight="1">
      <c r="A289" s="37" t="s">
        <v>1541</v>
      </c>
      <c r="B289" s="39" t="s">
        <v>22</v>
      </c>
      <c r="C289" s="2">
        <f>D289+L289+N289+P289+R289+S289+T289+U289</f>
        <v>2795040</v>
      </c>
      <c r="D289" s="3">
        <f>SUM(E289:J289)</f>
        <v>574860</v>
      </c>
      <c r="E289" s="3">
        <f>350*294.8</f>
        <v>103180</v>
      </c>
      <c r="F289" s="3">
        <f>1050*294.8</f>
        <v>309540</v>
      </c>
      <c r="G289" s="3">
        <f>300*294.8</f>
        <v>88440</v>
      </c>
      <c r="H289" s="3">
        <f>500*0</f>
        <v>0</v>
      </c>
      <c r="I289" s="3">
        <f>250*294.8</f>
        <v>73700</v>
      </c>
      <c r="J289" s="3">
        <f>350*0</f>
        <v>0</v>
      </c>
      <c r="K289" s="4">
        <v>0</v>
      </c>
      <c r="L289" s="3">
        <v>0</v>
      </c>
      <c r="M289" s="3">
        <v>210</v>
      </c>
      <c r="N289" s="3">
        <f>M289*3686</f>
        <v>774060</v>
      </c>
      <c r="O289" s="3">
        <v>0</v>
      </c>
      <c r="P289" s="3">
        <v>0</v>
      </c>
      <c r="Q289" s="3">
        <v>282.04000000000002</v>
      </c>
      <c r="R289" s="3">
        <f>Q289*3000</f>
        <v>846120.00000000012</v>
      </c>
      <c r="S289" s="3">
        <v>0</v>
      </c>
      <c r="T289" s="3">
        <v>0</v>
      </c>
      <c r="U289" s="3">
        <v>600000</v>
      </c>
      <c r="V289" s="6">
        <f>N289/M289</f>
        <v>3686</v>
      </c>
    </row>
    <row r="290" spans="1:22" ht="21.9" customHeight="1">
      <c r="A290" s="37" t="s">
        <v>1542</v>
      </c>
      <c r="B290" s="51" t="s">
        <v>23</v>
      </c>
      <c r="C290" s="2">
        <f>D290+L290+N290+P290+R290+S290+T290+U290</f>
        <v>6617050</v>
      </c>
      <c r="D290" s="3">
        <f>SUM(E290:J290)</f>
        <v>323050</v>
      </c>
      <c r="E290" s="3">
        <f>350*923</f>
        <v>323050</v>
      </c>
      <c r="F290" s="3">
        <f>800*0</f>
        <v>0</v>
      </c>
      <c r="G290" s="3">
        <v>0</v>
      </c>
      <c r="H290" s="3">
        <f>400*0</f>
        <v>0</v>
      </c>
      <c r="I290" s="3">
        <v>0</v>
      </c>
      <c r="J290" s="3">
        <f>350*0</f>
        <v>0</v>
      </c>
      <c r="K290" s="4">
        <v>0</v>
      </c>
      <c r="L290" s="3">
        <v>0</v>
      </c>
      <c r="M290" s="3">
        <v>716</v>
      </c>
      <c r="N290" s="3">
        <f>M290*5500</f>
        <v>3938000</v>
      </c>
      <c r="O290" s="3">
        <v>0</v>
      </c>
      <c r="P290" s="3">
        <v>0</v>
      </c>
      <c r="Q290" s="3">
        <v>752</v>
      </c>
      <c r="R290" s="3">
        <f>Q290*3000</f>
        <v>2256000</v>
      </c>
      <c r="S290" s="3">
        <v>0</v>
      </c>
      <c r="T290" s="3">
        <v>0</v>
      </c>
      <c r="U290" s="3">
        <v>100000</v>
      </c>
      <c r="V290" s="6">
        <f>N290/M290</f>
        <v>5500</v>
      </c>
    </row>
    <row r="291" spans="1:22" ht="45" customHeight="1">
      <c r="A291" s="53" t="s">
        <v>0</v>
      </c>
      <c r="B291" s="53"/>
      <c r="C291" s="2">
        <f>SUM(C292:C312)</f>
        <v>137938223.91</v>
      </c>
      <c r="D291" s="2">
        <f t="shared" ref="D291:U291" si="119">SUM(D292:D312)</f>
        <v>20801965</v>
      </c>
      <c r="E291" s="2">
        <f t="shared" si="119"/>
        <v>3098165</v>
      </c>
      <c r="F291" s="2">
        <f t="shared" si="119"/>
        <v>9294495</v>
      </c>
      <c r="G291" s="2">
        <f t="shared" si="119"/>
        <v>2655570</v>
      </c>
      <c r="H291" s="2">
        <f t="shared" si="119"/>
        <v>3540760</v>
      </c>
      <c r="I291" s="2">
        <f t="shared" si="119"/>
        <v>2212975</v>
      </c>
      <c r="J291" s="2">
        <f t="shared" si="119"/>
        <v>0</v>
      </c>
      <c r="K291" s="14">
        <f t="shared" si="119"/>
        <v>10</v>
      </c>
      <c r="L291" s="2">
        <f t="shared" si="119"/>
        <v>22400000</v>
      </c>
      <c r="M291" s="2">
        <f t="shared" si="119"/>
        <v>12953.690000000002</v>
      </c>
      <c r="N291" s="2">
        <f t="shared" si="119"/>
        <v>62573341.020000003</v>
      </c>
      <c r="O291" s="2">
        <f t="shared" si="119"/>
        <v>498</v>
      </c>
      <c r="P291" s="2">
        <f t="shared" si="119"/>
        <v>597600</v>
      </c>
      <c r="Q291" s="2">
        <f t="shared" si="119"/>
        <v>9403.2999999999993</v>
      </c>
      <c r="R291" s="2">
        <f t="shared" si="119"/>
        <v>28209900</v>
      </c>
      <c r="S291" s="2">
        <f t="shared" si="119"/>
        <v>0</v>
      </c>
      <c r="T291" s="2">
        <f t="shared" si="119"/>
        <v>0</v>
      </c>
      <c r="U291" s="2">
        <f t="shared" si="119"/>
        <v>3355417.89</v>
      </c>
    </row>
    <row r="292" spans="1:22" ht="23.1" customHeight="1">
      <c r="A292" s="37" t="s">
        <v>1543</v>
      </c>
      <c r="B292" s="19" t="s">
        <v>40</v>
      </c>
      <c r="C292" s="2">
        <f t="shared" ref="C292:C356" si="120">D292+L292+N292+P292+R292+S292+T292+U292</f>
        <v>3781250</v>
      </c>
      <c r="D292" s="3">
        <f t="shared" ref="D292:D312" si="121">SUM(E292:J292)</f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4">
        <v>0</v>
      </c>
      <c r="L292" s="3">
        <v>0</v>
      </c>
      <c r="M292" s="3">
        <v>687.5</v>
      </c>
      <c r="N292" s="3">
        <f t="shared" ref="N292:N293" si="122">M292*5500</f>
        <v>3781250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6">
        <f t="shared" ref="V292:V312" si="123">N292/M292</f>
        <v>5500</v>
      </c>
    </row>
    <row r="293" spans="1:22" ht="23.1" customHeight="1">
      <c r="A293" s="37" t="s">
        <v>1544</v>
      </c>
      <c r="B293" s="8" t="s">
        <v>44</v>
      </c>
      <c r="C293" s="2">
        <f t="shared" si="120"/>
        <v>4675000</v>
      </c>
      <c r="D293" s="3">
        <f t="shared" si="121"/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850</v>
      </c>
      <c r="N293" s="3">
        <f t="shared" si="122"/>
        <v>4675000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si="123"/>
        <v>5500</v>
      </c>
    </row>
    <row r="294" spans="1:22" ht="23.1" customHeight="1">
      <c r="A294" s="37" t="s">
        <v>1545</v>
      </c>
      <c r="B294" s="8" t="s">
        <v>17</v>
      </c>
      <c r="C294" s="2">
        <f t="shared" si="120"/>
        <v>17110090.440000001</v>
      </c>
      <c r="D294" s="3">
        <f t="shared" si="121"/>
        <v>4928655</v>
      </c>
      <c r="E294" s="3">
        <f>350*2097.3</f>
        <v>734055.00000000012</v>
      </c>
      <c r="F294" s="3">
        <f>1050*2097.3</f>
        <v>2202165</v>
      </c>
      <c r="G294" s="3">
        <f>300*2097.3</f>
        <v>629190</v>
      </c>
      <c r="H294" s="3">
        <f>400*2097.3</f>
        <v>838920.00000000012</v>
      </c>
      <c r="I294" s="3">
        <f>250*2097.3</f>
        <v>524325</v>
      </c>
      <c r="J294" s="3">
        <f>350*0</f>
        <v>0</v>
      </c>
      <c r="K294" s="4">
        <v>0</v>
      </c>
      <c r="L294" s="3">
        <v>0</v>
      </c>
      <c r="M294" s="3">
        <v>1315</v>
      </c>
      <c r="N294" s="3">
        <f>M294*5500</f>
        <v>7232500</v>
      </c>
      <c r="O294" s="3">
        <v>0</v>
      </c>
      <c r="P294" s="3">
        <v>0</v>
      </c>
      <c r="Q294" s="3">
        <v>1500</v>
      </c>
      <c r="R294" s="3">
        <f>Q294*3000</f>
        <v>4500000</v>
      </c>
      <c r="S294" s="3">
        <v>0</v>
      </c>
      <c r="T294" s="3">
        <v>0</v>
      </c>
      <c r="U294" s="3">
        <v>448935.44</v>
      </c>
      <c r="V294" s="6">
        <f t="shared" si="123"/>
        <v>5500</v>
      </c>
    </row>
    <row r="295" spans="1:22" ht="23.1" customHeight="1">
      <c r="A295" s="37" t="s">
        <v>1546</v>
      </c>
      <c r="B295" s="8" t="s">
        <v>47</v>
      </c>
      <c r="C295" s="2">
        <f t="shared" si="120"/>
        <v>1409650</v>
      </c>
      <c r="D295" s="3">
        <f t="shared" si="121"/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256.3</v>
      </c>
      <c r="N295" s="3">
        <f t="shared" ref="N295:N301" si="124">M295*5500</f>
        <v>1409650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6">
        <f t="shared" si="123"/>
        <v>5500</v>
      </c>
    </row>
    <row r="296" spans="1:22" ht="23.1" customHeight="1">
      <c r="A296" s="37" t="s">
        <v>1547</v>
      </c>
      <c r="B296" s="8" t="s">
        <v>32</v>
      </c>
      <c r="C296" s="2">
        <f t="shared" si="120"/>
        <v>9910290</v>
      </c>
      <c r="D296" s="3">
        <f t="shared" si="121"/>
        <v>2341540</v>
      </c>
      <c r="E296" s="3">
        <f>350*996.4</f>
        <v>348740</v>
      </c>
      <c r="F296" s="3">
        <f>1050*996.4</f>
        <v>1046220</v>
      </c>
      <c r="G296" s="3">
        <f>300*996.4</f>
        <v>298920</v>
      </c>
      <c r="H296" s="3">
        <f>400*996.4</f>
        <v>398560</v>
      </c>
      <c r="I296" s="3">
        <f>250*996.4</f>
        <v>249100</v>
      </c>
      <c r="J296" s="3">
        <f>350*0</f>
        <v>0</v>
      </c>
      <c r="K296" s="4">
        <v>0</v>
      </c>
      <c r="L296" s="3">
        <v>0</v>
      </c>
      <c r="M296" s="3">
        <v>774.3</v>
      </c>
      <c r="N296" s="3">
        <f t="shared" si="124"/>
        <v>4258650</v>
      </c>
      <c r="O296" s="3">
        <v>498</v>
      </c>
      <c r="P296" s="3">
        <f>O296*1200</f>
        <v>597600</v>
      </c>
      <c r="Q296" s="3">
        <v>837.5</v>
      </c>
      <c r="R296" s="3">
        <f>Q296*3000</f>
        <v>2512500</v>
      </c>
      <c r="S296" s="3">
        <v>0</v>
      </c>
      <c r="T296" s="3">
        <v>0</v>
      </c>
      <c r="U296" s="3">
        <v>200000</v>
      </c>
      <c r="V296" s="6">
        <f t="shared" si="123"/>
        <v>5500</v>
      </c>
    </row>
    <row r="297" spans="1:22" ht="23.1" customHeight="1">
      <c r="A297" s="37" t="s">
        <v>1548</v>
      </c>
      <c r="B297" s="8" t="s">
        <v>51</v>
      </c>
      <c r="C297" s="2">
        <f t="shared" si="120"/>
        <v>6689100</v>
      </c>
      <c r="D297" s="3">
        <f t="shared" si="121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1216.2</v>
      </c>
      <c r="N297" s="3">
        <f t="shared" si="124"/>
        <v>6689100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6">
        <f t="shared" si="123"/>
        <v>5500</v>
      </c>
    </row>
    <row r="298" spans="1:22" ht="21.9" customHeight="1">
      <c r="A298" s="37" t="s">
        <v>1549</v>
      </c>
      <c r="B298" s="19" t="s">
        <v>1036</v>
      </c>
      <c r="C298" s="2">
        <f>D298+L298+N298+P298+R298+S298+T298+U298</f>
        <v>3856760.0000000005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610.32000000000005</v>
      </c>
      <c r="N298" s="20">
        <f>M298*5500</f>
        <v>3356760.0000000005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500000</v>
      </c>
      <c r="V298" s="6">
        <f>N298/M298</f>
        <v>5500</v>
      </c>
    </row>
    <row r="299" spans="1:22" ht="21.9" customHeight="1">
      <c r="A299" s="37" t="s">
        <v>1550</v>
      </c>
      <c r="B299" s="8" t="s">
        <v>54</v>
      </c>
      <c r="C299" s="2">
        <f>D299+L299+N299+P299+R299+S299+T299+U299</f>
        <v>2745000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0</v>
      </c>
      <c r="L299" s="3">
        <v>0</v>
      </c>
      <c r="M299" s="3">
        <v>390</v>
      </c>
      <c r="N299" s="20">
        <f>M299*5500</f>
        <v>2145000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600000</v>
      </c>
      <c r="V299" s="6">
        <f>N299/M299</f>
        <v>5500</v>
      </c>
    </row>
    <row r="300" spans="1:22" ht="23.1" customHeight="1">
      <c r="A300" s="37" t="s">
        <v>1551</v>
      </c>
      <c r="B300" s="8" t="s">
        <v>52</v>
      </c>
      <c r="C300" s="2">
        <f t="shared" si="120"/>
        <v>2772000</v>
      </c>
      <c r="D300" s="3">
        <f t="shared" si="121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504</v>
      </c>
      <c r="N300" s="3">
        <f t="shared" si="124"/>
        <v>2772000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6">
        <f t="shared" si="123"/>
        <v>5500</v>
      </c>
    </row>
    <row r="301" spans="1:22" ht="23.1" customHeight="1">
      <c r="A301" s="37" t="s">
        <v>1552</v>
      </c>
      <c r="B301" s="19" t="s">
        <v>58</v>
      </c>
      <c r="C301" s="2">
        <f t="shared" si="120"/>
        <v>3345649.9999999995</v>
      </c>
      <c r="D301" s="3">
        <f t="shared" si="121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608.29999999999995</v>
      </c>
      <c r="N301" s="3">
        <f t="shared" si="124"/>
        <v>3345649.9999999995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 t="shared" si="123"/>
        <v>5500</v>
      </c>
    </row>
    <row r="302" spans="1:22" ht="23.1" customHeight="1">
      <c r="A302" s="37" t="s">
        <v>1553</v>
      </c>
      <c r="B302" s="8" t="s">
        <v>33</v>
      </c>
      <c r="C302" s="2">
        <f t="shared" si="120"/>
        <v>3384485.2</v>
      </c>
      <c r="D302" s="3">
        <f t="shared" si="121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918.2</v>
      </c>
      <c r="N302" s="3">
        <f t="shared" ref="N302:N304" si="125">M302*3686</f>
        <v>3384485.2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6">
        <f t="shared" si="123"/>
        <v>3686</v>
      </c>
    </row>
    <row r="303" spans="1:22" ht="23.1" customHeight="1">
      <c r="A303" s="37" t="s">
        <v>1554</v>
      </c>
      <c r="B303" s="8" t="s">
        <v>1290</v>
      </c>
      <c r="C303" s="2">
        <f t="shared" ref="C303" si="126">D303+L303+N303+P303+R303+S303+T303+U303</f>
        <v>14300000</v>
      </c>
      <c r="D303" s="3">
        <f t="shared" ref="D303" si="127">SUM(E303:J303)</f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6</v>
      </c>
      <c r="L303" s="3">
        <f>K303*2300000</f>
        <v>13800000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500000</v>
      </c>
      <c r="V303" s="6" t="e">
        <f t="shared" si="123"/>
        <v>#DIV/0!</v>
      </c>
    </row>
    <row r="304" spans="1:22" ht="23.1" customHeight="1">
      <c r="A304" s="37" t="s">
        <v>1555</v>
      </c>
      <c r="B304" s="8" t="s">
        <v>34</v>
      </c>
      <c r="C304" s="2">
        <f t="shared" si="120"/>
        <v>1232229.8</v>
      </c>
      <c r="D304" s="3">
        <f t="shared" si="121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334.3</v>
      </c>
      <c r="N304" s="3">
        <f t="shared" si="125"/>
        <v>1232229.8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6">
        <f t="shared" si="123"/>
        <v>3686</v>
      </c>
    </row>
    <row r="305" spans="1:22" ht="23.1" customHeight="1">
      <c r="A305" s="37" t="s">
        <v>1556</v>
      </c>
      <c r="B305" s="8" t="s">
        <v>61</v>
      </c>
      <c r="C305" s="2">
        <f>D305+L305+N305+P305+R305+S305+T305+U305</f>
        <v>5286600</v>
      </c>
      <c r="D305" s="3">
        <f>SUM(E305:J305)</f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961.2</v>
      </c>
      <c r="N305" s="3">
        <f>M305*5500</f>
        <v>5286600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>N305/M305</f>
        <v>5500</v>
      </c>
    </row>
    <row r="306" spans="1:22" ht="23.1" customHeight="1">
      <c r="A306" s="37" t="s">
        <v>1557</v>
      </c>
      <c r="B306" s="8" t="s">
        <v>60</v>
      </c>
      <c r="C306" s="2">
        <f t="shared" si="120"/>
        <v>300000</v>
      </c>
      <c r="D306" s="3">
        <f t="shared" si="121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0</v>
      </c>
      <c r="L306" s="3">
        <v>0</v>
      </c>
      <c r="M306" s="3">
        <v>0</v>
      </c>
      <c r="N306" s="3">
        <f t="shared" ref="N306" si="128">M306*5500</f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300000</v>
      </c>
      <c r="V306" s="6" t="e">
        <f t="shared" si="123"/>
        <v>#DIV/0!</v>
      </c>
    </row>
    <row r="307" spans="1:22" ht="23.1" customHeight="1">
      <c r="A307" s="37" t="s">
        <v>1558</v>
      </c>
      <c r="B307" s="8" t="s">
        <v>64</v>
      </c>
      <c r="C307" s="2">
        <f t="shared" si="120"/>
        <v>300000</v>
      </c>
      <c r="D307" s="3">
        <f t="shared" si="121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f t="shared" ref="N307:N309" si="129">M307*3686</f>
        <v>0</v>
      </c>
      <c r="O307" s="3">
        <v>0</v>
      </c>
      <c r="P307" s="3">
        <v>0</v>
      </c>
      <c r="Q307" s="3">
        <v>0</v>
      </c>
      <c r="R307" s="3">
        <f t="shared" ref="R307:R308" si="130">Q307*3000</f>
        <v>0</v>
      </c>
      <c r="S307" s="3">
        <v>0</v>
      </c>
      <c r="T307" s="3">
        <v>0</v>
      </c>
      <c r="U307" s="3">
        <v>300000</v>
      </c>
      <c r="V307" s="6" t="e">
        <f t="shared" si="123"/>
        <v>#DIV/0!</v>
      </c>
    </row>
    <row r="308" spans="1:22" ht="23.1" customHeight="1">
      <c r="A308" s="37" t="s">
        <v>1559</v>
      </c>
      <c r="B308" s="8" t="s">
        <v>989</v>
      </c>
      <c r="C308" s="2">
        <f t="shared" si="120"/>
        <v>9951322.8200000003</v>
      </c>
      <c r="D308" s="3">
        <f t="shared" si="121"/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4">
        <v>0</v>
      </c>
      <c r="L308" s="3">
        <v>0</v>
      </c>
      <c r="M308" s="3">
        <v>1006.87</v>
      </c>
      <c r="N308" s="3">
        <f t="shared" si="129"/>
        <v>3711322.82</v>
      </c>
      <c r="O308" s="3">
        <v>0</v>
      </c>
      <c r="P308" s="3">
        <v>0</v>
      </c>
      <c r="Q308" s="3">
        <v>2080</v>
      </c>
      <c r="R308" s="3">
        <f t="shared" si="130"/>
        <v>6240000</v>
      </c>
      <c r="S308" s="3">
        <v>0</v>
      </c>
      <c r="T308" s="3">
        <v>0</v>
      </c>
      <c r="U308" s="3">
        <v>0</v>
      </c>
      <c r="V308" s="6">
        <f t="shared" si="123"/>
        <v>3686</v>
      </c>
    </row>
    <row r="309" spans="1:22" ht="23.1" customHeight="1">
      <c r="A309" s="37" t="s">
        <v>1560</v>
      </c>
      <c r="B309" s="19" t="s">
        <v>36</v>
      </c>
      <c r="C309" s="2">
        <f t="shared" si="120"/>
        <v>4556264.5999999996</v>
      </c>
      <c r="D309" s="3">
        <f t="shared" si="121"/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4">
        <v>0</v>
      </c>
      <c r="L309" s="3">
        <v>0</v>
      </c>
      <c r="M309" s="3">
        <v>1236.0999999999999</v>
      </c>
      <c r="N309" s="3">
        <f t="shared" si="129"/>
        <v>4556264.5999999996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6">
        <f t="shared" si="123"/>
        <v>3686</v>
      </c>
    </row>
    <row r="310" spans="1:22" ht="23.1" customHeight="1">
      <c r="A310" s="37" t="s">
        <v>1561</v>
      </c>
      <c r="B310" s="8" t="s">
        <v>1019</v>
      </c>
      <c r="C310" s="2">
        <f t="shared" si="120"/>
        <v>8800000</v>
      </c>
      <c r="D310" s="3">
        <f t="shared" si="121"/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4</v>
      </c>
      <c r="L310" s="3">
        <f>K310*2150000</f>
        <v>8600000</v>
      </c>
      <c r="M310" s="3">
        <v>0</v>
      </c>
      <c r="N310" s="20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200000</v>
      </c>
      <c r="V310" s="6" t="e">
        <f t="shared" si="123"/>
        <v>#DIV/0!</v>
      </c>
    </row>
    <row r="311" spans="1:22" ht="23.1" customHeight="1">
      <c r="A311" s="37" t="s">
        <v>1562</v>
      </c>
      <c r="B311" s="19" t="s">
        <v>37</v>
      </c>
      <c r="C311" s="2">
        <f t="shared" si="120"/>
        <v>14957400</v>
      </c>
      <c r="D311" s="3">
        <f t="shared" si="121"/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4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4985.8</v>
      </c>
      <c r="R311" s="3">
        <f>Q311*3000</f>
        <v>14957400</v>
      </c>
      <c r="S311" s="3">
        <v>0</v>
      </c>
      <c r="T311" s="3">
        <v>0</v>
      </c>
      <c r="U311" s="3">
        <v>0</v>
      </c>
      <c r="V311" s="6" t="e">
        <f t="shared" si="123"/>
        <v>#DIV/0!</v>
      </c>
    </row>
    <row r="312" spans="1:22" ht="23.1" customHeight="1">
      <c r="A312" s="37" t="s">
        <v>1563</v>
      </c>
      <c r="B312" s="19" t="s">
        <v>38</v>
      </c>
      <c r="C312" s="2">
        <f t="shared" si="120"/>
        <v>18575131.050000001</v>
      </c>
      <c r="D312" s="3">
        <f t="shared" si="121"/>
        <v>13531770</v>
      </c>
      <c r="E312" s="3">
        <f>350*5758.2</f>
        <v>2015370</v>
      </c>
      <c r="F312" s="3">
        <f>1050*5758.2</f>
        <v>6046110</v>
      </c>
      <c r="G312" s="3">
        <f>300*5758.2</f>
        <v>1727460</v>
      </c>
      <c r="H312" s="3">
        <f>400*5758.2</f>
        <v>2303280</v>
      </c>
      <c r="I312" s="3">
        <f>250*5758.2</f>
        <v>1439550</v>
      </c>
      <c r="J312" s="3">
        <f>350*0</f>
        <v>0</v>
      </c>
      <c r="K312" s="4">
        <v>0</v>
      </c>
      <c r="L312" s="3">
        <v>0</v>
      </c>
      <c r="M312" s="3">
        <v>1285.0999999999999</v>
      </c>
      <c r="N312" s="3">
        <f>M312*3686</f>
        <v>4736878.5999999996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306482.45</v>
      </c>
      <c r="V312" s="6">
        <f t="shared" si="123"/>
        <v>3686</v>
      </c>
    </row>
    <row r="313" spans="1:22" ht="42.9" customHeight="1">
      <c r="A313" s="53" t="s">
        <v>30</v>
      </c>
      <c r="B313" s="53"/>
      <c r="C313" s="2">
        <f>SUM(C314)</f>
        <v>300000</v>
      </c>
      <c r="D313" s="2">
        <f t="shared" ref="D313:U313" si="131">SUM(D314)</f>
        <v>0</v>
      </c>
      <c r="E313" s="2">
        <f t="shared" si="131"/>
        <v>0</v>
      </c>
      <c r="F313" s="2">
        <f t="shared" si="131"/>
        <v>0</v>
      </c>
      <c r="G313" s="2">
        <f t="shared" si="131"/>
        <v>0</v>
      </c>
      <c r="H313" s="2">
        <f t="shared" si="131"/>
        <v>0</v>
      </c>
      <c r="I313" s="2">
        <f t="shared" si="131"/>
        <v>0</v>
      </c>
      <c r="J313" s="2">
        <f t="shared" si="131"/>
        <v>0</v>
      </c>
      <c r="K313" s="14">
        <f t="shared" si="131"/>
        <v>0</v>
      </c>
      <c r="L313" s="2">
        <f t="shared" si="131"/>
        <v>0</v>
      </c>
      <c r="M313" s="2">
        <f t="shared" si="131"/>
        <v>0</v>
      </c>
      <c r="N313" s="2">
        <f t="shared" si="131"/>
        <v>0</v>
      </c>
      <c r="O313" s="2">
        <f t="shared" si="131"/>
        <v>0</v>
      </c>
      <c r="P313" s="2">
        <f t="shared" si="131"/>
        <v>0</v>
      </c>
      <c r="Q313" s="2">
        <f t="shared" si="131"/>
        <v>0</v>
      </c>
      <c r="R313" s="2">
        <f t="shared" si="131"/>
        <v>0</v>
      </c>
      <c r="S313" s="2">
        <f t="shared" si="131"/>
        <v>0</v>
      </c>
      <c r="T313" s="2">
        <f t="shared" si="131"/>
        <v>0</v>
      </c>
      <c r="U313" s="2">
        <f t="shared" si="131"/>
        <v>300000</v>
      </c>
      <c r="V313" s="18">
        <f>C313</f>
        <v>300000</v>
      </c>
    </row>
    <row r="314" spans="1:22" ht="21.9" customHeight="1">
      <c r="A314" s="37" t="s">
        <v>1564</v>
      </c>
      <c r="B314" s="8" t="s">
        <v>31</v>
      </c>
      <c r="C314" s="2">
        <f t="shared" si="120"/>
        <v>300000</v>
      </c>
      <c r="D314" s="3">
        <f t="shared" ref="D314" si="132"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0</v>
      </c>
      <c r="N314" s="3">
        <f t="shared" ref="N314" si="133">M314*5500</f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300000</v>
      </c>
      <c r="V314" s="6" t="e">
        <f>N314/M314</f>
        <v>#DIV/0!</v>
      </c>
    </row>
    <row r="315" spans="1:22" ht="42.9" customHeight="1">
      <c r="A315" s="53" t="s">
        <v>74</v>
      </c>
      <c r="B315" s="53"/>
      <c r="C315" s="2">
        <f>SUM(C316:C318)</f>
        <v>7505000</v>
      </c>
      <c r="D315" s="2">
        <f t="shared" ref="D315:U315" si="134">SUM(D316:D318)</f>
        <v>0</v>
      </c>
      <c r="E315" s="2">
        <f t="shared" si="134"/>
        <v>0</v>
      </c>
      <c r="F315" s="2">
        <f t="shared" si="134"/>
        <v>0</v>
      </c>
      <c r="G315" s="2">
        <f t="shared" si="134"/>
        <v>0</v>
      </c>
      <c r="H315" s="2">
        <f t="shared" si="134"/>
        <v>0</v>
      </c>
      <c r="I315" s="2">
        <f t="shared" si="134"/>
        <v>0</v>
      </c>
      <c r="J315" s="2">
        <f t="shared" si="134"/>
        <v>0</v>
      </c>
      <c r="K315" s="14">
        <f t="shared" si="134"/>
        <v>0</v>
      </c>
      <c r="L315" s="2">
        <f t="shared" si="134"/>
        <v>0</v>
      </c>
      <c r="M315" s="2">
        <f t="shared" si="134"/>
        <v>1310</v>
      </c>
      <c r="N315" s="2">
        <f t="shared" si="134"/>
        <v>7205000</v>
      </c>
      <c r="O315" s="2">
        <f t="shared" si="134"/>
        <v>0</v>
      </c>
      <c r="P315" s="2">
        <f t="shared" si="134"/>
        <v>0</v>
      </c>
      <c r="Q315" s="2">
        <f t="shared" si="134"/>
        <v>0</v>
      </c>
      <c r="R315" s="2">
        <f t="shared" si="134"/>
        <v>0</v>
      </c>
      <c r="S315" s="2">
        <f t="shared" si="134"/>
        <v>0</v>
      </c>
      <c r="T315" s="2">
        <f t="shared" si="134"/>
        <v>0</v>
      </c>
      <c r="U315" s="2">
        <f t="shared" si="134"/>
        <v>300000</v>
      </c>
    </row>
    <row r="316" spans="1:22" ht="23.1" customHeight="1">
      <c r="A316" s="36" t="s">
        <v>1565</v>
      </c>
      <c r="B316" s="8" t="s">
        <v>984</v>
      </c>
      <c r="C316" s="2">
        <f t="shared" si="120"/>
        <v>300000</v>
      </c>
      <c r="D316" s="3">
        <f t="shared" ref="D316:D318" si="135"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11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300000</v>
      </c>
      <c r="V316" s="6" t="e">
        <f t="shared" ref="V316:V318" si="136">N316/M316</f>
        <v>#DIV/0!</v>
      </c>
    </row>
    <row r="317" spans="1:22" ht="23.1" customHeight="1">
      <c r="A317" s="36" t="s">
        <v>1566</v>
      </c>
      <c r="B317" s="8" t="s">
        <v>985</v>
      </c>
      <c r="C317" s="2">
        <f t="shared" si="120"/>
        <v>4565000</v>
      </c>
      <c r="D317" s="3">
        <f t="shared" si="135"/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3">
        <v>830</v>
      </c>
      <c r="N317" s="3">
        <f t="shared" ref="N317:N318" si="137">M317*5500</f>
        <v>4565000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5">
        <v>0</v>
      </c>
      <c r="U317" s="3">
        <v>0</v>
      </c>
      <c r="V317" s="6">
        <f t="shared" si="136"/>
        <v>5500</v>
      </c>
    </row>
    <row r="318" spans="1:22" ht="23.1" customHeight="1">
      <c r="A318" s="36" t="s">
        <v>1567</v>
      </c>
      <c r="B318" s="8" t="s">
        <v>986</v>
      </c>
      <c r="C318" s="2">
        <f t="shared" si="120"/>
        <v>2640000</v>
      </c>
      <c r="D318" s="3">
        <f t="shared" si="135"/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4">
        <v>0</v>
      </c>
      <c r="L318" s="3">
        <v>0</v>
      </c>
      <c r="M318" s="3">
        <v>480</v>
      </c>
      <c r="N318" s="3">
        <f t="shared" si="137"/>
        <v>2640000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5">
        <v>0</v>
      </c>
      <c r="U318" s="3">
        <v>0</v>
      </c>
      <c r="V318" s="6">
        <f t="shared" si="136"/>
        <v>5500</v>
      </c>
    </row>
    <row r="319" spans="1:22" ht="45" customHeight="1">
      <c r="A319" s="53" t="s">
        <v>1073</v>
      </c>
      <c r="B319" s="53"/>
      <c r="C319" s="2">
        <f>SUM(C320)</f>
        <v>2051640.0000000002</v>
      </c>
      <c r="D319" s="2">
        <f t="shared" ref="D319:U319" si="138">SUM(D320)</f>
        <v>0</v>
      </c>
      <c r="E319" s="2">
        <f t="shared" si="138"/>
        <v>0</v>
      </c>
      <c r="F319" s="2">
        <f t="shared" si="138"/>
        <v>0</v>
      </c>
      <c r="G319" s="2">
        <f t="shared" si="138"/>
        <v>0</v>
      </c>
      <c r="H319" s="2">
        <f t="shared" si="138"/>
        <v>0</v>
      </c>
      <c r="I319" s="2">
        <f t="shared" si="138"/>
        <v>0</v>
      </c>
      <c r="J319" s="2">
        <f t="shared" si="138"/>
        <v>0</v>
      </c>
      <c r="K319" s="14">
        <f t="shared" si="138"/>
        <v>0</v>
      </c>
      <c r="L319" s="2">
        <f t="shared" si="138"/>
        <v>0</v>
      </c>
      <c r="M319" s="2">
        <f t="shared" si="138"/>
        <v>0</v>
      </c>
      <c r="N319" s="2">
        <f t="shared" si="138"/>
        <v>0</v>
      </c>
      <c r="O319" s="2">
        <f t="shared" si="138"/>
        <v>323.25</v>
      </c>
      <c r="P319" s="2">
        <f t="shared" si="138"/>
        <v>387900</v>
      </c>
      <c r="Q319" s="2">
        <f t="shared" si="138"/>
        <v>554.58000000000004</v>
      </c>
      <c r="R319" s="2">
        <f t="shared" si="138"/>
        <v>1663740.0000000002</v>
      </c>
      <c r="S319" s="2">
        <f t="shared" si="138"/>
        <v>0</v>
      </c>
      <c r="T319" s="2">
        <f t="shared" si="138"/>
        <v>0</v>
      </c>
      <c r="U319" s="2">
        <f t="shared" si="138"/>
        <v>0</v>
      </c>
      <c r="V319" s="18">
        <f>C319</f>
        <v>2051640.0000000002</v>
      </c>
    </row>
    <row r="320" spans="1:22" ht="27" customHeight="1">
      <c r="A320" s="37" t="s">
        <v>1568</v>
      </c>
      <c r="B320" s="8" t="s">
        <v>1074</v>
      </c>
      <c r="C320" s="2">
        <f>D320+L320+N320+P320+R320+S320+T320+U320</f>
        <v>2051640.0000000002</v>
      </c>
      <c r="D320" s="3">
        <f>SUM(E320:J320)</f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4">
        <v>0</v>
      </c>
      <c r="L320" s="3">
        <v>0</v>
      </c>
      <c r="M320" s="3">
        <v>0</v>
      </c>
      <c r="N320" s="3">
        <v>0</v>
      </c>
      <c r="O320" s="3">
        <v>323.25</v>
      </c>
      <c r="P320" s="3">
        <f>O320*1200</f>
        <v>387900</v>
      </c>
      <c r="Q320" s="3">
        <v>554.58000000000004</v>
      </c>
      <c r="R320" s="3">
        <f>Q320*3000</f>
        <v>1663740.0000000002</v>
      </c>
      <c r="S320" s="3">
        <v>0</v>
      </c>
      <c r="T320" s="3">
        <v>0</v>
      </c>
      <c r="U320" s="3">
        <v>0</v>
      </c>
      <c r="V320" s="6" t="e">
        <f>N320/M320</f>
        <v>#DIV/0!</v>
      </c>
    </row>
    <row r="321" spans="1:258" ht="42.9" customHeight="1">
      <c r="A321" s="53" t="s">
        <v>2</v>
      </c>
      <c r="B321" s="53"/>
      <c r="C321" s="2">
        <f>SUM(C322:C324)</f>
        <v>12146800</v>
      </c>
      <c r="D321" s="2">
        <f t="shared" ref="D321:U321" si="139">SUM(D322:D324)</f>
        <v>802800</v>
      </c>
      <c r="E321" s="2">
        <f t="shared" si="139"/>
        <v>312200</v>
      </c>
      <c r="F321" s="2">
        <f t="shared" si="139"/>
        <v>0</v>
      </c>
      <c r="G321" s="2">
        <f t="shared" si="139"/>
        <v>267600</v>
      </c>
      <c r="H321" s="2">
        <f t="shared" si="139"/>
        <v>0</v>
      </c>
      <c r="I321" s="2">
        <f t="shared" si="139"/>
        <v>223000</v>
      </c>
      <c r="J321" s="2">
        <f t="shared" si="139"/>
        <v>0</v>
      </c>
      <c r="K321" s="14">
        <f t="shared" si="139"/>
        <v>0</v>
      </c>
      <c r="L321" s="2">
        <f t="shared" si="139"/>
        <v>0</v>
      </c>
      <c r="M321" s="2">
        <f t="shared" si="139"/>
        <v>1628</v>
      </c>
      <c r="N321" s="2">
        <f t="shared" si="139"/>
        <v>8954000</v>
      </c>
      <c r="O321" s="2">
        <f t="shared" si="139"/>
        <v>0</v>
      </c>
      <c r="P321" s="2">
        <f t="shared" si="139"/>
        <v>0</v>
      </c>
      <c r="Q321" s="2">
        <f t="shared" si="139"/>
        <v>730</v>
      </c>
      <c r="R321" s="2">
        <f t="shared" si="139"/>
        <v>2190000</v>
      </c>
      <c r="S321" s="2">
        <f t="shared" si="139"/>
        <v>0</v>
      </c>
      <c r="T321" s="2">
        <f t="shared" si="139"/>
        <v>0</v>
      </c>
      <c r="U321" s="2">
        <f t="shared" si="139"/>
        <v>200000</v>
      </c>
    </row>
    <row r="322" spans="1:258" ht="23.1" customHeight="1">
      <c r="A322" s="37" t="s">
        <v>1569</v>
      </c>
      <c r="B322" s="8" t="s">
        <v>77</v>
      </c>
      <c r="C322" s="2">
        <f t="shared" si="120"/>
        <v>6756800</v>
      </c>
      <c r="D322" s="3">
        <f t="shared" ref="D322:D324" si="140">SUM(E322:J322)</f>
        <v>802800</v>
      </c>
      <c r="E322" s="3">
        <f>350*892</f>
        <v>312200</v>
      </c>
      <c r="F322" s="3">
        <f>800*0</f>
        <v>0</v>
      </c>
      <c r="G322" s="3">
        <f>300*892</f>
        <v>267600</v>
      </c>
      <c r="H322" s="3">
        <f>400*0</f>
        <v>0</v>
      </c>
      <c r="I322" s="3">
        <f>250*892</f>
        <v>223000</v>
      </c>
      <c r="J322" s="3">
        <f>350*0</f>
        <v>0</v>
      </c>
      <c r="K322" s="4">
        <v>0</v>
      </c>
      <c r="L322" s="3">
        <v>0</v>
      </c>
      <c r="M322" s="5">
        <v>648</v>
      </c>
      <c r="N322" s="3">
        <f t="shared" ref="N322:N324" si="141">M322*5500</f>
        <v>3564000</v>
      </c>
      <c r="O322" s="3">
        <v>0</v>
      </c>
      <c r="P322" s="3">
        <v>0</v>
      </c>
      <c r="Q322" s="3">
        <v>730</v>
      </c>
      <c r="R322" s="3">
        <f>Q322*3000</f>
        <v>2190000</v>
      </c>
      <c r="S322" s="5">
        <v>0</v>
      </c>
      <c r="T322" s="3">
        <v>0</v>
      </c>
      <c r="U322" s="3">
        <v>200000</v>
      </c>
      <c r="V322" s="6">
        <f t="shared" ref="V322:V324" si="142">N322/M322</f>
        <v>5500</v>
      </c>
    </row>
    <row r="323" spans="1:258" ht="23.1" customHeight="1">
      <c r="A323" s="37" t="s">
        <v>1570</v>
      </c>
      <c r="B323" s="8" t="s">
        <v>79</v>
      </c>
      <c r="C323" s="2">
        <f t="shared" si="120"/>
        <v>2695000</v>
      </c>
      <c r="D323" s="3">
        <f t="shared" si="140"/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4">
        <v>0</v>
      </c>
      <c r="L323" s="3">
        <v>0</v>
      </c>
      <c r="M323" s="5">
        <v>490</v>
      </c>
      <c r="N323" s="3">
        <f t="shared" si="141"/>
        <v>2695000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5">
        <v>0</v>
      </c>
      <c r="V323" s="6">
        <f t="shared" si="142"/>
        <v>5500</v>
      </c>
    </row>
    <row r="324" spans="1:258" ht="23.1" customHeight="1">
      <c r="A324" s="37" t="s">
        <v>1571</v>
      </c>
      <c r="B324" s="8" t="s">
        <v>80</v>
      </c>
      <c r="C324" s="2">
        <f t="shared" si="120"/>
        <v>2695000</v>
      </c>
      <c r="D324" s="3">
        <f t="shared" si="140"/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490</v>
      </c>
      <c r="N324" s="3">
        <f t="shared" si="141"/>
        <v>2695000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5">
        <v>0</v>
      </c>
      <c r="V324" s="6">
        <f t="shared" si="142"/>
        <v>5500</v>
      </c>
    </row>
    <row r="325" spans="1:258" ht="45" customHeight="1">
      <c r="A325" s="53" t="s">
        <v>81</v>
      </c>
      <c r="B325" s="53"/>
      <c r="C325" s="2">
        <f>SUM(C326)</f>
        <v>1495600</v>
      </c>
      <c r="D325" s="2">
        <f t="shared" ref="D325:U325" si="143">SUM(D326)</f>
        <v>117600</v>
      </c>
      <c r="E325" s="2">
        <f t="shared" si="143"/>
        <v>117600</v>
      </c>
      <c r="F325" s="2">
        <f t="shared" si="143"/>
        <v>0</v>
      </c>
      <c r="G325" s="2">
        <f t="shared" si="143"/>
        <v>0</v>
      </c>
      <c r="H325" s="2">
        <f t="shared" si="143"/>
        <v>0</v>
      </c>
      <c r="I325" s="2">
        <f t="shared" si="143"/>
        <v>0</v>
      </c>
      <c r="J325" s="2">
        <f t="shared" si="143"/>
        <v>0</v>
      </c>
      <c r="K325" s="14">
        <f t="shared" si="143"/>
        <v>0</v>
      </c>
      <c r="L325" s="2">
        <f t="shared" si="143"/>
        <v>0</v>
      </c>
      <c r="M325" s="2">
        <f t="shared" si="143"/>
        <v>0</v>
      </c>
      <c r="N325" s="2">
        <f t="shared" si="143"/>
        <v>0</v>
      </c>
      <c r="O325" s="2">
        <f t="shared" si="143"/>
        <v>0</v>
      </c>
      <c r="P325" s="2">
        <f t="shared" si="143"/>
        <v>0</v>
      </c>
      <c r="Q325" s="2">
        <f t="shared" si="143"/>
        <v>426</v>
      </c>
      <c r="R325" s="2">
        <f t="shared" si="143"/>
        <v>1278000</v>
      </c>
      <c r="S325" s="2">
        <f t="shared" si="143"/>
        <v>0</v>
      </c>
      <c r="T325" s="2">
        <f t="shared" si="143"/>
        <v>0</v>
      </c>
      <c r="U325" s="2">
        <f t="shared" si="143"/>
        <v>100000</v>
      </c>
      <c r="V325" s="18">
        <f>C325+C796</f>
        <v>3556450</v>
      </c>
    </row>
    <row r="326" spans="1:258" ht="21.9" customHeight="1">
      <c r="A326" s="36" t="s">
        <v>1572</v>
      </c>
      <c r="B326" s="1" t="s">
        <v>84</v>
      </c>
      <c r="C326" s="2">
        <f t="shared" si="120"/>
        <v>1495600</v>
      </c>
      <c r="D326" s="3">
        <f t="shared" ref="D326" si="144">SUM(E326:J326)</f>
        <v>117600</v>
      </c>
      <c r="E326" s="3">
        <f>350*336</f>
        <v>117600</v>
      </c>
      <c r="F326" s="3">
        <v>0</v>
      </c>
      <c r="G326" s="3">
        <v>0</v>
      </c>
      <c r="H326" s="3">
        <v>0</v>
      </c>
      <c r="I326" s="3">
        <v>0</v>
      </c>
      <c r="J326" s="3">
        <f>350*0</f>
        <v>0</v>
      </c>
      <c r="K326" s="11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426</v>
      </c>
      <c r="R326" s="3">
        <f>Q326*3000</f>
        <v>1278000</v>
      </c>
      <c r="S326" s="5">
        <v>0</v>
      </c>
      <c r="T326" s="5">
        <v>0</v>
      </c>
      <c r="U326" s="5">
        <v>100000</v>
      </c>
      <c r="V326" s="6" t="e">
        <f>N326/M326</f>
        <v>#DIV/0!</v>
      </c>
    </row>
    <row r="327" spans="1:258" ht="45" customHeight="1">
      <c r="A327" s="53" t="s">
        <v>823</v>
      </c>
      <c r="B327" s="53"/>
      <c r="C327" s="2">
        <f>SUM(C328:C330)</f>
        <v>7191218.4000000004</v>
      </c>
      <c r="D327" s="2">
        <f t="shared" ref="D327:U327" si="145">SUM(D328:D330)</f>
        <v>0</v>
      </c>
      <c r="E327" s="2">
        <f t="shared" si="145"/>
        <v>0</v>
      </c>
      <c r="F327" s="2">
        <f t="shared" si="145"/>
        <v>0</v>
      </c>
      <c r="G327" s="2">
        <f t="shared" si="145"/>
        <v>0</v>
      </c>
      <c r="H327" s="2">
        <f t="shared" si="145"/>
        <v>0</v>
      </c>
      <c r="I327" s="2">
        <f t="shared" si="145"/>
        <v>0</v>
      </c>
      <c r="J327" s="2">
        <f t="shared" si="145"/>
        <v>0</v>
      </c>
      <c r="K327" s="14">
        <f t="shared" si="145"/>
        <v>0</v>
      </c>
      <c r="L327" s="2">
        <f t="shared" si="145"/>
        <v>0</v>
      </c>
      <c r="M327" s="2">
        <f t="shared" si="145"/>
        <v>1154.4000000000001</v>
      </c>
      <c r="N327" s="2">
        <f t="shared" si="145"/>
        <v>4255118.4000000004</v>
      </c>
      <c r="O327" s="2">
        <f t="shared" si="145"/>
        <v>0</v>
      </c>
      <c r="P327" s="2">
        <f t="shared" si="145"/>
        <v>0</v>
      </c>
      <c r="Q327" s="2">
        <f t="shared" si="145"/>
        <v>878.7</v>
      </c>
      <c r="R327" s="2">
        <f t="shared" si="145"/>
        <v>2636100</v>
      </c>
      <c r="S327" s="2">
        <f t="shared" si="145"/>
        <v>0</v>
      </c>
      <c r="T327" s="2">
        <f t="shared" si="145"/>
        <v>0</v>
      </c>
      <c r="U327" s="2">
        <f t="shared" si="145"/>
        <v>300000</v>
      </c>
    </row>
    <row r="328" spans="1:258" ht="20.100000000000001" customHeight="1">
      <c r="A328" s="37" t="s">
        <v>1573</v>
      </c>
      <c r="B328" s="8" t="s">
        <v>88</v>
      </c>
      <c r="C328" s="2">
        <f>D328+L328+N328+P328+R328+S328+T328+U328</f>
        <v>2930370</v>
      </c>
      <c r="D328" s="3">
        <f>SUM(E328:J328)</f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4">
        <v>0</v>
      </c>
      <c r="L328" s="3">
        <v>0</v>
      </c>
      <c r="M328" s="3">
        <v>795</v>
      </c>
      <c r="N328" s="20">
        <f>M328*3686</f>
        <v>2930370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6">
        <f>N328/M328</f>
        <v>3686</v>
      </c>
    </row>
    <row r="329" spans="1:258" ht="21.9" customHeight="1">
      <c r="A329" s="37" t="s">
        <v>1574</v>
      </c>
      <c r="B329" s="8" t="s">
        <v>89</v>
      </c>
      <c r="C329" s="2">
        <f t="shared" si="120"/>
        <v>300000</v>
      </c>
      <c r="D329" s="3">
        <f t="shared" ref="D329:D330" si="146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3">
        <v>0</v>
      </c>
      <c r="N329" s="3">
        <f t="shared" ref="N329" si="147">M329*5500</f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300000</v>
      </c>
      <c r="V329" s="6" t="e">
        <f t="shared" ref="V329:V330" si="148">N329/M329</f>
        <v>#DIV/0!</v>
      </c>
    </row>
    <row r="330" spans="1:258" ht="21.9" customHeight="1">
      <c r="A330" s="37" t="s">
        <v>1575</v>
      </c>
      <c r="B330" s="8" t="s">
        <v>90</v>
      </c>
      <c r="C330" s="2">
        <f t="shared" si="120"/>
        <v>3960848.4</v>
      </c>
      <c r="D330" s="3">
        <f t="shared" si="146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11">
        <v>0</v>
      </c>
      <c r="L330" s="5">
        <v>0</v>
      </c>
      <c r="M330" s="5">
        <v>359.4</v>
      </c>
      <c r="N330" s="5">
        <f>M330*3686</f>
        <v>1324748.3999999999</v>
      </c>
      <c r="O330" s="5">
        <v>0</v>
      </c>
      <c r="P330" s="5">
        <v>0</v>
      </c>
      <c r="Q330" s="5">
        <v>878.7</v>
      </c>
      <c r="R330" s="3">
        <f>Q330*3000</f>
        <v>2636100</v>
      </c>
      <c r="S330" s="5">
        <v>0</v>
      </c>
      <c r="T330" s="5">
        <v>0</v>
      </c>
      <c r="U330" s="5">
        <v>0</v>
      </c>
      <c r="V330" s="6">
        <f t="shared" si="148"/>
        <v>3686</v>
      </c>
      <c r="IX330" s="25"/>
    </row>
    <row r="331" spans="1:258" ht="45" customHeight="1">
      <c r="A331" s="53" t="s">
        <v>92</v>
      </c>
      <c r="B331" s="53"/>
      <c r="C331" s="2">
        <f>SUM(C332)</f>
        <v>2370660</v>
      </c>
      <c r="D331" s="2">
        <f t="shared" ref="D331:U331" si="149">SUM(D332)</f>
        <v>176260</v>
      </c>
      <c r="E331" s="2">
        <f t="shared" si="149"/>
        <v>176260</v>
      </c>
      <c r="F331" s="2">
        <f t="shared" si="149"/>
        <v>0</v>
      </c>
      <c r="G331" s="2">
        <f t="shared" si="149"/>
        <v>0</v>
      </c>
      <c r="H331" s="2">
        <f t="shared" si="149"/>
        <v>0</v>
      </c>
      <c r="I331" s="2">
        <f t="shared" si="149"/>
        <v>0</v>
      </c>
      <c r="J331" s="2">
        <f t="shared" si="149"/>
        <v>0</v>
      </c>
      <c r="K331" s="14">
        <f t="shared" si="149"/>
        <v>0</v>
      </c>
      <c r="L331" s="2">
        <f t="shared" si="149"/>
        <v>0</v>
      </c>
      <c r="M331" s="2">
        <f t="shared" si="149"/>
        <v>380.8</v>
      </c>
      <c r="N331" s="2">
        <f t="shared" si="149"/>
        <v>2094400</v>
      </c>
      <c r="O331" s="2">
        <f t="shared" si="149"/>
        <v>0</v>
      </c>
      <c r="P331" s="2">
        <f t="shared" si="149"/>
        <v>0</v>
      </c>
      <c r="Q331" s="2">
        <f t="shared" si="149"/>
        <v>0</v>
      </c>
      <c r="R331" s="2">
        <f t="shared" si="149"/>
        <v>0</v>
      </c>
      <c r="S331" s="2">
        <f t="shared" si="149"/>
        <v>0</v>
      </c>
      <c r="T331" s="2">
        <f t="shared" si="149"/>
        <v>0</v>
      </c>
      <c r="U331" s="2">
        <f t="shared" si="149"/>
        <v>100000</v>
      </c>
      <c r="V331" s="18">
        <f>C331</f>
        <v>2370660</v>
      </c>
    </row>
    <row r="332" spans="1:258" ht="21.9" customHeight="1">
      <c r="A332" s="37" t="s">
        <v>1576</v>
      </c>
      <c r="B332" s="1" t="s">
        <v>91</v>
      </c>
      <c r="C332" s="2">
        <f t="shared" si="120"/>
        <v>2370660</v>
      </c>
      <c r="D332" s="3">
        <f t="shared" ref="D332" si="150">SUM(E332:J332)</f>
        <v>176260</v>
      </c>
      <c r="E332" s="3">
        <f>350*503.6</f>
        <v>176260</v>
      </c>
      <c r="F332" s="3">
        <v>0</v>
      </c>
      <c r="G332" s="3">
        <v>0</v>
      </c>
      <c r="H332" s="3">
        <f>400*0</f>
        <v>0</v>
      </c>
      <c r="I332" s="3">
        <v>0</v>
      </c>
      <c r="J332" s="3">
        <f>350*0</f>
        <v>0</v>
      </c>
      <c r="K332" s="4">
        <v>0</v>
      </c>
      <c r="L332" s="3">
        <v>0</v>
      </c>
      <c r="M332" s="5">
        <v>380.8</v>
      </c>
      <c r="N332" s="3">
        <f t="shared" ref="N332" si="151">M332*5500</f>
        <v>2094400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100000</v>
      </c>
      <c r="V332" s="6">
        <f>N332/M332</f>
        <v>5500</v>
      </c>
    </row>
    <row r="333" spans="1:258" ht="45" customHeight="1">
      <c r="A333" s="53" t="s">
        <v>93</v>
      </c>
      <c r="B333" s="53"/>
      <c r="C333" s="2">
        <f>SUM(C334:C338)</f>
        <v>16147084.120000001</v>
      </c>
      <c r="D333" s="2">
        <f t="shared" ref="D333:U333" si="152">SUM(D334:D338)</f>
        <v>1375212.12</v>
      </c>
      <c r="E333" s="2">
        <f t="shared" si="152"/>
        <v>151690</v>
      </c>
      <c r="F333" s="2">
        <f t="shared" si="152"/>
        <v>1093502.1200000001</v>
      </c>
      <c r="G333" s="2">
        <f t="shared" si="152"/>
        <v>130020</v>
      </c>
      <c r="H333" s="2">
        <f t="shared" si="152"/>
        <v>0</v>
      </c>
      <c r="I333" s="2">
        <f t="shared" si="152"/>
        <v>0</v>
      </c>
      <c r="J333" s="2">
        <f t="shared" si="152"/>
        <v>0</v>
      </c>
      <c r="K333" s="14">
        <f t="shared" si="152"/>
        <v>5</v>
      </c>
      <c r="L333" s="2">
        <f t="shared" si="152"/>
        <v>11500000</v>
      </c>
      <c r="M333" s="2">
        <f t="shared" si="152"/>
        <v>752</v>
      </c>
      <c r="N333" s="2">
        <f t="shared" si="152"/>
        <v>2771872</v>
      </c>
      <c r="O333" s="2">
        <f t="shared" si="152"/>
        <v>0</v>
      </c>
      <c r="P333" s="2">
        <f t="shared" si="152"/>
        <v>0</v>
      </c>
      <c r="Q333" s="2">
        <f t="shared" si="152"/>
        <v>0</v>
      </c>
      <c r="R333" s="2">
        <f t="shared" si="152"/>
        <v>0</v>
      </c>
      <c r="S333" s="2">
        <f t="shared" si="152"/>
        <v>0</v>
      </c>
      <c r="T333" s="2">
        <f t="shared" si="152"/>
        <v>0</v>
      </c>
      <c r="U333" s="2">
        <f t="shared" si="152"/>
        <v>500000</v>
      </c>
    </row>
    <row r="334" spans="1:258" s="26" customFormat="1" ht="21.9" customHeight="1">
      <c r="A334" s="37" t="s">
        <v>1577</v>
      </c>
      <c r="B334" s="8" t="s">
        <v>94</v>
      </c>
      <c r="C334" s="2">
        <f t="shared" si="120"/>
        <v>2771872</v>
      </c>
      <c r="D334" s="3">
        <f t="shared" ref="D334:D337" si="153">SUM(E334:J334)</f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5">
        <v>752</v>
      </c>
      <c r="N334" s="3">
        <f>M334*3686</f>
        <v>2771872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6">
        <f t="shared" ref="V334:V337" si="154">N334/M334</f>
        <v>3686</v>
      </c>
    </row>
    <row r="335" spans="1:258" s="6" customFormat="1" ht="21.9" customHeight="1">
      <c r="A335" s="37" t="s">
        <v>1578</v>
      </c>
      <c r="B335" s="8" t="s">
        <v>95</v>
      </c>
      <c r="C335" s="2">
        <f>D335+L335+N335+P335+R335+S335+T335+U335</f>
        <v>381710</v>
      </c>
      <c r="D335" s="3">
        <f>SUM(E335:J335)</f>
        <v>281710</v>
      </c>
      <c r="E335" s="5">
        <f>350*433.4</f>
        <v>151690</v>
      </c>
      <c r="F335" s="5">
        <f>800*0</f>
        <v>0</v>
      </c>
      <c r="G335" s="5">
        <f>300*433.4</f>
        <v>130020</v>
      </c>
      <c r="H335" s="5">
        <f>500*0</f>
        <v>0</v>
      </c>
      <c r="I335" s="5">
        <v>0</v>
      </c>
      <c r="J335" s="5">
        <f>350*0</f>
        <v>0</v>
      </c>
      <c r="K335" s="11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100000</v>
      </c>
      <c r="V335" s="6" t="e">
        <f>N335/M335</f>
        <v>#DIV/0!</v>
      </c>
    </row>
    <row r="336" spans="1:258" s="6" customFormat="1" ht="21.9" customHeight="1">
      <c r="A336" s="37" t="s">
        <v>1579</v>
      </c>
      <c r="B336" s="8" t="s">
        <v>98</v>
      </c>
      <c r="C336" s="2">
        <f t="shared" si="120"/>
        <v>4800000</v>
      </c>
      <c r="D336" s="3">
        <f t="shared" si="153"/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11">
        <v>2</v>
      </c>
      <c r="L336" s="5">
        <v>4600000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200000</v>
      </c>
      <c r="V336" s="6" t="e">
        <f t="shared" si="154"/>
        <v>#DIV/0!</v>
      </c>
    </row>
    <row r="337" spans="1:22" ht="21.9" customHeight="1">
      <c r="A337" s="37" t="s">
        <v>1580</v>
      </c>
      <c r="B337" s="8" t="s">
        <v>100</v>
      </c>
      <c r="C337" s="2">
        <f t="shared" si="120"/>
        <v>7100000</v>
      </c>
      <c r="D337" s="3">
        <f t="shared" si="153"/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3</v>
      </c>
      <c r="L337" s="3">
        <v>6900000</v>
      </c>
      <c r="M337" s="5">
        <v>0</v>
      </c>
      <c r="N337" s="5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200000</v>
      </c>
      <c r="V337" s="6" t="e">
        <f t="shared" si="154"/>
        <v>#DIV/0!</v>
      </c>
    </row>
    <row r="338" spans="1:22" ht="21.9" customHeight="1">
      <c r="A338" s="37" t="s">
        <v>1581</v>
      </c>
      <c r="B338" s="8" t="s">
        <v>1214</v>
      </c>
      <c r="C338" s="2">
        <f>D338+L338+N338+P338+R338+S338+T338+U338</f>
        <v>1093502.1200000001</v>
      </c>
      <c r="D338" s="3">
        <f>SUM(E338:J338)</f>
        <v>1093502.1200000001</v>
      </c>
      <c r="E338" s="3">
        <v>0</v>
      </c>
      <c r="F338" s="3">
        <v>1093502.1200000001</v>
      </c>
      <c r="G338" s="3">
        <v>0</v>
      </c>
      <c r="H338" s="3">
        <v>0</v>
      </c>
      <c r="I338" s="3">
        <v>0</v>
      </c>
      <c r="J338" s="3">
        <v>0</v>
      </c>
      <c r="K338" s="4">
        <v>0</v>
      </c>
      <c r="L338" s="3">
        <v>0</v>
      </c>
      <c r="M338" s="5">
        <v>0</v>
      </c>
      <c r="N338" s="5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6" t="e">
        <f>N338/M338</f>
        <v>#DIV/0!</v>
      </c>
    </row>
    <row r="339" spans="1:22" ht="50.25" customHeight="1">
      <c r="A339" s="53" t="s">
        <v>102</v>
      </c>
      <c r="B339" s="53"/>
      <c r="C339" s="2">
        <f>SUM(C340:C346)</f>
        <v>28122710</v>
      </c>
      <c r="D339" s="2">
        <f t="shared" ref="D339:U339" si="155">SUM(D340:D346)</f>
        <v>2151660</v>
      </c>
      <c r="E339" s="2">
        <f t="shared" si="155"/>
        <v>320460</v>
      </c>
      <c r="F339" s="2">
        <f t="shared" si="155"/>
        <v>961380</v>
      </c>
      <c r="G339" s="2">
        <f t="shared" si="155"/>
        <v>274680</v>
      </c>
      <c r="H339" s="2">
        <f t="shared" si="155"/>
        <v>366240</v>
      </c>
      <c r="I339" s="2">
        <f t="shared" si="155"/>
        <v>228900</v>
      </c>
      <c r="J339" s="2">
        <f t="shared" si="155"/>
        <v>0</v>
      </c>
      <c r="K339" s="14">
        <f t="shared" si="155"/>
        <v>0</v>
      </c>
      <c r="L339" s="2">
        <f t="shared" si="155"/>
        <v>0</v>
      </c>
      <c r="M339" s="2">
        <f t="shared" si="155"/>
        <v>4493.3999999999996</v>
      </c>
      <c r="N339" s="2">
        <f t="shared" si="155"/>
        <v>22945050</v>
      </c>
      <c r="O339" s="2">
        <f t="shared" si="155"/>
        <v>0</v>
      </c>
      <c r="P339" s="2">
        <f t="shared" si="155"/>
        <v>0</v>
      </c>
      <c r="Q339" s="2">
        <f t="shared" si="155"/>
        <v>942</v>
      </c>
      <c r="R339" s="2">
        <f t="shared" si="155"/>
        <v>2826000</v>
      </c>
      <c r="S339" s="2">
        <f t="shared" si="155"/>
        <v>0</v>
      </c>
      <c r="T339" s="2">
        <f t="shared" si="155"/>
        <v>0</v>
      </c>
      <c r="U339" s="2">
        <f t="shared" si="155"/>
        <v>200000</v>
      </c>
    </row>
    <row r="340" spans="1:22" s="17" customFormat="1" ht="21.9" customHeight="1">
      <c r="A340" s="37" t="s">
        <v>1582</v>
      </c>
      <c r="B340" s="8" t="s">
        <v>103</v>
      </c>
      <c r="C340" s="2">
        <f t="shared" si="120"/>
        <v>3696000</v>
      </c>
      <c r="D340" s="3">
        <f t="shared" ref="D340:D346" si="156"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4">
        <v>0</v>
      </c>
      <c r="L340" s="3">
        <v>0</v>
      </c>
      <c r="M340" s="5">
        <v>672</v>
      </c>
      <c r="N340" s="3">
        <f t="shared" ref="N340:N341" si="157">M340*5500</f>
        <v>3696000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6">
        <f t="shared" ref="V340:V346" si="158">N340/M340</f>
        <v>5500</v>
      </c>
    </row>
    <row r="341" spans="1:22" ht="21.9" customHeight="1">
      <c r="A341" s="37" t="s">
        <v>1583</v>
      </c>
      <c r="B341" s="8" t="s">
        <v>105</v>
      </c>
      <c r="C341" s="2">
        <f t="shared" si="120"/>
        <v>3696000</v>
      </c>
      <c r="D341" s="3">
        <f t="shared" si="156"/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4">
        <v>0</v>
      </c>
      <c r="L341" s="3">
        <v>0</v>
      </c>
      <c r="M341" s="5">
        <v>672</v>
      </c>
      <c r="N341" s="3">
        <f t="shared" si="157"/>
        <v>3696000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6">
        <f t="shared" si="158"/>
        <v>5500</v>
      </c>
    </row>
    <row r="342" spans="1:22" ht="21.9" customHeight="1">
      <c r="A342" s="37" t="s">
        <v>1584</v>
      </c>
      <c r="B342" s="8" t="s">
        <v>1212</v>
      </c>
      <c r="C342" s="2">
        <f t="shared" si="120"/>
        <v>3593850</v>
      </c>
      <c r="D342" s="3">
        <f t="shared" si="156"/>
        <v>0</v>
      </c>
      <c r="E342" s="3">
        <f>350*0</f>
        <v>0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5">
        <v>0</v>
      </c>
      <c r="M342" s="5">
        <v>975</v>
      </c>
      <c r="N342" s="5">
        <f>M342*3686</f>
        <v>3593850</v>
      </c>
      <c r="O342" s="5">
        <v>0</v>
      </c>
      <c r="P342" s="5">
        <v>0</v>
      </c>
      <c r="Q342" s="5">
        <v>0</v>
      </c>
      <c r="R342" s="5">
        <f>Q342*3000</f>
        <v>0</v>
      </c>
      <c r="S342" s="5">
        <v>0</v>
      </c>
      <c r="T342" s="5">
        <v>0</v>
      </c>
      <c r="U342" s="5">
        <v>0</v>
      </c>
      <c r="V342" s="6">
        <f t="shared" si="158"/>
        <v>3686</v>
      </c>
    </row>
    <row r="343" spans="1:22" ht="21" customHeight="1">
      <c r="A343" s="37" t="s">
        <v>1585</v>
      </c>
      <c r="B343" s="8" t="s">
        <v>108</v>
      </c>
      <c r="C343" s="2">
        <f t="shared" si="120"/>
        <v>5177660</v>
      </c>
      <c r="D343" s="3">
        <f t="shared" si="156"/>
        <v>2151660</v>
      </c>
      <c r="E343" s="3">
        <f>350*915.6</f>
        <v>320460</v>
      </c>
      <c r="F343" s="3">
        <f>1050*915.6</f>
        <v>961380</v>
      </c>
      <c r="G343" s="3">
        <f>300*915.6</f>
        <v>274680</v>
      </c>
      <c r="H343" s="3">
        <f>400*915.6</f>
        <v>366240</v>
      </c>
      <c r="I343" s="3">
        <f>250*915.6</f>
        <v>228900</v>
      </c>
      <c r="J343" s="3">
        <v>0</v>
      </c>
      <c r="K343" s="4">
        <v>0</v>
      </c>
      <c r="L343" s="3">
        <v>0</v>
      </c>
      <c r="M343" s="5">
        <v>0</v>
      </c>
      <c r="N343" s="5">
        <v>0</v>
      </c>
      <c r="O343" s="3">
        <v>0</v>
      </c>
      <c r="P343" s="3">
        <v>0</v>
      </c>
      <c r="Q343" s="3">
        <v>942</v>
      </c>
      <c r="R343" s="3">
        <f>Q343*3000</f>
        <v>2826000</v>
      </c>
      <c r="S343" s="3">
        <v>0</v>
      </c>
      <c r="T343" s="3">
        <v>0</v>
      </c>
      <c r="U343" s="3">
        <v>200000</v>
      </c>
      <c r="V343" s="6" t="e">
        <f t="shared" si="158"/>
        <v>#DIV/0!</v>
      </c>
    </row>
    <row r="344" spans="1:22" ht="21.9" customHeight="1">
      <c r="A344" s="37" t="s">
        <v>1586</v>
      </c>
      <c r="B344" s="8" t="s">
        <v>113</v>
      </c>
      <c r="C344" s="2">
        <f t="shared" si="120"/>
        <v>3696000</v>
      </c>
      <c r="D344" s="3">
        <f t="shared" si="156"/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5">
        <v>672</v>
      </c>
      <c r="N344" s="3">
        <f t="shared" ref="N344:N346" si="159">M344*5500</f>
        <v>3696000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6">
        <f t="shared" si="158"/>
        <v>5500</v>
      </c>
    </row>
    <row r="345" spans="1:22" ht="21.9" customHeight="1">
      <c r="A345" s="37" t="s">
        <v>1587</v>
      </c>
      <c r="B345" s="8" t="s">
        <v>114</v>
      </c>
      <c r="C345" s="2">
        <f t="shared" si="120"/>
        <v>4567200</v>
      </c>
      <c r="D345" s="3">
        <f t="shared" si="156"/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5">
        <v>830.4</v>
      </c>
      <c r="N345" s="3">
        <f t="shared" si="159"/>
        <v>4567200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6">
        <f t="shared" si="158"/>
        <v>5500</v>
      </c>
    </row>
    <row r="346" spans="1:22" ht="21.9" customHeight="1">
      <c r="A346" s="37" t="s">
        <v>1588</v>
      </c>
      <c r="B346" s="8" t="s">
        <v>115</v>
      </c>
      <c r="C346" s="2">
        <f t="shared" si="120"/>
        <v>3696000</v>
      </c>
      <c r="D346" s="3">
        <f t="shared" si="156"/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4">
        <v>0</v>
      </c>
      <c r="L346" s="3">
        <v>0</v>
      </c>
      <c r="M346" s="5">
        <v>672</v>
      </c>
      <c r="N346" s="3">
        <f t="shared" si="159"/>
        <v>3696000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6">
        <f t="shared" si="158"/>
        <v>5500</v>
      </c>
    </row>
    <row r="347" spans="1:22" ht="45" customHeight="1">
      <c r="A347" s="53" t="s">
        <v>116</v>
      </c>
      <c r="B347" s="53"/>
      <c r="C347" s="2">
        <f>SUM(C348)</f>
        <v>1540000</v>
      </c>
      <c r="D347" s="2">
        <f t="shared" ref="D347:U347" si="160">SUM(D348)</f>
        <v>0</v>
      </c>
      <c r="E347" s="2">
        <f t="shared" si="160"/>
        <v>0</v>
      </c>
      <c r="F347" s="2">
        <f t="shared" si="160"/>
        <v>0</v>
      </c>
      <c r="G347" s="2">
        <f t="shared" si="160"/>
        <v>0</v>
      </c>
      <c r="H347" s="2">
        <f t="shared" si="160"/>
        <v>0</v>
      </c>
      <c r="I347" s="2">
        <f t="shared" si="160"/>
        <v>0</v>
      </c>
      <c r="J347" s="2">
        <f t="shared" si="160"/>
        <v>0</v>
      </c>
      <c r="K347" s="14">
        <f t="shared" si="160"/>
        <v>0</v>
      </c>
      <c r="L347" s="2">
        <f t="shared" si="160"/>
        <v>0</v>
      </c>
      <c r="M347" s="2">
        <f t="shared" si="160"/>
        <v>280</v>
      </c>
      <c r="N347" s="2">
        <f t="shared" si="160"/>
        <v>1540000</v>
      </c>
      <c r="O347" s="2">
        <f t="shared" si="160"/>
        <v>0</v>
      </c>
      <c r="P347" s="2">
        <f t="shared" si="160"/>
        <v>0</v>
      </c>
      <c r="Q347" s="2">
        <f t="shared" si="160"/>
        <v>0</v>
      </c>
      <c r="R347" s="2">
        <f t="shared" si="160"/>
        <v>0</v>
      </c>
      <c r="S347" s="2">
        <f t="shared" si="160"/>
        <v>0</v>
      </c>
      <c r="T347" s="2">
        <f t="shared" si="160"/>
        <v>0</v>
      </c>
      <c r="U347" s="2">
        <f t="shared" si="160"/>
        <v>0</v>
      </c>
      <c r="V347" s="18"/>
    </row>
    <row r="348" spans="1:22" ht="21.9" customHeight="1">
      <c r="A348" s="37" t="s">
        <v>1589</v>
      </c>
      <c r="B348" s="8" t="s">
        <v>118</v>
      </c>
      <c r="C348" s="2">
        <f t="shared" si="120"/>
        <v>1540000</v>
      </c>
      <c r="D348" s="3">
        <f t="shared" ref="D348" si="161">SUM(E348:J348)</f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4">
        <v>0</v>
      </c>
      <c r="L348" s="3">
        <v>0</v>
      </c>
      <c r="M348" s="5">
        <v>280</v>
      </c>
      <c r="N348" s="3">
        <f t="shared" ref="N348" si="162">M348*5500</f>
        <v>1540000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6">
        <f>N348/M348</f>
        <v>5500</v>
      </c>
    </row>
    <row r="349" spans="1:22" ht="45" customHeight="1">
      <c r="A349" s="53" t="s">
        <v>1198</v>
      </c>
      <c r="B349" s="53"/>
      <c r="C349" s="2">
        <f>SUM(C350)</f>
        <v>100000</v>
      </c>
      <c r="D349" s="2">
        <f t="shared" ref="D349:U349" si="163">SUM(D350)</f>
        <v>0</v>
      </c>
      <c r="E349" s="2">
        <f t="shared" si="163"/>
        <v>0</v>
      </c>
      <c r="F349" s="2">
        <f t="shared" si="163"/>
        <v>0</v>
      </c>
      <c r="G349" s="2">
        <f t="shared" si="163"/>
        <v>0</v>
      </c>
      <c r="H349" s="2">
        <f t="shared" si="163"/>
        <v>0</v>
      </c>
      <c r="I349" s="2">
        <f t="shared" si="163"/>
        <v>0</v>
      </c>
      <c r="J349" s="2">
        <f t="shared" si="163"/>
        <v>0</v>
      </c>
      <c r="K349" s="14">
        <f t="shared" si="163"/>
        <v>0</v>
      </c>
      <c r="L349" s="2">
        <f t="shared" si="163"/>
        <v>0</v>
      </c>
      <c r="M349" s="2">
        <f t="shared" si="163"/>
        <v>0</v>
      </c>
      <c r="N349" s="2">
        <f t="shared" si="163"/>
        <v>0</v>
      </c>
      <c r="O349" s="2">
        <f t="shared" si="163"/>
        <v>0</v>
      </c>
      <c r="P349" s="2">
        <f t="shared" si="163"/>
        <v>0</v>
      </c>
      <c r="Q349" s="2">
        <f t="shared" si="163"/>
        <v>0</v>
      </c>
      <c r="R349" s="2">
        <f t="shared" si="163"/>
        <v>0</v>
      </c>
      <c r="S349" s="2">
        <f t="shared" si="163"/>
        <v>0</v>
      </c>
      <c r="T349" s="2">
        <f t="shared" si="163"/>
        <v>0</v>
      </c>
      <c r="U349" s="2">
        <f t="shared" si="163"/>
        <v>100000</v>
      </c>
      <c r="V349" s="18"/>
    </row>
    <row r="350" spans="1:22" ht="21.9" customHeight="1">
      <c r="A350" s="37" t="s">
        <v>1590</v>
      </c>
      <c r="B350" s="8" t="s">
        <v>1199</v>
      </c>
      <c r="C350" s="2">
        <f>D350+L350+N350+P350+R350+S350+T350+U350</f>
        <v>100000</v>
      </c>
      <c r="D350" s="3">
        <f t="shared" ref="D350" si="164"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100000</v>
      </c>
      <c r="V350" s="6" t="e">
        <f t="shared" ref="V350" si="165">N350/M350</f>
        <v>#DIV/0!</v>
      </c>
    </row>
    <row r="351" spans="1:22" ht="45" customHeight="1">
      <c r="A351" s="53" t="s">
        <v>124</v>
      </c>
      <c r="B351" s="53"/>
      <c r="C351" s="2">
        <f>SUM(C352:C354)</f>
        <v>5918775</v>
      </c>
      <c r="D351" s="2">
        <f t="shared" ref="D351:U351" si="166">SUM(D352:D354)</f>
        <v>0</v>
      </c>
      <c r="E351" s="2">
        <f t="shared" si="166"/>
        <v>0</v>
      </c>
      <c r="F351" s="2">
        <f t="shared" si="166"/>
        <v>0</v>
      </c>
      <c r="G351" s="2">
        <f t="shared" si="166"/>
        <v>0</v>
      </c>
      <c r="H351" s="2">
        <f t="shared" si="166"/>
        <v>0</v>
      </c>
      <c r="I351" s="2">
        <f t="shared" si="166"/>
        <v>0</v>
      </c>
      <c r="J351" s="2">
        <f t="shared" si="166"/>
        <v>0</v>
      </c>
      <c r="K351" s="14">
        <f t="shared" si="166"/>
        <v>0</v>
      </c>
      <c r="L351" s="2">
        <f t="shared" si="166"/>
        <v>0</v>
      </c>
      <c r="M351" s="2">
        <f t="shared" si="166"/>
        <v>967.05</v>
      </c>
      <c r="N351" s="2">
        <f t="shared" si="166"/>
        <v>5318775</v>
      </c>
      <c r="O351" s="2">
        <f t="shared" si="166"/>
        <v>0</v>
      </c>
      <c r="P351" s="2">
        <f t="shared" si="166"/>
        <v>0</v>
      </c>
      <c r="Q351" s="2">
        <f t="shared" si="166"/>
        <v>0</v>
      </c>
      <c r="R351" s="2">
        <f t="shared" si="166"/>
        <v>0</v>
      </c>
      <c r="S351" s="2">
        <f t="shared" si="166"/>
        <v>0</v>
      </c>
      <c r="T351" s="2">
        <f t="shared" si="166"/>
        <v>0</v>
      </c>
      <c r="U351" s="2">
        <f t="shared" si="166"/>
        <v>600000</v>
      </c>
    </row>
    <row r="352" spans="1:22" ht="21.9" customHeight="1">
      <c r="A352" s="37" t="s">
        <v>1591</v>
      </c>
      <c r="B352" s="1" t="s">
        <v>121</v>
      </c>
      <c r="C352" s="2">
        <f t="shared" si="120"/>
        <v>808500</v>
      </c>
      <c r="D352" s="3">
        <f t="shared" ref="D352:D354" si="167">SUM(E352:J352)</f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4">
        <v>0</v>
      </c>
      <c r="L352" s="3">
        <v>0</v>
      </c>
      <c r="M352" s="3">
        <v>147</v>
      </c>
      <c r="N352" s="3">
        <f t="shared" ref="N352:N354" si="168">M352*5500</f>
        <v>808500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6">
        <f t="shared" ref="V352:V354" si="169">N352/M352</f>
        <v>5500</v>
      </c>
    </row>
    <row r="353" spans="1:22" ht="21.9" customHeight="1">
      <c r="A353" s="37" t="s">
        <v>1592</v>
      </c>
      <c r="B353" s="1" t="s">
        <v>122</v>
      </c>
      <c r="C353" s="2">
        <f>D353+L353+N353+P353+R353+S353+T353+U353</f>
        <v>3191875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11">
        <v>0</v>
      </c>
      <c r="L353" s="5">
        <v>0</v>
      </c>
      <c r="M353" s="5">
        <v>471.25</v>
      </c>
      <c r="N353" s="5">
        <f>M353*5500</f>
        <v>2591875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600000</v>
      </c>
      <c r="V353" s="6">
        <f>N353/M353</f>
        <v>5500</v>
      </c>
    </row>
    <row r="354" spans="1:22" ht="21.9" customHeight="1">
      <c r="A354" s="37" t="s">
        <v>1593</v>
      </c>
      <c r="B354" s="1" t="s">
        <v>123</v>
      </c>
      <c r="C354" s="2">
        <f t="shared" si="120"/>
        <v>1918400</v>
      </c>
      <c r="D354" s="3">
        <f t="shared" si="167"/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11">
        <v>0</v>
      </c>
      <c r="L354" s="5">
        <v>0</v>
      </c>
      <c r="M354" s="5">
        <v>348.8</v>
      </c>
      <c r="N354" s="3">
        <f t="shared" si="168"/>
        <v>1918400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6">
        <f t="shared" si="169"/>
        <v>5500</v>
      </c>
    </row>
    <row r="355" spans="1:22" ht="45" customHeight="1">
      <c r="A355" s="53" t="s">
        <v>127</v>
      </c>
      <c r="B355" s="53"/>
      <c r="C355" s="2">
        <f>SUM(C356)</f>
        <v>2875025</v>
      </c>
      <c r="D355" s="2">
        <f t="shared" ref="D355:U355" si="170">SUM(D356)</f>
        <v>123025</v>
      </c>
      <c r="E355" s="2">
        <f t="shared" si="170"/>
        <v>123025</v>
      </c>
      <c r="F355" s="2">
        <f t="shared" si="170"/>
        <v>0</v>
      </c>
      <c r="G355" s="2">
        <f t="shared" si="170"/>
        <v>0</v>
      </c>
      <c r="H355" s="2">
        <f t="shared" si="170"/>
        <v>0</v>
      </c>
      <c r="I355" s="2">
        <f t="shared" si="170"/>
        <v>0</v>
      </c>
      <c r="J355" s="2">
        <f t="shared" si="170"/>
        <v>0</v>
      </c>
      <c r="K355" s="14">
        <f t="shared" si="170"/>
        <v>0</v>
      </c>
      <c r="L355" s="2">
        <f t="shared" si="170"/>
        <v>0</v>
      </c>
      <c r="M355" s="2">
        <f t="shared" si="170"/>
        <v>282</v>
      </c>
      <c r="N355" s="2">
        <f t="shared" si="170"/>
        <v>1551000</v>
      </c>
      <c r="O355" s="2">
        <f t="shared" si="170"/>
        <v>0</v>
      </c>
      <c r="P355" s="2">
        <f t="shared" si="170"/>
        <v>0</v>
      </c>
      <c r="Q355" s="2">
        <f t="shared" si="170"/>
        <v>318</v>
      </c>
      <c r="R355" s="2">
        <f t="shared" si="170"/>
        <v>954000</v>
      </c>
      <c r="S355" s="2">
        <f t="shared" si="170"/>
        <v>147000</v>
      </c>
      <c r="T355" s="2">
        <f t="shared" si="170"/>
        <v>0</v>
      </c>
      <c r="U355" s="2">
        <f t="shared" si="170"/>
        <v>100000</v>
      </c>
      <c r="V355" s="18"/>
    </row>
    <row r="356" spans="1:22" ht="21.9" customHeight="1">
      <c r="A356" s="36" t="s">
        <v>1594</v>
      </c>
      <c r="B356" s="8" t="s">
        <v>125</v>
      </c>
      <c r="C356" s="2">
        <f t="shared" si="120"/>
        <v>2875025</v>
      </c>
      <c r="D356" s="3">
        <f t="shared" ref="D356" si="171">SUM(E356:J356)</f>
        <v>123025</v>
      </c>
      <c r="E356" s="3">
        <f>350*351.5</f>
        <v>123025</v>
      </c>
      <c r="F356" s="3">
        <f>800*0</f>
        <v>0</v>
      </c>
      <c r="G356" s="3">
        <f>350*0</f>
        <v>0</v>
      </c>
      <c r="H356" s="3">
        <f>400*0</f>
        <v>0</v>
      </c>
      <c r="I356" s="3">
        <f>250*0</f>
        <v>0</v>
      </c>
      <c r="J356" s="3">
        <v>0</v>
      </c>
      <c r="K356" s="11">
        <v>0</v>
      </c>
      <c r="L356" s="5">
        <v>0</v>
      </c>
      <c r="M356" s="5">
        <v>282</v>
      </c>
      <c r="N356" s="3">
        <f t="shared" ref="N356" si="172">M356*5500</f>
        <v>1551000</v>
      </c>
      <c r="O356" s="5">
        <v>0</v>
      </c>
      <c r="P356" s="5">
        <v>0</v>
      </c>
      <c r="Q356" s="5">
        <v>318</v>
      </c>
      <c r="R356" s="3">
        <f>Q356*3000</f>
        <v>954000</v>
      </c>
      <c r="S356" s="5">
        <v>147000</v>
      </c>
      <c r="T356" s="5">
        <v>0</v>
      </c>
      <c r="U356" s="5">
        <v>100000</v>
      </c>
      <c r="V356" s="6">
        <f t="shared" ref="V356" si="173">N356/M356</f>
        <v>5500</v>
      </c>
    </row>
    <row r="357" spans="1:22" ht="45" customHeight="1">
      <c r="A357" s="53" t="s">
        <v>131</v>
      </c>
      <c r="B357" s="53"/>
      <c r="C357" s="2">
        <f>SUM(C358:C359)</f>
        <v>7572300</v>
      </c>
      <c r="D357" s="2">
        <f t="shared" ref="D357:U357" si="174">SUM(D358:D359)</f>
        <v>0</v>
      </c>
      <c r="E357" s="2">
        <f t="shared" si="174"/>
        <v>0</v>
      </c>
      <c r="F357" s="2">
        <f t="shared" si="174"/>
        <v>0</v>
      </c>
      <c r="G357" s="2">
        <f t="shared" si="174"/>
        <v>0</v>
      </c>
      <c r="H357" s="2">
        <f t="shared" si="174"/>
        <v>0</v>
      </c>
      <c r="I357" s="2">
        <f t="shared" si="174"/>
        <v>0</v>
      </c>
      <c r="J357" s="2">
        <f t="shared" si="174"/>
        <v>0</v>
      </c>
      <c r="K357" s="14">
        <f t="shared" si="174"/>
        <v>0</v>
      </c>
      <c r="L357" s="2">
        <f t="shared" si="174"/>
        <v>0</v>
      </c>
      <c r="M357" s="2">
        <f t="shared" si="174"/>
        <v>1888</v>
      </c>
      <c r="N357" s="2">
        <f t="shared" si="174"/>
        <v>7572300</v>
      </c>
      <c r="O357" s="2">
        <f t="shared" si="174"/>
        <v>0</v>
      </c>
      <c r="P357" s="2">
        <f t="shared" si="174"/>
        <v>0</v>
      </c>
      <c r="Q357" s="2">
        <f t="shared" si="174"/>
        <v>0</v>
      </c>
      <c r="R357" s="2">
        <f t="shared" si="174"/>
        <v>0</v>
      </c>
      <c r="S357" s="2">
        <f t="shared" si="174"/>
        <v>0</v>
      </c>
      <c r="T357" s="2">
        <f t="shared" si="174"/>
        <v>0</v>
      </c>
      <c r="U357" s="2">
        <f t="shared" si="174"/>
        <v>0</v>
      </c>
    </row>
    <row r="358" spans="1:22" ht="21.9" customHeight="1">
      <c r="A358" s="37" t="s">
        <v>1595</v>
      </c>
      <c r="B358" s="8" t="s">
        <v>1204</v>
      </c>
      <c r="C358" s="2">
        <f t="shared" ref="C358:C420" si="175">D358+L358+N358+P358+R358+S358+T358+U358</f>
        <v>5713300</v>
      </c>
      <c r="D358" s="3">
        <f t="shared" ref="D358:D359" si="176"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1550</v>
      </c>
      <c r="N358" s="3">
        <f>M358*3686</f>
        <v>5713300</v>
      </c>
      <c r="O358" s="3">
        <v>0</v>
      </c>
      <c r="P358" s="3">
        <v>0</v>
      </c>
      <c r="Q358" s="3">
        <v>0</v>
      </c>
      <c r="R358" s="5">
        <v>0</v>
      </c>
      <c r="S358" s="3">
        <v>0</v>
      </c>
      <c r="T358" s="3">
        <v>0</v>
      </c>
      <c r="U358" s="3">
        <v>0</v>
      </c>
      <c r="V358" s="6">
        <f t="shared" ref="V358:V359" si="177">N358/M358</f>
        <v>3686</v>
      </c>
    </row>
    <row r="359" spans="1:22" ht="21.9" customHeight="1">
      <c r="A359" s="37" t="s">
        <v>1596</v>
      </c>
      <c r="B359" s="8" t="s">
        <v>128</v>
      </c>
      <c r="C359" s="2">
        <f t="shared" si="175"/>
        <v>1859000</v>
      </c>
      <c r="D359" s="3">
        <f t="shared" si="176"/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338</v>
      </c>
      <c r="N359" s="3">
        <f t="shared" ref="N359" si="178">M359*5500</f>
        <v>1859000</v>
      </c>
      <c r="O359" s="3">
        <v>0</v>
      </c>
      <c r="P359" s="3">
        <v>0</v>
      </c>
      <c r="Q359" s="3">
        <v>0</v>
      </c>
      <c r="R359" s="5">
        <v>0</v>
      </c>
      <c r="S359" s="3">
        <v>0</v>
      </c>
      <c r="T359" s="3">
        <v>0</v>
      </c>
      <c r="U359" s="3">
        <v>0</v>
      </c>
      <c r="V359" s="6">
        <f t="shared" si="177"/>
        <v>5500</v>
      </c>
    </row>
    <row r="360" spans="1:22" ht="45" customHeight="1">
      <c r="A360" s="53" t="s">
        <v>1208</v>
      </c>
      <c r="B360" s="53"/>
      <c r="C360" s="2">
        <f>SUM(C361)</f>
        <v>1782000</v>
      </c>
      <c r="D360" s="2">
        <f t="shared" ref="D360:U360" si="179">SUM(D361)</f>
        <v>0</v>
      </c>
      <c r="E360" s="2">
        <f t="shared" si="179"/>
        <v>0</v>
      </c>
      <c r="F360" s="2">
        <f t="shared" si="179"/>
        <v>0</v>
      </c>
      <c r="G360" s="2">
        <f t="shared" si="179"/>
        <v>0</v>
      </c>
      <c r="H360" s="2">
        <f t="shared" si="179"/>
        <v>0</v>
      </c>
      <c r="I360" s="2">
        <f t="shared" si="179"/>
        <v>0</v>
      </c>
      <c r="J360" s="2">
        <f t="shared" si="179"/>
        <v>0</v>
      </c>
      <c r="K360" s="14">
        <f t="shared" si="179"/>
        <v>0</v>
      </c>
      <c r="L360" s="2">
        <f t="shared" si="179"/>
        <v>0</v>
      </c>
      <c r="M360" s="2">
        <f t="shared" si="179"/>
        <v>324</v>
      </c>
      <c r="N360" s="2">
        <f t="shared" si="179"/>
        <v>1782000</v>
      </c>
      <c r="O360" s="2">
        <f t="shared" si="179"/>
        <v>0</v>
      </c>
      <c r="P360" s="2">
        <f t="shared" si="179"/>
        <v>0</v>
      </c>
      <c r="Q360" s="2">
        <f t="shared" si="179"/>
        <v>0</v>
      </c>
      <c r="R360" s="2">
        <f t="shared" si="179"/>
        <v>0</v>
      </c>
      <c r="S360" s="2">
        <f t="shared" si="179"/>
        <v>0</v>
      </c>
      <c r="T360" s="2">
        <f t="shared" si="179"/>
        <v>0</v>
      </c>
      <c r="U360" s="2">
        <f t="shared" si="179"/>
        <v>0</v>
      </c>
      <c r="V360" s="18">
        <f>C360</f>
        <v>1782000</v>
      </c>
    </row>
    <row r="361" spans="1:22" ht="21.9" customHeight="1">
      <c r="A361" s="37" t="s">
        <v>1597</v>
      </c>
      <c r="B361" s="8" t="s">
        <v>129</v>
      </c>
      <c r="C361" s="2">
        <f t="shared" si="175"/>
        <v>1782000</v>
      </c>
      <c r="D361" s="3">
        <f t="shared" ref="D361" si="180"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324</v>
      </c>
      <c r="N361" s="3">
        <f t="shared" ref="N361" si="181">M361*5500</f>
        <v>1782000</v>
      </c>
      <c r="O361" s="3">
        <v>0</v>
      </c>
      <c r="P361" s="3">
        <v>0</v>
      </c>
      <c r="Q361" s="3">
        <v>0</v>
      </c>
      <c r="R361" s="5">
        <v>0</v>
      </c>
      <c r="S361" s="3">
        <v>0</v>
      </c>
      <c r="T361" s="3">
        <v>0</v>
      </c>
      <c r="U361" s="3">
        <v>0</v>
      </c>
      <c r="V361" s="6">
        <f t="shared" ref="V361" si="182">N361/M361</f>
        <v>5500</v>
      </c>
    </row>
    <row r="362" spans="1:22" ht="45" customHeight="1">
      <c r="A362" s="63" t="s">
        <v>132</v>
      </c>
      <c r="B362" s="64"/>
      <c r="C362" s="2">
        <f>SUM(C363)</f>
        <v>1643400</v>
      </c>
      <c r="D362" s="2">
        <f t="shared" ref="D362:U362" si="183">SUM(D363)</f>
        <v>0</v>
      </c>
      <c r="E362" s="2">
        <f t="shared" si="183"/>
        <v>0</v>
      </c>
      <c r="F362" s="2">
        <f t="shared" si="183"/>
        <v>0</v>
      </c>
      <c r="G362" s="2">
        <f t="shared" si="183"/>
        <v>0</v>
      </c>
      <c r="H362" s="2">
        <f t="shared" si="183"/>
        <v>0</v>
      </c>
      <c r="I362" s="2">
        <f t="shared" si="183"/>
        <v>0</v>
      </c>
      <c r="J362" s="2">
        <f t="shared" si="183"/>
        <v>0</v>
      </c>
      <c r="K362" s="14">
        <f t="shared" si="183"/>
        <v>0</v>
      </c>
      <c r="L362" s="2">
        <f t="shared" si="183"/>
        <v>0</v>
      </c>
      <c r="M362" s="2">
        <f t="shared" si="183"/>
        <v>0</v>
      </c>
      <c r="N362" s="2">
        <f t="shared" si="183"/>
        <v>0</v>
      </c>
      <c r="O362" s="2">
        <f t="shared" si="183"/>
        <v>0</v>
      </c>
      <c r="P362" s="2">
        <f t="shared" si="183"/>
        <v>0</v>
      </c>
      <c r="Q362" s="2">
        <f t="shared" si="183"/>
        <v>496</v>
      </c>
      <c r="R362" s="2">
        <f t="shared" si="183"/>
        <v>1488000</v>
      </c>
      <c r="S362" s="2">
        <f t="shared" si="183"/>
        <v>155400</v>
      </c>
      <c r="T362" s="2">
        <f t="shared" si="183"/>
        <v>0</v>
      </c>
      <c r="U362" s="2">
        <f t="shared" si="183"/>
        <v>0</v>
      </c>
      <c r="V362" s="18" t="e">
        <f>C362+#REF!</f>
        <v>#REF!</v>
      </c>
    </row>
    <row r="363" spans="1:22" ht="21" customHeight="1">
      <c r="A363" s="37" t="s">
        <v>1598</v>
      </c>
      <c r="B363" s="8" t="s">
        <v>1064</v>
      </c>
      <c r="C363" s="2">
        <f t="shared" ref="C363" si="184">D363+L363+N363+P363+R363+S363+T363+U363</f>
        <v>1643400</v>
      </c>
      <c r="D363" s="3">
        <f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496</v>
      </c>
      <c r="R363" s="3">
        <f>Q363*3000</f>
        <v>1488000</v>
      </c>
      <c r="S363" s="3">
        <v>155400</v>
      </c>
      <c r="T363" s="3">
        <v>0</v>
      </c>
      <c r="U363" s="3">
        <v>0</v>
      </c>
      <c r="V363" s="6" t="e">
        <f>N363/M363</f>
        <v>#DIV/0!</v>
      </c>
    </row>
    <row r="364" spans="1:22" ht="45" customHeight="1">
      <c r="A364" s="53" t="s">
        <v>133</v>
      </c>
      <c r="B364" s="53"/>
      <c r="C364" s="2">
        <f>SUM(C365:C367)</f>
        <v>3593850</v>
      </c>
      <c r="D364" s="2">
        <f t="shared" ref="D364:U364" si="185">SUM(D365:D367)</f>
        <v>0</v>
      </c>
      <c r="E364" s="2">
        <f t="shared" si="185"/>
        <v>0</v>
      </c>
      <c r="F364" s="2">
        <f t="shared" si="185"/>
        <v>0</v>
      </c>
      <c r="G364" s="2">
        <f t="shared" si="185"/>
        <v>0</v>
      </c>
      <c r="H364" s="2">
        <f t="shared" si="185"/>
        <v>0</v>
      </c>
      <c r="I364" s="2">
        <f t="shared" si="185"/>
        <v>0</v>
      </c>
      <c r="J364" s="2">
        <f t="shared" si="185"/>
        <v>0</v>
      </c>
      <c r="K364" s="14">
        <f t="shared" si="185"/>
        <v>0</v>
      </c>
      <c r="L364" s="2">
        <f t="shared" si="185"/>
        <v>0</v>
      </c>
      <c r="M364" s="2">
        <f t="shared" si="185"/>
        <v>975</v>
      </c>
      <c r="N364" s="2">
        <f t="shared" si="185"/>
        <v>3593850</v>
      </c>
      <c r="O364" s="2">
        <f t="shared" si="185"/>
        <v>0</v>
      </c>
      <c r="P364" s="2">
        <f t="shared" si="185"/>
        <v>0</v>
      </c>
      <c r="Q364" s="2">
        <f t="shared" si="185"/>
        <v>0</v>
      </c>
      <c r="R364" s="2">
        <f t="shared" si="185"/>
        <v>0</v>
      </c>
      <c r="S364" s="2">
        <f t="shared" si="185"/>
        <v>0</v>
      </c>
      <c r="T364" s="2">
        <f t="shared" si="185"/>
        <v>0</v>
      </c>
      <c r="U364" s="2">
        <f t="shared" si="185"/>
        <v>0</v>
      </c>
    </row>
    <row r="365" spans="1:22" ht="21.9" customHeight="1">
      <c r="A365" s="36" t="s">
        <v>1599</v>
      </c>
      <c r="B365" s="8" t="s">
        <v>1024</v>
      </c>
      <c r="C365" s="2">
        <f t="shared" si="175"/>
        <v>1197950</v>
      </c>
      <c r="D365" s="3">
        <f t="shared" ref="D365:D367" si="186">SUM(E365:J365)</f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11">
        <v>0</v>
      </c>
      <c r="L365" s="5">
        <v>0</v>
      </c>
      <c r="M365" s="5">
        <v>325</v>
      </c>
      <c r="N365" s="3">
        <f t="shared" ref="N365:N367" si="187">M365*3686</f>
        <v>1197950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6">
        <f t="shared" ref="V365:V366" si="188">N365/M365</f>
        <v>3686</v>
      </c>
    </row>
    <row r="366" spans="1:22" ht="21.9" customHeight="1">
      <c r="A366" s="36" t="s">
        <v>1600</v>
      </c>
      <c r="B366" s="8" t="s">
        <v>137</v>
      </c>
      <c r="C366" s="2">
        <f t="shared" si="175"/>
        <v>1197950</v>
      </c>
      <c r="D366" s="3">
        <f t="shared" si="186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0</v>
      </c>
      <c r="L366" s="3">
        <v>0</v>
      </c>
      <c r="M366" s="3">
        <v>325</v>
      </c>
      <c r="N366" s="3">
        <f t="shared" si="187"/>
        <v>1197950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6">
        <f t="shared" si="188"/>
        <v>3686</v>
      </c>
    </row>
    <row r="367" spans="1:22" ht="21.9" customHeight="1">
      <c r="A367" s="36" t="s">
        <v>1601</v>
      </c>
      <c r="B367" s="8" t="s">
        <v>138</v>
      </c>
      <c r="C367" s="2">
        <f t="shared" si="175"/>
        <v>1197950</v>
      </c>
      <c r="D367" s="3">
        <f t="shared" si="186"/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4">
        <v>0</v>
      </c>
      <c r="L367" s="3">
        <v>0</v>
      </c>
      <c r="M367" s="3">
        <v>325</v>
      </c>
      <c r="N367" s="3">
        <f t="shared" si="187"/>
        <v>1197950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6">
        <f>N367/M367</f>
        <v>3686</v>
      </c>
    </row>
    <row r="368" spans="1:22" ht="45" customHeight="1">
      <c r="A368" s="53" t="s">
        <v>139</v>
      </c>
      <c r="B368" s="53"/>
      <c r="C368" s="2">
        <f>SUM(C369:C371)</f>
        <v>6060285</v>
      </c>
      <c r="D368" s="2">
        <f t="shared" ref="D368:U368" si="189">SUM(D369:D371)</f>
        <v>0</v>
      </c>
      <c r="E368" s="2">
        <f t="shared" si="189"/>
        <v>0</v>
      </c>
      <c r="F368" s="2">
        <f t="shared" si="189"/>
        <v>0</v>
      </c>
      <c r="G368" s="2">
        <f t="shared" si="189"/>
        <v>0</v>
      </c>
      <c r="H368" s="2">
        <f t="shared" si="189"/>
        <v>0</v>
      </c>
      <c r="I368" s="2">
        <f t="shared" si="189"/>
        <v>0</v>
      </c>
      <c r="J368" s="2">
        <f t="shared" si="189"/>
        <v>0</v>
      </c>
      <c r="K368" s="14">
        <f t="shared" si="189"/>
        <v>0</v>
      </c>
      <c r="L368" s="2">
        <f t="shared" si="189"/>
        <v>0</v>
      </c>
      <c r="M368" s="2">
        <f t="shared" si="189"/>
        <v>1101.8699999999999</v>
      </c>
      <c r="N368" s="2">
        <f t="shared" si="189"/>
        <v>6060285</v>
      </c>
      <c r="O368" s="2">
        <f t="shared" si="189"/>
        <v>0</v>
      </c>
      <c r="P368" s="2">
        <f t="shared" si="189"/>
        <v>0</v>
      </c>
      <c r="Q368" s="2">
        <f t="shared" si="189"/>
        <v>0</v>
      </c>
      <c r="R368" s="2">
        <f t="shared" si="189"/>
        <v>0</v>
      </c>
      <c r="S368" s="2">
        <f t="shared" si="189"/>
        <v>0</v>
      </c>
      <c r="T368" s="2">
        <f t="shared" si="189"/>
        <v>0</v>
      </c>
      <c r="U368" s="2">
        <f t="shared" si="189"/>
        <v>0</v>
      </c>
    </row>
    <row r="369" spans="1:22" ht="32.25" customHeight="1">
      <c r="A369" s="36" t="s">
        <v>1602</v>
      </c>
      <c r="B369" s="8" t="s">
        <v>1065</v>
      </c>
      <c r="C369" s="2">
        <f t="shared" ref="C369" si="190">D369+L369+N369+P369+R369+S369+T369+U369</f>
        <v>2244000</v>
      </c>
      <c r="D369" s="3">
        <f t="shared" ref="D369" si="191">SUM(E369:J369)</f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4">
        <v>0</v>
      </c>
      <c r="L369" s="3">
        <v>0</v>
      </c>
      <c r="M369" s="3">
        <v>408</v>
      </c>
      <c r="N369" s="5">
        <f>M369*5500</f>
        <v>2244000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6">
        <f t="shared" ref="V369" si="192">N369/M369</f>
        <v>5500</v>
      </c>
    </row>
    <row r="370" spans="1:22" ht="21.9" customHeight="1">
      <c r="A370" s="36" t="s">
        <v>1603</v>
      </c>
      <c r="B370" s="8" t="s">
        <v>140</v>
      </c>
      <c r="C370" s="2">
        <f t="shared" si="175"/>
        <v>2244000</v>
      </c>
      <c r="D370" s="3">
        <f t="shared" ref="D370:D371" si="193">SUM(E370:J370)</f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4">
        <v>0</v>
      </c>
      <c r="L370" s="3">
        <v>0</v>
      </c>
      <c r="M370" s="3">
        <v>408</v>
      </c>
      <c r="N370" s="3">
        <f t="shared" ref="N370:N371" si="194">M370*5500</f>
        <v>2244000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6">
        <f t="shared" ref="V370:V371" si="195">N370/M370</f>
        <v>5500</v>
      </c>
    </row>
    <row r="371" spans="1:22" ht="21.9" customHeight="1">
      <c r="A371" s="36" t="s">
        <v>1604</v>
      </c>
      <c r="B371" s="8" t="s">
        <v>1015</v>
      </c>
      <c r="C371" s="2">
        <f t="shared" si="175"/>
        <v>1572285</v>
      </c>
      <c r="D371" s="3">
        <f t="shared" si="193"/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4">
        <v>0</v>
      </c>
      <c r="L371" s="3">
        <v>0</v>
      </c>
      <c r="M371" s="3">
        <v>285.87</v>
      </c>
      <c r="N371" s="3">
        <f t="shared" si="194"/>
        <v>1572285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6">
        <f t="shared" si="195"/>
        <v>5500</v>
      </c>
    </row>
    <row r="372" spans="1:22" ht="45" customHeight="1">
      <c r="A372" s="53" t="s">
        <v>148</v>
      </c>
      <c r="B372" s="53"/>
      <c r="C372" s="2">
        <f>SUM(C373:C378)</f>
        <v>17916000</v>
      </c>
      <c r="D372" s="2">
        <f t="shared" ref="D372:U372" si="196">SUM(D373:D378)</f>
        <v>0</v>
      </c>
      <c r="E372" s="2">
        <f t="shared" si="196"/>
        <v>0</v>
      </c>
      <c r="F372" s="2">
        <f t="shared" si="196"/>
        <v>0</v>
      </c>
      <c r="G372" s="2">
        <f t="shared" si="196"/>
        <v>0</v>
      </c>
      <c r="H372" s="2">
        <f t="shared" si="196"/>
        <v>0</v>
      </c>
      <c r="I372" s="2">
        <f t="shared" si="196"/>
        <v>0</v>
      </c>
      <c r="J372" s="2">
        <f t="shared" si="196"/>
        <v>0</v>
      </c>
      <c r="K372" s="14">
        <f t="shared" si="196"/>
        <v>0</v>
      </c>
      <c r="L372" s="2">
        <f t="shared" si="196"/>
        <v>0</v>
      </c>
      <c r="M372" s="2">
        <f t="shared" si="196"/>
        <v>1872</v>
      </c>
      <c r="N372" s="2">
        <f t="shared" si="196"/>
        <v>10296000</v>
      </c>
      <c r="O372" s="2">
        <f t="shared" si="196"/>
        <v>0</v>
      </c>
      <c r="P372" s="2">
        <f t="shared" si="196"/>
        <v>0</v>
      </c>
      <c r="Q372" s="2">
        <f t="shared" si="196"/>
        <v>2440</v>
      </c>
      <c r="R372" s="2">
        <f t="shared" si="196"/>
        <v>7320000</v>
      </c>
      <c r="S372" s="2">
        <f t="shared" si="196"/>
        <v>0</v>
      </c>
      <c r="T372" s="2">
        <f t="shared" si="196"/>
        <v>0</v>
      </c>
      <c r="U372" s="2">
        <f t="shared" si="196"/>
        <v>300000</v>
      </c>
    </row>
    <row r="373" spans="1:22" ht="21.9" customHeight="1">
      <c r="A373" s="37" t="s">
        <v>1605</v>
      </c>
      <c r="B373" s="8" t="s">
        <v>149</v>
      </c>
      <c r="C373" s="2">
        <f t="shared" si="175"/>
        <v>2387000</v>
      </c>
      <c r="D373" s="3">
        <f t="shared" ref="D373:D378" si="197">SUM(E373:J373)</f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4">
        <v>0</v>
      </c>
      <c r="L373" s="3">
        <v>0</v>
      </c>
      <c r="M373" s="3">
        <v>434</v>
      </c>
      <c r="N373" s="3">
        <f t="shared" ref="N373:N375" si="198">M373*5500</f>
        <v>2387000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6">
        <f t="shared" ref="V373:V378" si="199">N373/M373</f>
        <v>5500</v>
      </c>
    </row>
    <row r="374" spans="1:22" ht="21.9" customHeight="1">
      <c r="A374" s="37" t="s">
        <v>1606</v>
      </c>
      <c r="B374" s="8" t="s">
        <v>150</v>
      </c>
      <c r="C374" s="2">
        <f t="shared" si="175"/>
        <v>2387000</v>
      </c>
      <c r="D374" s="3">
        <f t="shared" si="197"/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4">
        <v>0</v>
      </c>
      <c r="L374" s="3">
        <v>0</v>
      </c>
      <c r="M374" s="3">
        <v>434</v>
      </c>
      <c r="N374" s="3">
        <f t="shared" si="198"/>
        <v>2387000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6">
        <f t="shared" si="199"/>
        <v>5500</v>
      </c>
    </row>
    <row r="375" spans="1:22" ht="21.9" customHeight="1">
      <c r="A375" s="37" t="s">
        <v>1607</v>
      </c>
      <c r="B375" s="8" t="s">
        <v>151</v>
      </c>
      <c r="C375" s="2">
        <f t="shared" si="175"/>
        <v>2035000</v>
      </c>
      <c r="D375" s="3">
        <f t="shared" si="197"/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4">
        <v>0</v>
      </c>
      <c r="L375" s="3">
        <v>0</v>
      </c>
      <c r="M375" s="3">
        <v>370</v>
      </c>
      <c r="N375" s="3">
        <f t="shared" si="198"/>
        <v>2035000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6">
        <f t="shared" si="199"/>
        <v>5500</v>
      </c>
    </row>
    <row r="376" spans="1:22" ht="21.9" customHeight="1">
      <c r="A376" s="37" t="s">
        <v>1608</v>
      </c>
      <c r="B376" s="8" t="s">
        <v>152</v>
      </c>
      <c r="C376" s="2">
        <f t="shared" si="175"/>
        <v>300000</v>
      </c>
      <c r="D376" s="3">
        <f t="shared" si="197"/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4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300000</v>
      </c>
      <c r="V376" s="6" t="e">
        <f t="shared" si="199"/>
        <v>#DIV/0!</v>
      </c>
    </row>
    <row r="377" spans="1:22" ht="21.9" customHeight="1">
      <c r="A377" s="37" t="s">
        <v>1609</v>
      </c>
      <c r="B377" s="8" t="s">
        <v>982</v>
      </c>
      <c r="C377" s="2">
        <f t="shared" si="175"/>
        <v>3487000</v>
      </c>
      <c r="D377" s="3">
        <f t="shared" si="197"/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4">
        <v>0</v>
      </c>
      <c r="L377" s="3">
        <v>0</v>
      </c>
      <c r="M377" s="3">
        <v>634</v>
      </c>
      <c r="N377" s="3">
        <f t="shared" ref="N377" si="200">M377*5500</f>
        <v>3487000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6">
        <f t="shared" si="199"/>
        <v>5500</v>
      </c>
    </row>
    <row r="378" spans="1:22" ht="21.9" customHeight="1">
      <c r="A378" s="37" t="s">
        <v>1610</v>
      </c>
      <c r="B378" s="8" t="s">
        <v>983</v>
      </c>
      <c r="C378" s="2">
        <f t="shared" si="175"/>
        <v>7320000</v>
      </c>
      <c r="D378" s="3">
        <f t="shared" si="197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2440</v>
      </c>
      <c r="R378" s="3">
        <f>Q378*3000</f>
        <v>7320000</v>
      </c>
      <c r="S378" s="3">
        <v>0</v>
      </c>
      <c r="T378" s="3">
        <v>0</v>
      </c>
      <c r="U378" s="3">
        <v>0</v>
      </c>
      <c r="V378" s="6" t="e">
        <f t="shared" si="199"/>
        <v>#DIV/0!</v>
      </c>
    </row>
    <row r="379" spans="1:22" ht="45" customHeight="1">
      <c r="A379" s="53" t="s">
        <v>1220</v>
      </c>
      <c r="B379" s="53"/>
      <c r="C379" s="2">
        <f>SUM(C380)</f>
        <v>1315270</v>
      </c>
      <c r="D379" s="2">
        <f t="shared" ref="D379:U379" si="201">SUM(D380)</f>
        <v>0</v>
      </c>
      <c r="E379" s="2">
        <f t="shared" si="201"/>
        <v>0</v>
      </c>
      <c r="F379" s="2">
        <f t="shared" si="201"/>
        <v>0</v>
      </c>
      <c r="G379" s="2">
        <f t="shared" si="201"/>
        <v>0</v>
      </c>
      <c r="H379" s="2">
        <f t="shared" si="201"/>
        <v>0</v>
      </c>
      <c r="I379" s="2">
        <f t="shared" si="201"/>
        <v>0</v>
      </c>
      <c r="J379" s="2">
        <f t="shared" si="201"/>
        <v>0</v>
      </c>
      <c r="K379" s="14">
        <f t="shared" si="201"/>
        <v>0</v>
      </c>
      <c r="L379" s="2">
        <f t="shared" si="201"/>
        <v>0</v>
      </c>
      <c r="M379" s="2">
        <f t="shared" si="201"/>
        <v>239.14</v>
      </c>
      <c r="N379" s="2">
        <f t="shared" si="201"/>
        <v>1315270</v>
      </c>
      <c r="O379" s="2">
        <f t="shared" si="201"/>
        <v>0</v>
      </c>
      <c r="P379" s="2">
        <f t="shared" si="201"/>
        <v>0</v>
      </c>
      <c r="Q379" s="2">
        <f t="shared" si="201"/>
        <v>0</v>
      </c>
      <c r="R379" s="2">
        <f t="shared" si="201"/>
        <v>0</v>
      </c>
      <c r="S379" s="2">
        <f t="shared" si="201"/>
        <v>0</v>
      </c>
      <c r="T379" s="2">
        <f t="shared" si="201"/>
        <v>0</v>
      </c>
      <c r="U379" s="2">
        <f t="shared" si="201"/>
        <v>0</v>
      </c>
    </row>
    <row r="380" spans="1:22" ht="21.9" customHeight="1">
      <c r="A380" s="37" t="s">
        <v>1611</v>
      </c>
      <c r="B380" s="8" t="s">
        <v>159</v>
      </c>
      <c r="C380" s="2">
        <f t="shared" si="175"/>
        <v>1315270</v>
      </c>
      <c r="D380" s="3">
        <f t="shared" ref="D380" si="202">SUM(E380:J380)</f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239.14</v>
      </c>
      <c r="N380" s="3">
        <f t="shared" ref="N380" si="203">M380*5500</f>
        <v>1315270</v>
      </c>
      <c r="O380" s="3">
        <v>0</v>
      </c>
      <c r="P380" s="3">
        <v>0</v>
      </c>
      <c r="Q380" s="3">
        <v>0</v>
      </c>
      <c r="R380" s="5">
        <v>0</v>
      </c>
      <c r="S380" s="3">
        <v>0</v>
      </c>
      <c r="T380" s="3">
        <v>0</v>
      </c>
      <c r="U380" s="3">
        <v>0</v>
      </c>
      <c r="V380" s="6">
        <f t="shared" ref="V380" si="204">N380/M380</f>
        <v>5500</v>
      </c>
    </row>
    <row r="381" spans="1:22" ht="45" customHeight="1">
      <c r="A381" s="53" t="s">
        <v>163</v>
      </c>
      <c r="B381" s="53"/>
      <c r="C381" s="2">
        <f>SUM(C382:C402)</f>
        <v>156177248.40000001</v>
      </c>
      <c r="D381" s="2">
        <f t="shared" ref="D381:U381" si="205">SUM(D382:D402)</f>
        <v>17097918.800000001</v>
      </c>
      <c r="E381" s="2">
        <f t="shared" si="205"/>
        <v>5552413.7999999998</v>
      </c>
      <c r="F381" s="2">
        <f t="shared" si="205"/>
        <v>7773465</v>
      </c>
      <c r="G381" s="2">
        <f t="shared" si="205"/>
        <v>1943760</v>
      </c>
      <c r="H381" s="2">
        <f t="shared" si="205"/>
        <v>208480.00000000003</v>
      </c>
      <c r="I381" s="2">
        <f t="shared" si="205"/>
        <v>1619800</v>
      </c>
      <c r="J381" s="2">
        <f t="shared" si="205"/>
        <v>0</v>
      </c>
      <c r="K381" s="14">
        <f t="shared" si="205"/>
        <v>4</v>
      </c>
      <c r="L381" s="2">
        <f t="shared" si="205"/>
        <v>8600000</v>
      </c>
      <c r="M381" s="2">
        <f t="shared" si="205"/>
        <v>12225.050000000001</v>
      </c>
      <c r="N381" s="2">
        <f t="shared" si="205"/>
        <v>58318611.539999999</v>
      </c>
      <c r="O381" s="2">
        <f t="shared" si="205"/>
        <v>0</v>
      </c>
      <c r="P381" s="2">
        <f t="shared" si="205"/>
        <v>0</v>
      </c>
      <c r="Q381" s="2">
        <f t="shared" si="205"/>
        <v>22114.730000000003</v>
      </c>
      <c r="R381" s="2">
        <f t="shared" si="205"/>
        <v>64627559.5</v>
      </c>
      <c r="S381" s="2">
        <f t="shared" si="205"/>
        <v>5714519.1100000003</v>
      </c>
      <c r="T381" s="2">
        <f t="shared" si="205"/>
        <v>0</v>
      </c>
      <c r="U381" s="2">
        <f t="shared" si="205"/>
        <v>1818639.45</v>
      </c>
    </row>
    <row r="382" spans="1:22" ht="21.9" customHeight="1">
      <c r="A382" s="37" t="s">
        <v>1612</v>
      </c>
      <c r="B382" s="8" t="s">
        <v>1058</v>
      </c>
      <c r="C382" s="2">
        <f>D382+L382+N382+P382+R382+S382+T382+U382</f>
        <v>4150591.5</v>
      </c>
      <c r="D382" s="3">
        <f>SUM(E382:J382)</f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4">
        <v>0</v>
      </c>
      <c r="L382" s="3">
        <v>0</v>
      </c>
      <c r="M382" s="5">
        <v>1093.7</v>
      </c>
      <c r="N382" s="5">
        <v>4150591.5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6">
        <f>N382/M382</f>
        <v>3795</v>
      </c>
    </row>
    <row r="383" spans="1:22" ht="21.9" customHeight="1">
      <c r="A383" s="37" t="s">
        <v>1613</v>
      </c>
      <c r="B383" s="21" t="s">
        <v>168</v>
      </c>
      <c r="C383" s="2">
        <f t="shared" si="175"/>
        <v>19400625.039999999</v>
      </c>
      <c r="D383" s="3">
        <f t="shared" ref="D383:D402" si="206">SUM(E383:J383)</f>
        <v>1997940</v>
      </c>
      <c r="E383" s="3">
        <v>1997940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4">
        <v>0</v>
      </c>
      <c r="L383" s="3">
        <v>0</v>
      </c>
      <c r="M383" s="3">
        <v>1741.64</v>
      </c>
      <c r="N383" s="3">
        <f>M383*3686</f>
        <v>6419685.04</v>
      </c>
      <c r="O383" s="3">
        <v>0</v>
      </c>
      <c r="P383" s="3">
        <v>0</v>
      </c>
      <c r="Q383" s="5">
        <v>3661</v>
      </c>
      <c r="R383" s="3">
        <f t="shared" ref="R383:R386" si="207">Q383*3000</f>
        <v>10983000</v>
      </c>
      <c r="S383" s="3">
        <v>0</v>
      </c>
      <c r="T383" s="3">
        <v>0</v>
      </c>
      <c r="U383" s="3">
        <v>0</v>
      </c>
      <c r="V383" s="6">
        <f t="shared" ref="V383:V402" si="208">N383/M383</f>
        <v>3686</v>
      </c>
    </row>
    <row r="384" spans="1:22" ht="21.9" customHeight="1">
      <c r="A384" s="37" t="s">
        <v>1614</v>
      </c>
      <c r="B384" s="8" t="s">
        <v>1070</v>
      </c>
      <c r="C384" s="2">
        <f>D384+L384+N384+P384+R384+S384+T384+U384</f>
        <v>20043863.609999999</v>
      </c>
      <c r="D384" s="3">
        <f>SUM(E384:J384)</f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4">
        <v>0</v>
      </c>
      <c r="L384" s="5">
        <v>0</v>
      </c>
      <c r="M384" s="3">
        <v>1528.1</v>
      </c>
      <c r="N384" s="5">
        <v>4584300</v>
      </c>
      <c r="O384" s="3">
        <v>0</v>
      </c>
      <c r="P384" s="3">
        <v>0</v>
      </c>
      <c r="Q384" s="3">
        <v>3740.9</v>
      </c>
      <c r="R384" s="3">
        <v>9745044.5</v>
      </c>
      <c r="S384" s="3">
        <v>5714519.1100000003</v>
      </c>
      <c r="T384" s="3">
        <v>0</v>
      </c>
      <c r="U384" s="3">
        <v>0</v>
      </c>
      <c r="V384" s="6">
        <f>N384/M384</f>
        <v>3000</v>
      </c>
    </row>
    <row r="385" spans="1:22" ht="21.9" customHeight="1">
      <c r="A385" s="37" t="s">
        <v>1615</v>
      </c>
      <c r="B385" s="21" t="s">
        <v>164</v>
      </c>
      <c r="C385" s="2">
        <f t="shared" si="175"/>
        <v>29471200</v>
      </c>
      <c r="D385" s="3">
        <f t="shared" si="206"/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4">
        <v>4</v>
      </c>
      <c r="L385" s="3">
        <v>8600000</v>
      </c>
      <c r="M385" s="3">
        <v>0</v>
      </c>
      <c r="N385" s="3">
        <v>0</v>
      </c>
      <c r="O385" s="3">
        <v>0</v>
      </c>
      <c r="P385" s="3">
        <v>0</v>
      </c>
      <c r="Q385" s="5">
        <v>6890.4</v>
      </c>
      <c r="R385" s="3">
        <f t="shared" si="207"/>
        <v>20671200</v>
      </c>
      <c r="S385" s="3">
        <v>0</v>
      </c>
      <c r="T385" s="3">
        <v>0</v>
      </c>
      <c r="U385" s="3">
        <v>200000</v>
      </c>
      <c r="V385" s="6" t="e">
        <f t="shared" si="208"/>
        <v>#DIV/0!</v>
      </c>
    </row>
    <row r="386" spans="1:22" ht="21.9" customHeight="1">
      <c r="A386" s="37" t="s">
        <v>1616</v>
      </c>
      <c r="B386" s="1" t="s">
        <v>827</v>
      </c>
      <c r="C386" s="2">
        <f t="shared" si="175"/>
        <v>4471266.22</v>
      </c>
      <c r="D386" s="3">
        <f t="shared" si="206"/>
        <v>495900</v>
      </c>
      <c r="E386" s="3">
        <f>350*551</f>
        <v>192850</v>
      </c>
      <c r="F386" s="3">
        <f>800*0</f>
        <v>0</v>
      </c>
      <c r="G386" s="3">
        <f>300*551</f>
        <v>165300</v>
      </c>
      <c r="H386" s="3">
        <f>400*0</f>
        <v>0</v>
      </c>
      <c r="I386" s="3">
        <f>250*551</f>
        <v>137750</v>
      </c>
      <c r="J386" s="3">
        <f t="shared" ref="J386:J398" si="209">350*0</f>
        <v>0</v>
      </c>
      <c r="K386" s="4">
        <v>0</v>
      </c>
      <c r="L386" s="3">
        <v>0</v>
      </c>
      <c r="M386" s="3">
        <v>426.86</v>
      </c>
      <c r="N386" s="3">
        <f t="shared" ref="N386:N393" si="210">M386*5500</f>
        <v>2347730</v>
      </c>
      <c r="O386" s="3">
        <v>0</v>
      </c>
      <c r="P386" s="3">
        <f>O386*410</f>
        <v>0</v>
      </c>
      <c r="Q386" s="3">
        <v>504</v>
      </c>
      <c r="R386" s="3">
        <f t="shared" si="207"/>
        <v>1512000</v>
      </c>
      <c r="S386" s="3">
        <v>0</v>
      </c>
      <c r="T386" s="3">
        <v>0</v>
      </c>
      <c r="U386" s="3">
        <v>115636.22</v>
      </c>
      <c r="V386" s="6">
        <f t="shared" si="208"/>
        <v>5500</v>
      </c>
    </row>
    <row r="387" spans="1:22" ht="21.9" customHeight="1">
      <c r="A387" s="37" t="s">
        <v>1617</v>
      </c>
      <c r="B387" s="1" t="s">
        <v>182</v>
      </c>
      <c r="C387" s="2">
        <f>D387+L387+N387+P387+R387+S387+T387+U387</f>
        <v>2827870</v>
      </c>
      <c r="D387" s="3">
        <f t="shared" si="206"/>
        <v>1224820</v>
      </c>
      <c r="E387" s="3">
        <f>350*521.2</f>
        <v>182420.00000000003</v>
      </c>
      <c r="F387" s="3">
        <f>1050*521.2</f>
        <v>547260</v>
      </c>
      <c r="G387" s="3">
        <f>300*521.2</f>
        <v>156360</v>
      </c>
      <c r="H387" s="3">
        <f>400*521.2</f>
        <v>208480.00000000003</v>
      </c>
      <c r="I387" s="3">
        <f>250*521.2</f>
        <v>130300.00000000001</v>
      </c>
      <c r="J387" s="3">
        <f t="shared" si="209"/>
        <v>0</v>
      </c>
      <c r="K387" s="4">
        <v>0</v>
      </c>
      <c r="L387" s="3">
        <v>0</v>
      </c>
      <c r="M387" s="3">
        <v>255.1</v>
      </c>
      <c r="N387" s="3">
        <f>M387*5500</f>
        <v>1403050</v>
      </c>
      <c r="O387" s="3">
        <v>0</v>
      </c>
      <c r="P387" s="3">
        <f>O387*410</f>
        <v>0</v>
      </c>
      <c r="Q387" s="5">
        <v>0</v>
      </c>
      <c r="R387" s="3">
        <v>0</v>
      </c>
      <c r="S387" s="3">
        <f>S91</f>
        <v>0</v>
      </c>
      <c r="T387" s="3">
        <v>0</v>
      </c>
      <c r="U387" s="3">
        <v>200000</v>
      </c>
      <c r="V387" s="6">
        <f t="shared" si="208"/>
        <v>5500</v>
      </c>
    </row>
    <row r="388" spans="1:22" ht="21.9" customHeight="1">
      <c r="A388" s="37" t="s">
        <v>1618</v>
      </c>
      <c r="B388" s="1" t="s">
        <v>175</v>
      </c>
      <c r="C388" s="2">
        <f t="shared" si="175"/>
        <v>8125630</v>
      </c>
      <c r="D388" s="3">
        <f t="shared" si="206"/>
        <v>385350</v>
      </c>
      <c r="E388" s="3">
        <f>350*1101</f>
        <v>385350</v>
      </c>
      <c r="F388" s="3">
        <f>800*0</f>
        <v>0</v>
      </c>
      <c r="G388" s="3">
        <v>0</v>
      </c>
      <c r="H388" s="3">
        <f>400*0</f>
        <v>0</v>
      </c>
      <c r="I388" s="3">
        <v>0</v>
      </c>
      <c r="J388" s="3">
        <f t="shared" si="209"/>
        <v>0</v>
      </c>
      <c r="K388" s="4">
        <v>0</v>
      </c>
      <c r="L388" s="3">
        <v>0</v>
      </c>
      <c r="M388" s="3">
        <v>883.2</v>
      </c>
      <c r="N388" s="3">
        <f t="shared" si="210"/>
        <v>4857600</v>
      </c>
      <c r="O388" s="3">
        <v>0</v>
      </c>
      <c r="P388" s="3">
        <f>O388*410</f>
        <v>0</v>
      </c>
      <c r="Q388" s="3">
        <v>927.56</v>
      </c>
      <c r="R388" s="3">
        <f t="shared" ref="R388:R393" si="211">Q388*3000</f>
        <v>2782680</v>
      </c>
      <c r="S388" s="3">
        <v>0</v>
      </c>
      <c r="T388" s="3">
        <v>0</v>
      </c>
      <c r="U388" s="3">
        <v>100000</v>
      </c>
      <c r="V388" s="6">
        <f t="shared" si="208"/>
        <v>5500</v>
      </c>
    </row>
    <row r="389" spans="1:22" ht="21.9" customHeight="1">
      <c r="A389" s="37" t="s">
        <v>1619</v>
      </c>
      <c r="B389" s="1" t="s">
        <v>177</v>
      </c>
      <c r="C389" s="2">
        <f t="shared" si="175"/>
        <v>3815493.8000000003</v>
      </c>
      <c r="D389" s="3">
        <f t="shared" ref="D389" si="212">SUM(E389:J389)</f>
        <v>256738.8</v>
      </c>
      <c r="E389" s="3">
        <v>256738.8</v>
      </c>
      <c r="F389" s="3">
        <v>0</v>
      </c>
      <c r="G389" s="3">
        <v>0</v>
      </c>
      <c r="H389" s="3">
        <f>500*0</f>
        <v>0</v>
      </c>
      <c r="I389" s="3">
        <v>0</v>
      </c>
      <c r="J389" s="3">
        <f t="shared" si="209"/>
        <v>0</v>
      </c>
      <c r="K389" s="4">
        <v>0</v>
      </c>
      <c r="L389" s="3">
        <v>0</v>
      </c>
      <c r="M389" s="3">
        <v>374.1</v>
      </c>
      <c r="N389" s="3">
        <f t="shared" ref="N389" si="213">M389*5300</f>
        <v>1982730.0000000002</v>
      </c>
      <c r="O389" s="3">
        <v>0</v>
      </c>
      <c r="P389" s="3">
        <v>0</v>
      </c>
      <c r="Q389" s="3">
        <v>605</v>
      </c>
      <c r="R389" s="3">
        <f t="shared" ref="R389" si="214">Q389*2605</f>
        <v>1576025</v>
      </c>
      <c r="S389" s="3">
        <f>S1248</f>
        <v>0</v>
      </c>
      <c r="T389" s="3">
        <v>0</v>
      </c>
      <c r="U389" s="3">
        <v>0</v>
      </c>
      <c r="V389" s="6">
        <f t="shared" si="208"/>
        <v>5300</v>
      </c>
    </row>
    <row r="390" spans="1:22" ht="21.9" customHeight="1">
      <c r="A390" s="37" t="s">
        <v>1620</v>
      </c>
      <c r="B390" s="21" t="s">
        <v>178</v>
      </c>
      <c r="C390" s="2">
        <f t="shared" si="175"/>
        <v>4677229.82</v>
      </c>
      <c r="D390" s="3">
        <f t="shared" si="206"/>
        <v>982800</v>
      </c>
      <c r="E390" s="3">
        <f>350*504</f>
        <v>176400</v>
      </c>
      <c r="F390" s="3">
        <f>1050*504</f>
        <v>529200</v>
      </c>
      <c r="G390" s="3">
        <f>300*504</f>
        <v>151200</v>
      </c>
      <c r="H390" s="3">
        <f t="shared" ref="H390:H396" si="215">400*0</f>
        <v>0</v>
      </c>
      <c r="I390" s="3">
        <f>250*504</f>
        <v>126000</v>
      </c>
      <c r="J390" s="3">
        <f t="shared" si="209"/>
        <v>0</v>
      </c>
      <c r="K390" s="4">
        <v>0</v>
      </c>
      <c r="L390" s="3">
        <v>0</v>
      </c>
      <c r="M390" s="3">
        <v>386</v>
      </c>
      <c r="N390" s="3">
        <f t="shared" si="210"/>
        <v>2123000</v>
      </c>
      <c r="O390" s="3">
        <v>0</v>
      </c>
      <c r="P390" s="3">
        <v>0</v>
      </c>
      <c r="Q390" s="3">
        <v>480</v>
      </c>
      <c r="R390" s="3">
        <f t="shared" si="211"/>
        <v>1440000</v>
      </c>
      <c r="S390" s="3">
        <f>S1290</f>
        <v>0</v>
      </c>
      <c r="T390" s="3">
        <v>0</v>
      </c>
      <c r="U390" s="3">
        <v>131429.82</v>
      </c>
      <c r="V390" s="6">
        <f t="shared" si="208"/>
        <v>5500</v>
      </c>
    </row>
    <row r="391" spans="1:22" ht="21.9" customHeight="1">
      <c r="A391" s="37" t="s">
        <v>1621</v>
      </c>
      <c r="B391" s="21" t="s">
        <v>179</v>
      </c>
      <c r="C391" s="2">
        <f t="shared" si="175"/>
        <v>4584225.3499999996</v>
      </c>
      <c r="D391" s="3">
        <f t="shared" si="206"/>
        <v>951600</v>
      </c>
      <c r="E391" s="3">
        <f>350*488</f>
        <v>170800</v>
      </c>
      <c r="F391" s="3">
        <f>1050*488</f>
        <v>512400</v>
      </c>
      <c r="G391" s="3">
        <f>300*488</f>
        <v>146400</v>
      </c>
      <c r="H391" s="3">
        <f t="shared" si="215"/>
        <v>0</v>
      </c>
      <c r="I391" s="3">
        <f>250*488</f>
        <v>122000</v>
      </c>
      <c r="J391" s="3">
        <f t="shared" si="209"/>
        <v>0</v>
      </c>
      <c r="K391" s="4">
        <v>0</v>
      </c>
      <c r="L391" s="3">
        <v>0</v>
      </c>
      <c r="M391" s="3">
        <v>364</v>
      </c>
      <c r="N391" s="3">
        <f t="shared" si="210"/>
        <v>2002000</v>
      </c>
      <c r="O391" s="3">
        <v>0</v>
      </c>
      <c r="P391" s="3">
        <v>0</v>
      </c>
      <c r="Q391" s="3">
        <v>500</v>
      </c>
      <c r="R391" s="3">
        <f t="shared" si="211"/>
        <v>1500000</v>
      </c>
      <c r="S391" s="3">
        <f>S1291</f>
        <v>0</v>
      </c>
      <c r="T391" s="3">
        <v>0</v>
      </c>
      <c r="U391" s="3">
        <v>130625.35</v>
      </c>
      <c r="V391" s="6">
        <f t="shared" si="208"/>
        <v>5500</v>
      </c>
    </row>
    <row r="392" spans="1:22" ht="21.9" customHeight="1">
      <c r="A392" s="37" t="s">
        <v>1622</v>
      </c>
      <c r="B392" s="21" t="s">
        <v>181</v>
      </c>
      <c r="C392" s="2">
        <f>D392+L392+N392+P392+R392+S392+T392+U392</f>
        <v>1751401.81</v>
      </c>
      <c r="D392" s="3">
        <f>SUM(E392:J392)</f>
        <v>1631955</v>
      </c>
      <c r="E392" s="3">
        <f>350*836.9</f>
        <v>292915</v>
      </c>
      <c r="F392" s="3">
        <f>1050*836.9</f>
        <v>878745</v>
      </c>
      <c r="G392" s="3">
        <f>300*836.9</f>
        <v>251070</v>
      </c>
      <c r="H392" s="3">
        <f t="shared" si="215"/>
        <v>0</v>
      </c>
      <c r="I392" s="3">
        <f>250*836.9</f>
        <v>209225</v>
      </c>
      <c r="J392" s="3">
        <f t="shared" si="209"/>
        <v>0</v>
      </c>
      <c r="K392" s="4">
        <v>0</v>
      </c>
      <c r="L392" s="3">
        <v>0</v>
      </c>
      <c r="M392" s="3">
        <v>0</v>
      </c>
      <c r="N392" s="3">
        <f>M392*5300</f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119446.81</v>
      </c>
      <c r="V392" s="6" t="e">
        <f>N392/M392</f>
        <v>#DIV/0!</v>
      </c>
    </row>
    <row r="393" spans="1:22" ht="21.9" customHeight="1">
      <c r="A393" s="37" t="s">
        <v>1510</v>
      </c>
      <c r="B393" s="1" t="s">
        <v>180</v>
      </c>
      <c r="C393" s="2">
        <f t="shared" si="175"/>
        <v>3820100</v>
      </c>
      <c r="D393" s="3">
        <f t="shared" si="206"/>
        <v>982020</v>
      </c>
      <c r="E393" s="3">
        <f>350*503.6</f>
        <v>176260</v>
      </c>
      <c r="F393" s="3">
        <f>1050*503.6</f>
        <v>528780</v>
      </c>
      <c r="G393" s="3">
        <f>300*503.6</f>
        <v>151080</v>
      </c>
      <c r="H393" s="3">
        <f t="shared" si="215"/>
        <v>0</v>
      </c>
      <c r="I393" s="3">
        <f>250*503.6</f>
        <v>125900</v>
      </c>
      <c r="J393" s="3">
        <f t="shared" si="209"/>
        <v>0</v>
      </c>
      <c r="K393" s="4">
        <v>0</v>
      </c>
      <c r="L393" s="3">
        <v>0</v>
      </c>
      <c r="M393" s="3">
        <v>278.38</v>
      </c>
      <c r="N393" s="3">
        <f t="shared" si="210"/>
        <v>1531090</v>
      </c>
      <c r="O393" s="3">
        <v>0</v>
      </c>
      <c r="P393" s="3">
        <v>0</v>
      </c>
      <c r="Q393" s="3">
        <v>402.33</v>
      </c>
      <c r="R393" s="3">
        <f t="shared" si="211"/>
        <v>1206990</v>
      </c>
      <c r="S393" s="3">
        <v>0</v>
      </c>
      <c r="T393" s="3">
        <v>0</v>
      </c>
      <c r="U393" s="3">
        <v>100000</v>
      </c>
      <c r="V393" s="6">
        <f t="shared" si="208"/>
        <v>5500</v>
      </c>
    </row>
    <row r="394" spans="1:22" ht="21.9" customHeight="1">
      <c r="A394" s="37" t="s">
        <v>1623</v>
      </c>
      <c r="B394" s="21" t="s">
        <v>185</v>
      </c>
      <c r="C394" s="2">
        <f t="shared" si="175"/>
        <v>13846530</v>
      </c>
      <c r="D394" s="3">
        <f t="shared" si="206"/>
        <v>3762330</v>
      </c>
      <c r="E394" s="3">
        <f>350*1929.4</f>
        <v>675290</v>
      </c>
      <c r="F394" s="3">
        <f>1050*1929.4</f>
        <v>2025870</v>
      </c>
      <c r="G394" s="3">
        <f>300*1929.4</f>
        <v>578820</v>
      </c>
      <c r="H394" s="3">
        <f t="shared" si="215"/>
        <v>0</v>
      </c>
      <c r="I394" s="3">
        <f>250*1929.4</f>
        <v>482350</v>
      </c>
      <c r="J394" s="3">
        <f t="shared" si="209"/>
        <v>0</v>
      </c>
      <c r="K394" s="4">
        <v>0</v>
      </c>
      <c r="L394" s="3">
        <v>0</v>
      </c>
      <c r="M394" s="5">
        <v>1083.4000000000001</v>
      </c>
      <c r="N394" s="5">
        <f>M394*5500</f>
        <v>5958700.0000000009</v>
      </c>
      <c r="O394" s="3">
        <v>0</v>
      </c>
      <c r="P394" s="3">
        <v>0</v>
      </c>
      <c r="Q394" s="3">
        <v>1308.5</v>
      </c>
      <c r="R394" s="3">
        <f t="shared" ref="R394:R402" si="216">Q394*3000</f>
        <v>3925500</v>
      </c>
      <c r="S394" s="3">
        <v>0</v>
      </c>
      <c r="T394" s="3">
        <v>0</v>
      </c>
      <c r="U394" s="3">
        <v>200000</v>
      </c>
      <c r="V394" s="6">
        <f t="shared" si="208"/>
        <v>5500</v>
      </c>
    </row>
    <row r="395" spans="1:22" ht="21.9" customHeight="1">
      <c r="A395" s="37" t="s">
        <v>1624</v>
      </c>
      <c r="B395" s="1" t="s">
        <v>183</v>
      </c>
      <c r="C395" s="2">
        <f t="shared" si="175"/>
        <v>5015130</v>
      </c>
      <c r="D395" s="3">
        <f t="shared" si="206"/>
        <v>919380</v>
      </c>
      <c r="E395" s="3">
        <f>350*656.7</f>
        <v>229845.00000000003</v>
      </c>
      <c r="F395" s="3">
        <f>1050*656.7</f>
        <v>689535</v>
      </c>
      <c r="G395" s="3">
        <v>0</v>
      </c>
      <c r="H395" s="3">
        <f t="shared" si="215"/>
        <v>0</v>
      </c>
      <c r="I395" s="3">
        <v>0</v>
      </c>
      <c r="J395" s="3">
        <f t="shared" si="209"/>
        <v>0</v>
      </c>
      <c r="K395" s="4">
        <v>0</v>
      </c>
      <c r="L395" s="3">
        <v>0</v>
      </c>
      <c r="M395" s="3">
        <v>368.3</v>
      </c>
      <c r="N395" s="3">
        <f t="shared" ref="N395:N402" si="217">M395*5500</f>
        <v>2025650</v>
      </c>
      <c r="O395" s="3">
        <v>0</v>
      </c>
      <c r="P395" s="3">
        <v>0</v>
      </c>
      <c r="Q395" s="5">
        <v>656.7</v>
      </c>
      <c r="R395" s="3">
        <f t="shared" si="216"/>
        <v>1970100.0000000002</v>
      </c>
      <c r="S395" s="3">
        <f>S1120</f>
        <v>0</v>
      </c>
      <c r="T395" s="3">
        <v>0</v>
      </c>
      <c r="U395" s="3">
        <v>100000</v>
      </c>
      <c r="V395" s="6">
        <f t="shared" si="208"/>
        <v>5500</v>
      </c>
    </row>
    <row r="396" spans="1:22" ht="21.9" customHeight="1">
      <c r="A396" s="37" t="s">
        <v>1625</v>
      </c>
      <c r="B396" s="1" t="s">
        <v>184</v>
      </c>
      <c r="C396" s="2">
        <f t="shared" si="175"/>
        <v>5359260</v>
      </c>
      <c r="D396" s="3">
        <f t="shared" si="206"/>
        <v>1145760</v>
      </c>
      <c r="E396" s="3">
        <f>350*818.4</f>
        <v>286440</v>
      </c>
      <c r="F396" s="3">
        <f>1050*818.4</f>
        <v>859320</v>
      </c>
      <c r="G396" s="3">
        <v>0</v>
      </c>
      <c r="H396" s="3">
        <f t="shared" si="215"/>
        <v>0</v>
      </c>
      <c r="I396" s="3">
        <v>0</v>
      </c>
      <c r="J396" s="3">
        <f t="shared" si="209"/>
        <v>0</v>
      </c>
      <c r="K396" s="4">
        <v>0</v>
      </c>
      <c r="L396" s="3">
        <v>0</v>
      </c>
      <c r="M396" s="3">
        <v>428</v>
      </c>
      <c r="N396" s="3">
        <f t="shared" si="217"/>
        <v>2354000</v>
      </c>
      <c r="O396" s="3">
        <v>0</v>
      </c>
      <c r="P396" s="3">
        <v>0</v>
      </c>
      <c r="Q396" s="3">
        <v>586.5</v>
      </c>
      <c r="R396" s="3">
        <f t="shared" si="216"/>
        <v>1759500</v>
      </c>
      <c r="S396" s="3">
        <v>0</v>
      </c>
      <c r="T396" s="3">
        <v>0</v>
      </c>
      <c r="U396" s="3">
        <v>100000</v>
      </c>
      <c r="V396" s="6">
        <f t="shared" si="208"/>
        <v>5500</v>
      </c>
    </row>
    <row r="397" spans="1:22" ht="21.9" customHeight="1">
      <c r="A397" s="37" t="s">
        <v>1626</v>
      </c>
      <c r="B397" s="1" t="s">
        <v>186</v>
      </c>
      <c r="C397" s="2">
        <f>D397+L397+N397+P397+R397+S397+T397+U397</f>
        <v>5061145</v>
      </c>
      <c r="D397" s="3">
        <f>SUM(E397:J397)</f>
        <v>1546545</v>
      </c>
      <c r="E397" s="3">
        <f>350*793.1</f>
        <v>277585</v>
      </c>
      <c r="F397" s="3">
        <f>1050*793.1</f>
        <v>832755</v>
      </c>
      <c r="G397" s="3">
        <f>300*793.1</f>
        <v>237930</v>
      </c>
      <c r="H397" s="3">
        <v>0</v>
      </c>
      <c r="I397" s="3">
        <f>250*793.1</f>
        <v>198275</v>
      </c>
      <c r="J397" s="3">
        <f t="shared" si="209"/>
        <v>0</v>
      </c>
      <c r="K397" s="4">
        <v>0</v>
      </c>
      <c r="L397" s="3">
        <v>0</v>
      </c>
      <c r="M397" s="3">
        <v>346.8</v>
      </c>
      <c r="N397" s="3">
        <f t="shared" ref="N397" si="218">M397*5500</f>
        <v>1907400</v>
      </c>
      <c r="O397" s="3">
        <v>0</v>
      </c>
      <c r="P397" s="3">
        <f>O397*410</f>
        <v>0</v>
      </c>
      <c r="Q397" s="3">
        <v>502.4</v>
      </c>
      <c r="R397" s="3">
        <f>Q397*3000</f>
        <v>1507200</v>
      </c>
      <c r="S397" s="3">
        <v>0</v>
      </c>
      <c r="T397" s="3">
        <v>0</v>
      </c>
      <c r="U397" s="3">
        <v>100000</v>
      </c>
      <c r="V397" s="6">
        <f>N397/M397</f>
        <v>5500</v>
      </c>
    </row>
    <row r="398" spans="1:22" ht="21.9" customHeight="1">
      <c r="A398" s="37" t="s">
        <v>1627</v>
      </c>
      <c r="B398" s="1" t="s">
        <v>187</v>
      </c>
      <c r="C398" s="2">
        <f t="shared" si="175"/>
        <v>2069697.4399999997</v>
      </c>
      <c r="D398" s="3">
        <f t="shared" si="206"/>
        <v>128380</v>
      </c>
      <c r="E398" s="3">
        <f>350*366.8</f>
        <v>128380</v>
      </c>
      <c r="F398" s="3">
        <f>1050*0</f>
        <v>0</v>
      </c>
      <c r="G398" s="3">
        <f>300*0</f>
        <v>0</v>
      </c>
      <c r="H398" s="3">
        <f>400*0</f>
        <v>0</v>
      </c>
      <c r="I398" s="3">
        <f>250*0</f>
        <v>0</v>
      </c>
      <c r="J398" s="3">
        <f t="shared" si="209"/>
        <v>0</v>
      </c>
      <c r="K398" s="4">
        <v>0</v>
      </c>
      <c r="L398" s="3">
        <v>0</v>
      </c>
      <c r="M398" s="3">
        <v>163.19999999999999</v>
      </c>
      <c r="N398" s="3">
        <f t="shared" si="217"/>
        <v>897599.99999999988</v>
      </c>
      <c r="O398" s="3">
        <v>0</v>
      </c>
      <c r="P398" s="3">
        <f>O398*410</f>
        <v>0</v>
      </c>
      <c r="Q398" s="3">
        <v>308.77999999999997</v>
      </c>
      <c r="R398" s="3">
        <f t="shared" si="216"/>
        <v>926339.99999999988</v>
      </c>
      <c r="S398" s="3">
        <v>0</v>
      </c>
      <c r="T398" s="3">
        <v>0</v>
      </c>
      <c r="U398" s="3">
        <v>117377.44</v>
      </c>
      <c r="V398" s="6">
        <f t="shared" si="208"/>
        <v>5500</v>
      </c>
    </row>
    <row r="399" spans="1:22" ht="21.9" customHeight="1">
      <c r="A399" s="37" t="s">
        <v>1628</v>
      </c>
      <c r="B399" s="21" t="s">
        <v>188</v>
      </c>
      <c r="C399" s="2">
        <f t="shared" si="175"/>
        <v>5364165</v>
      </c>
      <c r="D399" s="3">
        <f t="shared" si="206"/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4">
        <v>0</v>
      </c>
      <c r="L399" s="3">
        <v>0</v>
      </c>
      <c r="M399" s="3">
        <v>614.07000000000005</v>
      </c>
      <c r="N399" s="3">
        <f t="shared" si="217"/>
        <v>3377385.0000000005</v>
      </c>
      <c r="O399" s="3">
        <v>0</v>
      </c>
      <c r="P399" s="3">
        <f>O399*410</f>
        <v>0</v>
      </c>
      <c r="Q399" s="3">
        <v>662.26</v>
      </c>
      <c r="R399" s="3">
        <f t="shared" si="216"/>
        <v>1986780</v>
      </c>
      <c r="S399" s="3">
        <f>S903</f>
        <v>0</v>
      </c>
      <c r="T399" s="3">
        <v>0</v>
      </c>
      <c r="U399" s="3">
        <v>0</v>
      </c>
      <c r="V399" s="6">
        <f t="shared" si="208"/>
        <v>5500</v>
      </c>
    </row>
    <row r="400" spans="1:22" ht="21.9" customHeight="1">
      <c r="A400" s="37" t="s">
        <v>1629</v>
      </c>
      <c r="B400" s="21" t="s">
        <v>189</v>
      </c>
      <c r="C400" s="2">
        <f t="shared" si="175"/>
        <v>3449223.81</v>
      </c>
      <c r="D400" s="3">
        <f t="shared" si="206"/>
        <v>686400</v>
      </c>
      <c r="E400" s="3">
        <f>350*352</f>
        <v>123200</v>
      </c>
      <c r="F400" s="3">
        <f>1050*352</f>
        <v>369600</v>
      </c>
      <c r="G400" s="3">
        <f>300*352</f>
        <v>105600</v>
      </c>
      <c r="H400" s="3">
        <f>400*0</f>
        <v>0</v>
      </c>
      <c r="I400" s="3">
        <f>250*352</f>
        <v>88000</v>
      </c>
      <c r="J400" s="3">
        <f>350*0</f>
        <v>0</v>
      </c>
      <c r="K400" s="4">
        <v>0</v>
      </c>
      <c r="L400" s="3">
        <v>0</v>
      </c>
      <c r="M400" s="3">
        <v>277</v>
      </c>
      <c r="N400" s="3">
        <f t="shared" si="217"/>
        <v>1523500</v>
      </c>
      <c r="O400" s="3">
        <v>0</v>
      </c>
      <c r="P400" s="3">
        <f>O400*410</f>
        <v>0</v>
      </c>
      <c r="Q400" s="3">
        <v>378.4</v>
      </c>
      <c r="R400" s="3">
        <f t="shared" si="216"/>
        <v>1135200</v>
      </c>
      <c r="S400" s="3">
        <f>S905</f>
        <v>0</v>
      </c>
      <c r="T400" s="3">
        <v>0</v>
      </c>
      <c r="U400" s="3">
        <v>104123.81</v>
      </c>
      <c r="V400" s="6">
        <f t="shared" si="208"/>
        <v>5500</v>
      </c>
    </row>
    <row r="401" spans="1:22" ht="21.9" customHeight="1">
      <c r="A401" s="37" t="s">
        <v>1630</v>
      </c>
      <c r="B401" s="1" t="s">
        <v>190</v>
      </c>
      <c r="C401" s="2">
        <f t="shared" si="175"/>
        <v>4749800</v>
      </c>
      <c r="D401" s="3">
        <f t="shared" si="206"/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4">
        <v>0</v>
      </c>
      <c r="L401" s="3">
        <v>0</v>
      </c>
      <c r="M401" s="3">
        <v>863.6</v>
      </c>
      <c r="N401" s="3">
        <f t="shared" si="217"/>
        <v>4749800</v>
      </c>
      <c r="O401" s="3">
        <v>0</v>
      </c>
      <c r="P401" s="3">
        <v>0</v>
      </c>
      <c r="Q401" s="3">
        <v>0</v>
      </c>
      <c r="R401" s="3">
        <f t="shared" si="216"/>
        <v>0</v>
      </c>
      <c r="S401" s="3">
        <v>0</v>
      </c>
      <c r="T401" s="3">
        <v>0</v>
      </c>
      <c r="U401" s="3">
        <v>0</v>
      </c>
      <c r="V401" s="6">
        <f t="shared" si="208"/>
        <v>5500</v>
      </c>
    </row>
    <row r="402" spans="1:22" ht="21.9" customHeight="1">
      <c r="A402" s="37" t="s">
        <v>1631</v>
      </c>
      <c r="B402" s="1" t="s">
        <v>191</v>
      </c>
      <c r="C402" s="2">
        <f t="shared" si="175"/>
        <v>4122800</v>
      </c>
      <c r="D402" s="3">
        <f t="shared" si="206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749.6</v>
      </c>
      <c r="N402" s="3">
        <f t="shared" si="217"/>
        <v>4122800</v>
      </c>
      <c r="O402" s="3">
        <v>0</v>
      </c>
      <c r="P402" s="3">
        <v>0</v>
      </c>
      <c r="Q402" s="3">
        <v>0</v>
      </c>
      <c r="R402" s="3">
        <f t="shared" si="216"/>
        <v>0</v>
      </c>
      <c r="S402" s="3">
        <v>0</v>
      </c>
      <c r="T402" s="3">
        <v>0</v>
      </c>
      <c r="U402" s="3">
        <v>0</v>
      </c>
      <c r="V402" s="6">
        <f t="shared" si="208"/>
        <v>5500</v>
      </c>
    </row>
    <row r="403" spans="1:22" ht="45" customHeight="1">
      <c r="A403" s="53" t="s">
        <v>222</v>
      </c>
      <c r="B403" s="53"/>
      <c r="C403" s="2">
        <f>SUM(C404)</f>
        <v>4202040.5</v>
      </c>
      <c r="D403" s="2">
        <f t="shared" ref="D403:U403" si="219">SUM(D404)</f>
        <v>189220.5</v>
      </c>
      <c r="E403" s="2">
        <f t="shared" si="219"/>
        <v>189220.5</v>
      </c>
      <c r="F403" s="2">
        <f t="shared" si="219"/>
        <v>0</v>
      </c>
      <c r="G403" s="2">
        <f t="shared" si="219"/>
        <v>0</v>
      </c>
      <c r="H403" s="2">
        <f t="shared" si="219"/>
        <v>0</v>
      </c>
      <c r="I403" s="2">
        <f t="shared" si="219"/>
        <v>0</v>
      </c>
      <c r="J403" s="2">
        <f t="shared" si="219"/>
        <v>0</v>
      </c>
      <c r="K403" s="14">
        <f t="shared" si="219"/>
        <v>0</v>
      </c>
      <c r="L403" s="2">
        <f t="shared" si="219"/>
        <v>0</v>
      </c>
      <c r="M403" s="2">
        <f t="shared" si="219"/>
        <v>395.68</v>
      </c>
      <c r="N403" s="2">
        <f t="shared" si="219"/>
        <v>2176240</v>
      </c>
      <c r="O403" s="2">
        <f t="shared" si="219"/>
        <v>0</v>
      </c>
      <c r="P403" s="2">
        <f t="shared" si="219"/>
        <v>0</v>
      </c>
      <c r="Q403" s="2">
        <f t="shared" si="219"/>
        <v>526.08000000000004</v>
      </c>
      <c r="R403" s="2">
        <f t="shared" si="219"/>
        <v>1578240.0000000002</v>
      </c>
      <c r="S403" s="2">
        <f t="shared" si="219"/>
        <v>158340</v>
      </c>
      <c r="T403" s="2">
        <f t="shared" si="219"/>
        <v>0</v>
      </c>
      <c r="U403" s="2">
        <f t="shared" si="219"/>
        <v>100000</v>
      </c>
    </row>
    <row r="404" spans="1:22" ht="21.9" customHeight="1">
      <c r="A404" s="37" t="s">
        <v>1632</v>
      </c>
      <c r="B404" s="8" t="s">
        <v>224</v>
      </c>
      <c r="C404" s="2">
        <f t="shared" si="175"/>
        <v>4202040.5</v>
      </c>
      <c r="D404" s="3">
        <f t="shared" ref="D404" si="220">SUM(E404:J404)</f>
        <v>189220.5</v>
      </c>
      <c r="E404" s="3">
        <f>350*540.63</f>
        <v>189220.5</v>
      </c>
      <c r="F404" s="3">
        <f>1050*0</f>
        <v>0</v>
      </c>
      <c r="G404" s="3">
        <f>300*0</f>
        <v>0</v>
      </c>
      <c r="H404" s="3">
        <f>400*0</f>
        <v>0</v>
      </c>
      <c r="I404" s="3">
        <f>250*0</f>
        <v>0</v>
      </c>
      <c r="J404" s="3">
        <f>350*0</f>
        <v>0</v>
      </c>
      <c r="K404" s="4">
        <v>0</v>
      </c>
      <c r="L404" s="3">
        <v>0</v>
      </c>
      <c r="M404" s="3">
        <v>395.68</v>
      </c>
      <c r="N404" s="3">
        <f t="shared" ref="N404" si="221">M404*5500</f>
        <v>2176240</v>
      </c>
      <c r="O404" s="3">
        <v>0</v>
      </c>
      <c r="P404" s="3">
        <v>0</v>
      </c>
      <c r="Q404" s="3">
        <v>526.08000000000004</v>
      </c>
      <c r="R404" s="3">
        <f>Q404*3000</f>
        <v>1578240.0000000002</v>
      </c>
      <c r="S404" s="3">
        <v>158340</v>
      </c>
      <c r="T404" s="3">
        <v>0</v>
      </c>
      <c r="U404" s="3">
        <v>100000</v>
      </c>
      <c r="V404" s="6">
        <f t="shared" ref="V404" si="222">N404/M404</f>
        <v>5500</v>
      </c>
    </row>
    <row r="405" spans="1:22" ht="45" customHeight="1">
      <c r="A405" s="53" t="s">
        <v>221</v>
      </c>
      <c r="B405" s="53"/>
      <c r="C405" s="2">
        <f>SUM(C406:C414)</f>
        <v>24740468.77</v>
      </c>
      <c r="D405" s="2">
        <f t="shared" ref="D405:U405" si="223">SUM(D406:D414)</f>
        <v>8577163.5</v>
      </c>
      <c r="E405" s="2">
        <f t="shared" si="223"/>
        <v>1366725.5</v>
      </c>
      <c r="F405" s="2">
        <f t="shared" si="223"/>
        <v>4100176.5</v>
      </c>
      <c r="G405" s="2">
        <f t="shared" si="223"/>
        <v>1171479</v>
      </c>
      <c r="H405" s="2">
        <f t="shared" si="223"/>
        <v>1053300</v>
      </c>
      <c r="I405" s="2">
        <f t="shared" si="223"/>
        <v>885482.5</v>
      </c>
      <c r="J405" s="2">
        <f t="shared" si="223"/>
        <v>0</v>
      </c>
      <c r="K405" s="14">
        <f t="shared" si="223"/>
        <v>0</v>
      </c>
      <c r="L405" s="2">
        <f t="shared" si="223"/>
        <v>0</v>
      </c>
      <c r="M405" s="2">
        <f t="shared" si="223"/>
        <v>1681.74</v>
      </c>
      <c r="N405" s="2">
        <f t="shared" si="223"/>
        <v>9249570</v>
      </c>
      <c r="O405" s="2">
        <f t="shared" si="223"/>
        <v>0</v>
      </c>
      <c r="P405" s="2">
        <f t="shared" si="223"/>
        <v>0</v>
      </c>
      <c r="Q405" s="2">
        <f t="shared" si="223"/>
        <v>1717.58</v>
      </c>
      <c r="R405" s="2">
        <f t="shared" si="223"/>
        <v>5152740</v>
      </c>
      <c r="S405" s="2">
        <f t="shared" si="223"/>
        <v>300300</v>
      </c>
      <c r="T405" s="2">
        <f t="shared" si="223"/>
        <v>0</v>
      </c>
      <c r="U405" s="2">
        <f t="shared" si="223"/>
        <v>1460695.27</v>
      </c>
    </row>
    <row r="406" spans="1:22" ht="21.9" customHeight="1">
      <c r="A406" s="37" t="s">
        <v>1633</v>
      </c>
      <c r="B406" s="8" t="s">
        <v>212</v>
      </c>
      <c r="C406" s="2">
        <f t="shared" si="175"/>
        <v>310000</v>
      </c>
      <c r="D406" s="3">
        <f t="shared" ref="D406:D414" si="224">SUM(E406:J406)</f>
        <v>0</v>
      </c>
      <c r="E406" s="3">
        <v>0</v>
      </c>
      <c r="F406" s="3">
        <v>0</v>
      </c>
      <c r="G406" s="3">
        <v>0</v>
      </c>
      <c r="H406" s="3">
        <f>400*0</f>
        <v>0</v>
      </c>
      <c r="I406" s="3">
        <f>250*0</f>
        <v>0</v>
      </c>
      <c r="J406" s="3">
        <f t="shared" ref="J406:J411" si="225">350*0</f>
        <v>0</v>
      </c>
      <c r="K406" s="4">
        <v>0</v>
      </c>
      <c r="L406" s="3">
        <v>0</v>
      </c>
      <c r="M406" s="5">
        <v>0</v>
      </c>
      <c r="N406" s="3">
        <f t="shared" ref="N406:N412" si="226">M406*5500</f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310000</v>
      </c>
      <c r="V406" s="6" t="e">
        <f t="shared" ref="V406:V414" si="227">N406/M406</f>
        <v>#DIV/0!</v>
      </c>
    </row>
    <row r="407" spans="1:22" ht="21.9" customHeight="1">
      <c r="A407" s="37" t="s">
        <v>1634</v>
      </c>
      <c r="B407" s="8" t="s">
        <v>213</v>
      </c>
      <c r="C407" s="2">
        <f t="shared" si="175"/>
        <v>300000</v>
      </c>
      <c r="D407" s="3">
        <f t="shared" si="224"/>
        <v>0</v>
      </c>
      <c r="E407" s="3">
        <v>0</v>
      </c>
      <c r="F407" s="3">
        <v>0</v>
      </c>
      <c r="G407" s="3">
        <v>0</v>
      </c>
      <c r="H407" s="3">
        <f>400*0</f>
        <v>0</v>
      </c>
      <c r="I407" s="3">
        <f>250*0</f>
        <v>0</v>
      </c>
      <c r="J407" s="3">
        <f t="shared" si="225"/>
        <v>0</v>
      </c>
      <c r="K407" s="4">
        <v>0</v>
      </c>
      <c r="L407" s="3">
        <v>0</v>
      </c>
      <c r="M407" s="5">
        <v>0</v>
      </c>
      <c r="N407" s="3">
        <v>0</v>
      </c>
      <c r="O407" s="3">
        <v>0</v>
      </c>
      <c r="P407" s="3">
        <v>0</v>
      </c>
      <c r="Q407" s="3">
        <v>0</v>
      </c>
      <c r="R407" s="3">
        <f t="shared" ref="R407:R414" si="228">Q407*3000</f>
        <v>0</v>
      </c>
      <c r="S407" s="3">
        <v>0</v>
      </c>
      <c r="T407" s="3">
        <v>0</v>
      </c>
      <c r="U407" s="3">
        <v>300000</v>
      </c>
      <c r="V407" s="6" t="e">
        <f t="shared" si="227"/>
        <v>#DIV/0!</v>
      </c>
    </row>
    <row r="408" spans="1:22" ht="21.9" customHeight="1">
      <c r="A408" s="37" t="s">
        <v>1635</v>
      </c>
      <c r="B408" s="8" t="s">
        <v>214</v>
      </c>
      <c r="C408" s="2">
        <f t="shared" si="175"/>
        <v>300000</v>
      </c>
      <c r="D408" s="3">
        <f t="shared" si="224"/>
        <v>0</v>
      </c>
      <c r="E408" s="3">
        <v>0</v>
      </c>
      <c r="F408" s="3">
        <v>0</v>
      </c>
      <c r="G408" s="3">
        <v>0</v>
      </c>
      <c r="H408" s="3">
        <f>400*0</f>
        <v>0</v>
      </c>
      <c r="I408" s="3">
        <f>250*0</f>
        <v>0</v>
      </c>
      <c r="J408" s="3">
        <f t="shared" si="225"/>
        <v>0</v>
      </c>
      <c r="K408" s="11">
        <v>0</v>
      </c>
      <c r="L408" s="5">
        <v>0</v>
      </c>
      <c r="M408" s="5">
        <v>0</v>
      </c>
      <c r="N408" s="3">
        <v>0</v>
      </c>
      <c r="O408" s="5">
        <v>0</v>
      </c>
      <c r="P408" s="5">
        <v>0</v>
      </c>
      <c r="Q408" s="5">
        <v>0</v>
      </c>
      <c r="R408" s="3">
        <f t="shared" si="228"/>
        <v>0</v>
      </c>
      <c r="S408" s="5">
        <v>0</v>
      </c>
      <c r="T408" s="3">
        <v>0</v>
      </c>
      <c r="U408" s="5">
        <v>300000</v>
      </c>
      <c r="V408" s="6" t="e">
        <f t="shared" si="227"/>
        <v>#DIV/0!</v>
      </c>
    </row>
    <row r="409" spans="1:22" ht="21.9" customHeight="1">
      <c r="A409" s="37" t="s">
        <v>1636</v>
      </c>
      <c r="B409" s="8" t="s">
        <v>215</v>
      </c>
      <c r="C409" s="2">
        <f t="shared" si="175"/>
        <v>4183820</v>
      </c>
      <c r="D409" s="3">
        <f t="shared" si="224"/>
        <v>617100</v>
      </c>
      <c r="E409" s="3">
        <f>350*363</f>
        <v>127050</v>
      </c>
      <c r="F409" s="3">
        <f>1050*363</f>
        <v>381150</v>
      </c>
      <c r="G409" s="3">
        <f>300*363</f>
        <v>108900</v>
      </c>
      <c r="H409" s="3">
        <f>400*0</f>
        <v>0</v>
      </c>
      <c r="I409" s="3">
        <f>250*0</f>
        <v>0</v>
      </c>
      <c r="J409" s="3">
        <f t="shared" si="225"/>
        <v>0</v>
      </c>
      <c r="K409" s="4">
        <v>0</v>
      </c>
      <c r="L409" s="3">
        <v>0</v>
      </c>
      <c r="M409" s="3">
        <v>472.36</v>
      </c>
      <c r="N409" s="3">
        <f t="shared" si="226"/>
        <v>2597980</v>
      </c>
      <c r="O409" s="3">
        <v>0</v>
      </c>
      <c r="P409" s="3">
        <v>0</v>
      </c>
      <c r="Q409" s="3">
        <v>289.58</v>
      </c>
      <c r="R409" s="3">
        <f t="shared" si="228"/>
        <v>868740</v>
      </c>
      <c r="S409" s="3">
        <v>0</v>
      </c>
      <c r="T409" s="3">
        <v>0</v>
      </c>
      <c r="U409" s="3">
        <v>100000</v>
      </c>
      <c r="V409" s="6">
        <f t="shared" si="227"/>
        <v>5500</v>
      </c>
    </row>
    <row r="410" spans="1:22" ht="21.9" customHeight="1">
      <c r="A410" s="37" t="s">
        <v>1637</v>
      </c>
      <c r="B410" s="8" t="s">
        <v>216</v>
      </c>
      <c r="C410" s="2">
        <f t="shared" si="175"/>
        <v>5314806</v>
      </c>
      <c r="D410" s="3">
        <f t="shared" si="224"/>
        <v>998166</v>
      </c>
      <c r="E410" s="3">
        <f>350*511.88</f>
        <v>179158</v>
      </c>
      <c r="F410" s="3">
        <f>1050*511.88</f>
        <v>537474</v>
      </c>
      <c r="G410" s="3">
        <f>300*511.88</f>
        <v>153564</v>
      </c>
      <c r="H410" s="3">
        <v>0</v>
      </c>
      <c r="I410" s="3">
        <f>250*511.88</f>
        <v>127970</v>
      </c>
      <c r="J410" s="3">
        <f t="shared" si="225"/>
        <v>0</v>
      </c>
      <c r="K410" s="4">
        <v>0</v>
      </c>
      <c r="L410" s="3">
        <v>0</v>
      </c>
      <c r="M410" s="3">
        <v>487.88</v>
      </c>
      <c r="N410" s="3">
        <f t="shared" si="226"/>
        <v>2683340</v>
      </c>
      <c r="O410" s="3">
        <v>0</v>
      </c>
      <c r="P410" s="3">
        <v>0</v>
      </c>
      <c r="Q410" s="3">
        <v>457.2</v>
      </c>
      <c r="R410" s="3">
        <f t="shared" si="228"/>
        <v>1371600</v>
      </c>
      <c r="S410" s="3">
        <v>161700</v>
      </c>
      <c r="T410" s="3">
        <v>0</v>
      </c>
      <c r="U410" s="3">
        <v>100000</v>
      </c>
      <c r="V410" s="6">
        <f t="shared" si="227"/>
        <v>5500</v>
      </c>
    </row>
    <row r="411" spans="1:22" ht="21.9" customHeight="1">
      <c r="A411" s="37" t="s">
        <v>1638</v>
      </c>
      <c r="B411" s="8" t="s">
        <v>217</v>
      </c>
      <c r="C411" s="2">
        <f t="shared" si="175"/>
        <v>4489610</v>
      </c>
      <c r="D411" s="3">
        <f t="shared" si="224"/>
        <v>773760</v>
      </c>
      <c r="E411" s="3">
        <f>350*396.8</f>
        <v>138880</v>
      </c>
      <c r="F411" s="3">
        <f>1050*396.8</f>
        <v>416640</v>
      </c>
      <c r="G411" s="3">
        <f>300*396.8</f>
        <v>119040</v>
      </c>
      <c r="H411" s="3">
        <v>0</v>
      </c>
      <c r="I411" s="3">
        <f>250*396.8</f>
        <v>99200</v>
      </c>
      <c r="J411" s="3">
        <f t="shared" si="225"/>
        <v>0</v>
      </c>
      <c r="K411" s="4">
        <v>0</v>
      </c>
      <c r="L411" s="3">
        <v>0</v>
      </c>
      <c r="M411" s="3">
        <v>371.5</v>
      </c>
      <c r="N411" s="3">
        <f t="shared" si="226"/>
        <v>2043250</v>
      </c>
      <c r="O411" s="3">
        <v>0</v>
      </c>
      <c r="P411" s="3">
        <v>0</v>
      </c>
      <c r="Q411" s="3">
        <v>478</v>
      </c>
      <c r="R411" s="3">
        <f t="shared" si="228"/>
        <v>1434000</v>
      </c>
      <c r="S411" s="3">
        <v>138600</v>
      </c>
      <c r="T411" s="3">
        <v>0</v>
      </c>
      <c r="U411" s="3">
        <v>100000</v>
      </c>
      <c r="V411" s="6">
        <f t="shared" si="227"/>
        <v>5500</v>
      </c>
    </row>
    <row r="412" spans="1:22" ht="21.9" customHeight="1">
      <c r="A412" s="37" t="s">
        <v>1639</v>
      </c>
      <c r="B412" s="8" t="s">
        <v>1079</v>
      </c>
      <c r="C412" s="2">
        <f t="shared" si="175"/>
        <v>3403400</v>
      </c>
      <c r="D412" s="3">
        <f t="shared" si="224"/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4">
        <v>0</v>
      </c>
      <c r="L412" s="3">
        <v>0</v>
      </c>
      <c r="M412" s="3">
        <v>350</v>
      </c>
      <c r="N412" s="3">
        <f t="shared" si="226"/>
        <v>1925000</v>
      </c>
      <c r="O412" s="3">
        <v>0</v>
      </c>
      <c r="P412" s="3">
        <v>0</v>
      </c>
      <c r="Q412" s="3">
        <v>492.8</v>
      </c>
      <c r="R412" s="3">
        <f t="shared" si="228"/>
        <v>1478400</v>
      </c>
      <c r="S412" s="3">
        <v>0</v>
      </c>
      <c r="T412" s="3">
        <v>0</v>
      </c>
      <c r="U412" s="3">
        <v>0</v>
      </c>
      <c r="V412" s="6">
        <f t="shared" si="227"/>
        <v>5500</v>
      </c>
    </row>
    <row r="413" spans="1:22" ht="21.9" customHeight="1">
      <c r="A413" s="37" t="s">
        <v>1640</v>
      </c>
      <c r="B413" s="8" t="s">
        <v>1195</v>
      </c>
      <c r="C413" s="2">
        <f t="shared" si="175"/>
        <v>3200647.32</v>
      </c>
      <c r="D413" s="3">
        <f t="shared" si="224"/>
        <v>3075586</v>
      </c>
      <c r="E413" s="3">
        <f>350*1308.76</f>
        <v>458066</v>
      </c>
      <c r="F413" s="3">
        <f>1050*1308.76</f>
        <v>1374198</v>
      </c>
      <c r="G413" s="3">
        <f>300*1308.76</f>
        <v>392628</v>
      </c>
      <c r="H413" s="3">
        <f>400*1308.76</f>
        <v>523504</v>
      </c>
      <c r="I413" s="3">
        <f>250*1308.76</f>
        <v>327190</v>
      </c>
      <c r="J413" s="3">
        <v>0</v>
      </c>
      <c r="K413" s="4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f t="shared" si="228"/>
        <v>0</v>
      </c>
      <c r="S413" s="3">
        <v>0</v>
      </c>
      <c r="T413" s="3">
        <v>0</v>
      </c>
      <c r="U413" s="3">
        <v>125061.32</v>
      </c>
      <c r="V413" s="6" t="e">
        <f t="shared" si="227"/>
        <v>#DIV/0!</v>
      </c>
    </row>
    <row r="414" spans="1:22" ht="21.9" customHeight="1">
      <c r="A414" s="37" t="s">
        <v>1641</v>
      </c>
      <c r="B414" s="8" t="s">
        <v>1196</v>
      </c>
      <c r="C414" s="2">
        <f t="shared" si="175"/>
        <v>3238185.45</v>
      </c>
      <c r="D414" s="3">
        <f t="shared" si="224"/>
        <v>3112551.5</v>
      </c>
      <c r="E414" s="3">
        <f>350*1324.49</f>
        <v>463571.5</v>
      </c>
      <c r="F414" s="3">
        <f>1050*1324.49</f>
        <v>1390714.5</v>
      </c>
      <c r="G414" s="3">
        <f>300*1324.49</f>
        <v>397347</v>
      </c>
      <c r="H414" s="3">
        <f>400*1324.49</f>
        <v>529796</v>
      </c>
      <c r="I414" s="3">
        <f>250*1324.49</f>
        <v>331122.5</v>
      </c>
      <c r="J414" s="3">
        <v>0</v>
      </c>
      <c r="K414" s="4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f t="shared" si="228"/>
        <v>0</v>
      </c>
      <c r="S414" s="3">
        <v>0</v>
      </c>
      <c r="T414" s="3">
        <v>0</v>
      </c>
      <c r="U414" s="3">
        <v>125633.95</v>
      </c>
      <c r="V414" s="6" t="e">
        <f t="shared" si="227"/>
        <v>#DIV/0!</v>
      </c>
    </row>
    <row r="415" spans="1:22" ht="45" customHeight="1">
      <c r="A415" s="53" t="s">
        <v>225</v>
      </c>
      <c r="B415" s="53"/>
      <c r="C415" s="2">
        <f>SUM(C416:C422)</f>
        <v>31172099.800000001</v>
      </c>
      <c r="D415" s="2">
        <f t="shared" ref="D415:U415" si="229">SUM(D416:D422)</f>
        <v>3682320</v>
      </c>
      <c r="E415" s="2">
        <f t="shared" si="229"/>
        <v>768880</v>
      </c>
      <c r="F415" s="2">
        <f t="shared" si="229"/>
        <v>1454460</v>
      </c>
      <c r="G415" s="2">
        <f t="shared" si="229"/>
        <v>558600</v>
      </c>
      <c r="H415" s="2">
        <f t="shared" si="229"/>
        <v>554080</v>
      </c>
      <c r="I415" s="2">
        <f t="shared" si="229"/>
        <v>346300</v>
      </c>
      <c r="J415" s="2">
        <f t="shared" si="229"/>
        <v>0</v>
      </c>
      <c r="K415" s="14">
        <f t="shared" si="229"/>
        <v>0</v>
      </c>
      <c r="L415" s="2">
        <f t="shared" si="229"/>
        <v>0</v>
      </c>
      <c r="M415" s="2">
        <f t="shared" si="229"/>
        <v>2928.22</v>
      </c>
      <c r="N415" s="2">
        <f t="shared" si="229"/>
        <v>15108779.800000001</v>
      </c>
      <c r="O415" s="2">
        <f t="shared" si="229"/>
        <v>0</v>
      </c>
      <c r="P415" s="2">
        <f t="shared" si="229"/>
        <v>0</v>
      </c>
      <c r="Q415" s="2">
        <f t="shared" si="229"/>
        <v>3927</v>
      </c>
      <c r="R415" s="2">
        <f t="shared" si="229"/>
        <v>11781000</v>
      </c>
      <c r="S415" s="2">
        <f t="shared" si="229"/>
        <v>0</v>
      </c>
      <c r="T415" s="2">
        <f t="shared" si="229"/>
        <v>0</v>
      </c>
      <c r="U415" s="2">
        <f t="shared" si="229"/>
        <v>600000</v>
      </c>
    </row>
    <row r="416" spans="1:22" ht="21.9" customHeight="1">
      <c r="A416" s="37" t="s">
        <v>1642</v>
      </c>
      <c r="B416" s="8" t="s">
        <v>226</v>
      </c>
      <c r="C416" s="2">
        <f t="shared" si="175"/>
        <v>6535410</v>
      </c>
      <c r="D416" s="3">
        <f t="shared" ref="D416:D422" si="230">SUM(E416:J416)</f>
        <v>1627610</v>
      </c>
      <c r="E416" s="3">
        <f>350*692.6</f>
        <v>242410</v>
      </c>
      <c r="F416" s="3">
        <f>1050*692.6</f>
        <v>727230</v>
      </c>
      <c r="G416" s="3">
        <f>300*692.6</f>
        <v>207780</v>
      </c>
      <c r="H416" s="3">
        <f>400*692.6</f>
        <v>277040</v>
      </c>
      <c r="I416" s="3">
        <f>250*692.6</f>
        <v>173150</v>
      </c>
      <c r="J416" s="3">
        <f>350*0</f>
        <v>0</v>
      </c>
      <c r="K416" s="4">
        <v>0</v>
      </c>
      <c r="L416" s="3">
        <v>0</v>
      </c>
      <c r="M416" s="3">
        <v>525.6</v>
      </c>
      <c r="N416" s="3">
        <f>M416*5500</f>
        <v>2890800</v>
      </c>
      <c r="O416" s="3">
        <v>0</v>
      </c>
      <c r="P416" s="3">
        <v>0</v>
      </c>
      <c r="Q416" s="3">
        <v>639</v>
      </c>
      <c r="R416" s="3">
        <f t="shared" ref="R416:R422" si="231">Q416*3000</f>
        <v>1917000</v>
      </c>
      <c r="S416" s="3">
        <v>0</v>
      </c>
      <c r="T416" s="3">
        <v>0</v>
      </c>
      <c r="U416" s="3">
        <v>100000</v>
      </c>
      <c r="V416" s="6">
        <f t="shared" ref="V416:V422" si="232">N416/M416</f>
        <v>5500</v>
      </c>
    </row>
    <row r="417" spans="1:22" ht="21.9" customHeight="1">
      <c r="A417" s="37" t="s">
        <v>1643</v>
      </c>
      <c r="B417" s="8" t="s">
        <v>227</v>
      </c>
      <c r="C417" s="2">
        <f t="shared" si="175"/>
        <v>6523310</v>
      </c>
      <c r="D417" s="3">
        <f t="shared" si="230"/>
        <v>1627610</v>
      </c>
      <c r="E417" s="3">
        <f>350*692.6</f>
        <v>242410</v>
      </c>
      <c r="F417" s="3">
        <f>1050*692.6</f>
        <v>727230</v>
      </c>
      <c r="G417" s="3">
        <f>300*692.6</f>
        <v>207780</v>
      </c>
      <c r="H417" s="3">
        <f>400*692.6</f>
        <v>277040</v>
      </c>
      <c r="I417" s="3">
        <f>250*692.6</f>
        <v>173150</v>
      </c>
      <c r="J417" s="3">
        <f>350*0</f>
        <v>0</v>
      </c>
      <c r="K417" s="4">
        <v>0</v>
      </c>
      <c r="L417" s="3">
        <v>0</v>
      </c>
      <c r="M417" s="3">
        <v>523.4</v>
      </c>
      <c r="N417" s="3">
        <f>M417*5500</f>
        <v>2878700</v>
      </c>
      <c r="O417" s="3">
        <v>0</v>
      </c>
      <c r="P417" s="3">
        <v>0</v>
      </c>
      <c r="Q417" s="3">
        <v>639</v>
      </c>
      <c r="R417" s="3">
        <f t="shared" si="231"/>
        <v>1917000</v>
      </c>
      <c r="S417" s="3">
        <v>0</v>
      </c>
      <c r="T417" s="3">
        <v>0</v>
      </c>
      <c r="U417" s="3">
        <v>100000</v>
      </c>
      <c r="V417" s="6">
        <f t="shared" si="232"/>
        <v>5500</v>
      </c>
    </row>
    <row r="418" spans="1:22" ht="21.9" customHeight="1">
      <c r="A418" s="37" t="s">
        <v>1644</v>
      </c>
      <c r="B418" s="8" t="s">
        <v>231</v>
      </c>
      <c r="C418" s="2">
        <f t="shared" si="175"/>
        <v>4571140</v>
      </c>
      <c r="D418" s="3">
        <f t="shared" si="230"/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4">
        <v>0</v>
      </c>
      <c r="L418" s="3">
        <v>0</v>
      </c>
      <c r="M418" s="3">
        <v>459.48</v>
      </c>
      <c r="N418" s="3">
        <f t="shared" ref="N418" si="233">M418*5500</f>
        <v>2527140</v>
      </c>
      <c r="O418" s="3">
        <v>0</v>
      </c>
      <c r="P418" s="3">
        <v>0</v>
      </c>
      <c r="Q418" s="3">
        <v>648</v>
      </c>
      <c r="R418" s="3">
        <f t="shared" si="231"/>
        <v>1944000</v>
      </c>
      <c r="S418" s="3">
        <v>0</v>
      </c>
      <c r="T418" s="3">
        <v>0</v>
      </c>
      <c r="U418" s="3">
        <v>100000</v>
      </c>
      <c r="V418" s="6">
        <f t="shared" si="232"/>
        <v>5500</v>
      </c>
    </row>
    <row r="419" spans="1:22" ht="21.9" customHeight="1">
      <c r="A419" s="37" t="s">
        <v>1645</v>
      </c>
      <c r="B419" s="8" t="s">
        <v>234</v>
      </c>
      <c r="C419" s="2">
        <f t="shared" si="175"/>
        <v>3865620</v>
      </c>
      <c r="D419" s="3">
        <f t="shared" si="230"/>
        <v>309920</v>
      </c>
      <c r="E419" s="3">
        <f>350*476.8</f>
        <v>166880</v>
      </c>
      <c r="F419" s="3">
        <v>0</v>
      </c>
      <c r="G419" s="3">
        <f>300*476.8</f>
        <v>143040</v>
      </c>
      <c r="H419" s="3">
        <v>0</v>
      </c>
      <c r="I419" s="3">
        <v>0</v>
      </c>
      <c r="J419" s="3">
        <f>350*0</f>
        <v>0</v>
      </c>
      <c r="K419" s="4">
        <v>0</v>
      </c>
      <c r="L419" s="3">
        <v>0</v>
      </c>
      <c r="M419" s="3">
        <v>365.4</v>
      </c>
      <c r="N419" s="3">
        <f t="shared" ref="N419" si="234">M419*5500</f>
        <v>2009699.9999999998</v>
      </c>
      <c r="O419" s="3">
        <v>0</v>
      </c>
      <c r="P419" s="3">
        <v>0</v>
      </c>
      <c r="Q419" s="3">
        <v>482</v>
      </c>
      <c r="R419" s="3">
        <f t="shared" si="231"/>
        <v>1446000</v>
      </c>
      <c r="S419" s="3">
        <v>0</v>
      </c>
      <c r="T419" s="3">
        <v>0</v>
      </c>
      <c r="U419" s="3">
        <v>100000</v>
      </c>
      <c r="V419" s="6">
        <f t="shared" si="232"/>
        <v>5500</v>
      </c>
    </row>
    <row r="420" spans="1:22" ht="21.9" customHeight="1">
      <c r="A420" s="37" t="s">
        <v>1646</v>
      </c>
      <c r="B420" s="8" t="s">
        <v>237</v>
      </c>
      <c r="C420" s="2">
        <f t="shared" si="175"/>
        <v>3096980</v>
      </c>
      <c r="D420" s="3">
        <f t="shared" si="230"/>
        <v>117180</v>
      </c>
      <c r="E420" s="3">
        <f>350*334.8</f>
        <v>117180</v>
      </c>
      <c r="F420" s="3">
        <f>800*0</f>
        <v>0</v>
      </c>
      <c r="G420" s="3">
        <v>0</v>
      </c>
      <c r="H420" s="3">
        <f>400*0</f>
        <v>0</v>
      </c>
      <c r="I420" s="3">
        <v>0</v>
      </c>
      <c r="J420" s="3">
        <v>0</v>
      </c>
      <c r="K420" s="4">
        <v>0</v>
      </c>
      <c r="L420" s="3">
        <v>0</v>
      </c>
      <c r="M420" s="3">
        <v>301.60000000000002</v>
      </c>
      <c r="N420" s="3">
        <f t="shared" ref="N420" si="235">M420*5500</f>
        <v>1658800.0000000002</v>
      </c>
      <c r="O420" s="3">
        <v>0</v>
      </c>
      <c r="P420" s="3">
        <v>0</v>
      </c>
      <c r="Q420" s="3">
        <v>407</v>
      </c>
      <c r="R420" s="3">
        <f t="shared" si="231"/>
        <v>1221000</v>
      </c>
      <c r="S420" s="3">
        <v>0</v>
      </c>
      <c r="T420" s="3">
        <v>0</v>
      </c>
      <c r="U420" s="3">
        <v>100000</v>
      </c>
      <c r="V420" s="6">
        <f t="shared" si="232"/>
        <v>5500</v>
      </c>
    </row>
    <row r="421" spans="1:22" ht="21.9" customHeight="1">
      <c r="A421" s="37" t="s">
        <v>1647</v>
      </c>
      <c r="B421" s="8" t="s">
        <v>1022</v>
      </c>
      <c r="C421" s="2">
        <f t="shared" ref="C421:C492" si="236">D421+L421+N421+P421+R421+S421+T421+U421</f>
        <v>4190719.8</v>
      </c>
      <c r="D421" s="3">
        <f t="shared" si="230"/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549.29999999999995</v>
      </c>
      <c r="N421" s="3">
        <f>M421*3686</f>
        <v>2024719.7999999998</v>
      </c>
      <c r="O421" s="3">
        <v>0</v>
      </c>
      <c r="P421" s="3">
        <v>0</v>
      </c>
      <c r="Q421" s="3">
        <v>722</v>
      </c>
      <c r="R421" s="3">
        <f t="shared" si="231"/>
        <v>2166000</v>
      </c>
      <c r="S421" s="3">
        <v>0</v>
      </c>
      <c r="T421" s="3">
        <v>0</v>
      </c>
      <c r="U421" s="3">
        <v>0</v>
      </c>
      <c r="V421" s="6">
        <f t="shared" si="232"/>
        <v>3686</v>
      </c>
    </row>
    <row r="422" spans="1:22" ht="21.9" customHeight="1">
      <c r="A422" s="37" t="s">
        <v>1648</v>
      </c>
      <c r="B422" s="8" t="s">
        <v>239</v>
      </c>
      <c r="C422" s="2">
        <f t="shared" si="236"/>
        <v>2388920</v>
      </c>
      <c r="D422" s="3">
        <f t="shared" si="230"/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203.44</v>
      </c>
      <c r="N422" s="3">
        <f t="shared" ref="N422" si="237">M422*5500</f>
        <v>1118920</v>
      </c>
      <c r="O422" s="3">
        <v>0</v>
      </c>
      <c r="P422" s="3">
        <v>0</v>
      </c>
      <c r="Q422" s="3">
        <v>390</v>
      </c>
      <c r="R422" s="3">
        <f t="shared" si="231"/>
        <v>1170000</v>
      </c>
      <c r="S422" s="3">
        <v>0</v>
      </c>
      <c r="T422" s="3">
        <v>0</v>
      </c>
      <c r="U422" s="3">
        <v>100000</v>
      </c>
      <c r="V422" s="6">
        <f t="shared" si="232"/>
        <v>5500</v>
      </c>
    </row>
    <row r="423" spans="1:22" ht="45" customHeight="1">
      <c r="A423" s="53" t="s">
        <v>1221</v>
      </c>
      <c r="B423" s="53"/>
      <c r="C423" s="2">
        <f>SUM(C424)</f>
        <v>3462550</v>
      </c>
      <c r="D423" s="2">
        <f t="shared" ref="D423:U423" si="238">SUM(D424)</f>
        <v>0</v>
      </c>
      <c r="E423" s="2">
        <f t="shared" si="238"/>
        <v>0</v>
      </c>
      <c r="F423" s="2">
        <f t="shared" si="238"/>
        <v>0</v>
      </c>
      <c r="G423" s="2">
        <f t="shared" si="238"/>
        <v>0</v>
      </c>
      <c r="H423" s="2">
        <f t="shared" si="238"/>
        <v>0</v>
      </c>
      <c r="I423" s="2">
        <f t="shared" si="238"/>
        <v>0</v>
      </c>
      <c r="J423" s="2">
        <f t="shared" si="238"/>
        <v>0</v>
      </c>
      <c r="K423" s="14">
        <f t="shared" si="238"/>
        <v>0</v>
      </c>
      <c r="L423" s="2">
        <f t="shared" si="238"/>
        <v>0</v>
      </c>
      <c r="M423" s="2">
        <f t="shared" si="238"/>
        <v>360.1</v>
      </c>
      <c r="N423" s="2">
        <f t="shared" si="238"/>
        <v>1980550.0000000002</v>
      </c>
      <c r="O423" s="2">
        <f t="shared" si="238"/>
        <v>0</v>
      </c>
      <c r="P423" s="2">
        <f t="shared" si="238"/>
        <v>0</v>
      </c>
      <c r="Q423" s="2">
        <f t="shared" si="238"/>
        <v>494</v>
      </c>
      <c r="R423" s="2">
        <f t="shared" si="238"/>
        <v>1482000</v>
      </c>
      <c r="S423" s="2">
        <f t="shared" si="238"/>
        <v>0</v>
      </c>
      <c r="T423" s="2">
        <f t="shared" si="238"/>
        <v>0</v>
      </c>
      <c r="U423" s="2">
        <f t="shared" si="238"/>
        <v>0</v>
      </c>
      <c r="V423" s="18">
        <f>C423</f>
        <v>3462550</v>
      </c>
    </row>
    <row r="424" spans="1:22" ht="21.9" customHeight="1">
      <c r="A424" s="37" t="s">
        <v>1649</v>
      </c>
      <c r="B424" s="8" t="s">
        <v>1023</v>
      </c>
      <c r="C424" s="2">
        <f t="shared" si="236"/>
        <v>3462550</v>
      </c>
      <c r="D424" s="3">
        <f t="shared" ref="D424" si="239">SUM(E424:J424)</f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4">
        <v>0</v>
      </c>
      <c r="L424" s="3">
        <v>0</v>
      </c>
      <c r="M424" s="3">
        <v>360.1</v>
      </c>
      <c r="N424" s="3">
        <f t="shared" ref="N424" si="240">M424*5500</f>
        <v>1980550.0000000002</v>
      </c>
      <c r="O424" s="3">
        <v>0</v>
      </c>
      <c r="P424" s="3">
        <v>0</v>
      </c>
      <c r="Q424" s="3">
        <v>494</v>
      </c>
      <c r="R424" s="3">
        <f>Q424*3000</f>
        <v>1482000</v>
      </c>
      <c r="S424" s="3">
        <v>0</v>
      </c>
      <c r="T424" s="3">
        <v>0</v>
      </c>
      <c r="U424" s="3">
        <v>0</v>
      </c>
      <c r="V424" s="6">
        <f t="shared" ref="V424" si="241">N424/M424</f>
        <v>5500</v>
      </c>
    </row>
    <row r="425" spans="1:22" ht="45" customHeight="1">
      <c r="A425" s="53" t="s">
        <v>242</v>
      </c>
      <c r="B425" s="53"/>
      <c r="C425" s="2">
        <f>SUM(C426)</f>
        <v>4060210</v>
      </c>
      <c r="D425" s="2">
        <f t="shared" ref="D425:U425" si="242">SUM(D426)</f>
        <v>1002510</v>
      </c>
      <c r="E425" s="2">
        <f t="shared" si="242"/>
        <v>389865.00000000006</v>
      </c>
      <c r="F425" s="2">
        <f t="shared" si="242"/>
        <v>0</v>
      </c>
      <c r="G425" s="2">
        <f t="shared" si="242"/>
        <v>334170</v>
      </c>
      <c r="H425" s="2">
        <f t="shared" si="242"/>
        <v>0</v>
      </c>
      <c r="I425" s="2">
        <f t="shared" si="242"/>
        <v>278475</v>
      </c>
      <c r="J425" s="2">
        <f t="shared" si="242"/>
        <v>0</v>
      </c>
      <c r="K425" s="14">
        <f t="shared" si="242"/>
        <v>0</v>
      </c>
      <c r="L425" s="2">
        <f t="shared" si="242"/>
        <v>0</v>
      </c>
      <c r="M425" s="2">
        <f t="shared" si="242"/>
        <v>0</v>
      </c>
      <c r="N425" s="2">
        <f t="shared" si="242"/>
        <v>0</v>
      </c>
      <c r="O425" s="2">
        <f t="shared" si="242"/>
        <v>0</v>
      </c>
      <c r="P425" s="2">
        <f t="shared" si="242"/>
        <v>0</v>
      </c>
      <c r="Q425" s="2">
        <f t="shared" si="242"/>
        <v>985.9</v>
      </c>
      <c r="R425" s="2">
        <f t="shared" si="242"/>
        <v>2957700</v>
      </c>
      <c r="S425" s="2">
        <f t="shared" si="242"/>
        <v>0</v>
      </c>
      <c r="T425" s="2">
        <f t="shared" si="242"/>
        <v>0</v>
      </c>
      <c r="U425" s="2">
        <f t="shared" si="242"/>
        <v>100000</v>
      </c>
      <c r="V425" s="18">
        <f>C425</f>
        <v>4060210</v>
      </c>
    </row>
    <row r="426" spans="1:22" ht="21.9" customHeight="1">
      <c r="A426" s="37" t="s">
        <v>1650</v>
      </c>
      <c r="B426" s="8" t="s">
        <v>240</v>
      </c>
      <c r="C426" s="2">
        <f t="shared" si="236"/>
        <v>4060210</v>
      </c>
      <c r="D426" s="3">
        <f t="shared" ref="D426" si="243">SUM(E426:J426)</f>
        <v>1002510</v>
      </c>
      <c r="E426" s="3">
        <f>350*1113.9</f>
        <v>389865.00000000006</v>
      </c>
      <c r="F426" s="3">
        <v>0</v>
      </c>
      <c r="G426" s="3">
        <f>300*1113.9</f>
        <v>334170</v>
      </c>
      <c r="H426" s="3">
        <v>0</v>
      </c>
      <c r="I426" s="3">
        <f>250*1113.9</f>
        <v>278475</v>
      </c>
      <c r="J426" s="3">
        <f>350*0</f>
        <v>0</v>
      </c>
      <c r="K426" s="4">
        <v>0</v>
      </c>
      <c r="L426" s="3">
        <v>0</v>
      </c>
      <c r="M426" s="3">
        <v>0</v>
      </c>
      <c r="N426" s="3">
        <f t="shared" ref="N426" si="244">M426*5500</f>
        <v>0</v>
      </c>
      <c r="O426" s="3">
        <v>0</v>
      </c>
      <c r="P426" s="3">
        <v>0</v>
      </c>
      <c r="Q426" s="3">
        <v>985.9</v>
      </c>
      <c r="R426" s="3">
        <f>Q426*3000</f>
        <v>2957700</v>
      </c>
      <c r="S426" s="3">
        <v>0</v>
      </c>
      <c r="T426" s="3">
        <v>0</v>
      </c>
      <c r="U426" s="3">
        <v>100000</v>
      </c>
      <c r="V426" s="6" t="e">
        <f t="shared" ref="V426" si="245">N426/M426</f>
        <v>#DIV/0!</v>
      </c>
    </row>
    <row r="427" spans="1:22" ht="45" customHeight="1">
      <c r="A427" s="53" t="s">
        <v>267</v>
      </c>
      <c r="B427" s="53"/>
      <c r="C427" s="2">
        <f>SUM(C428:C445)</f>
        <v>131379634.92999999</v>
      </c>
      <c r="D427" s="2">
        <f t="shared" ref="D427:U427" si="246">SUM(D428:D445)</f>
        <v>32524875.52</v>
      </c>
      <c r="E427" s="2">
        <f t="shared" si="246"/>
        <v>5756752.6100000003</v>
      </c>
      <c r="F427" s="2">
        <f t="shared" si="246"/>
        <v>17608590.379999999</v>
      </c>
      <c r="G427" s="2">
        <f t="shared" si="246"/>
        <v>4926001.92</v>
      </c>
      <c r="H427" s="2">
        <f t="shared" si="246"/>
        <v>0</v>
      </c>
      <c r="I427" s="2">
        <f t="shared" si="246"/>
        <v>4233530.6100000003</v>
      </c>
      <c r="J427" s="2">
        <f t="shared" si="246"/>
        <v>0</v>
      </c>
      <c r="K427" s="14">
        <f t="shared" si="246"/>
        <v>0</v>
      </c>
      <c r="L427" s="2">
        <f t="shared" si="246"/>
        <v>0</v>
      </c>
      <c r="M427" s="2">
        <f t="shared" si="246"/>
        <v>10765.4</v>
      </c>
      <c r="N427" s="2">
        <f t="shared" si="246"/>
        <v>51727895.690000005</v>
      </c>
      <c r="O427" s="2">
        <f t="shared" si="246"/>
        <v>1100.4000000000001</v>
      </c>
      <c r="P427" s="2">
        <f t="shared" si="246"/>
        <v>1513247.5899999999</v>
      </c>
      <c r="Q427" s="2">
        <f t="shared" si="246"/>
        <v>14310.2</v>
      </c>
      <c r="R427" s="2">
        <f t="shared" si="246"/>
        <v>42884047.189999998</v>
      </c>
      <c r="S427" s="2">
        <f t="shared" si="246"/>
        <v>0</v>
      </c>
      <c r="T427" s="2">
        <f t="shared" si="246"/>
        <v>0</v>
      </c>
      <c r="U427" s="2">
        <f t="shared" si="246"/>
        <v>2729568.9400000004</v>
      </c>
    </row>
    <row r="428" spans="1:22" ht="24.9" customHeight="1">
      <c r="A428" s="37" t="s">
        <v>1651</v>
      </c>
      <c r="B428" s="8" t="s">
        <v>1207</v>
      </c>
      <c r="C428" s="2">
        <f t="shared" si="236"/>
        <v>462448.03</v>
      </c>
      <c r="D428" s="3">
        <f t="shared" ref="D428:D445" si="247">SUM(E428:J428)</f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11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3">
        <f t="shared" ref="R428:R445" si="248">Q428*3000</f>
        <v>0</v>
      </c>
      <c r="S428" s="5">
        <v>0</v>
      </c>
      <c r="T428" s="5">
        <v>0</v>
      </c>
      <c r="U428" s="5">
        <v>462448.03</v>
      </c>
      <c r="V428" s="6" t="e">
        <f t="shared" ref="V428:V445" si="249">N428/M428</f>
        <v>#DIV/0!</v>
      </c>
    </row>
    <row r="429" spans="1:22" ht="21.9" customHeight="1">
      <c r="A429" s="37" t="s">
        <v>1652</v>
      </c>
      <c r="B429" s="22" t="s">
        <v>245</v>
      </c>
      <c r="C429" s="2">
        <f t="shared" si="236"/>
        <v>12669163.460000001</v>
      </c>
      <c r="D429" s="3">
        <f t="shared" ref="D429" si="250">SUM(E429:J429)</f>
        <v>3432256.84</v>
      </c>
      <c r="E429" s="3">
        <v>576976.62</v>
      </c>
      <c r="F429" s="3">
        <v>1875629.43</v>
      </c>
      <c r="G429" s="3">
        <v>500873.7</v>
      </c>
      <c r="H429" s="3">
        <f>500*0</f>
        <v>0</v>
      </c>
      <c r="I429" s="3">
        <v>478777.09</v>
      </c>
      <c r="J429" s="3">
        <f>350*0</f>
        <v>0</v>
      </c>
      <c r="K429" s="4">
        <v>0</v>
      </c>
      <c r="L429" s="3">
        <v>0</v>
      </c>
      <c r="M429" s="3">
        <v>899</v>
      </c>
      <c r="N429" s="3">
        <v>5452007.96</v>
      </c>
      <c r="O429" s="3">
        <v>49.2</v>
      </c>
      <c r="P429" s="3">
        <v>163261.59</v>
      </c>
      <c r="Q429" s="3">
        <v>1215</v>
      </c>
      <c r="R429" s="3">
        <v>3621637.07</v>
      </c>
      <c r="S429" s="3">
        <v>0</v>
      </c>
      <c r="T429" s="3">
        <v>0</v>
      </c>
      <c r="U429" s="3">
        <v>0</v>
      </c>
      <c r="V429" s="6">
        <f t="shared" si="249"/>
        <v>6064.5249833147946</v>
      </c>
    </row>
    <row r="430" spans="1:22" ht="21.9" customHeight="1">
      <c r="A430" s="37" t="s">
        <v>1653</v>
      </c>
      <c r="B430" s="8" t="s">
        <v>247</v>
      </c>
      <c r="C430" s="2">
        <f t="shared" si="236"/>
        <v>10848884</v>
      </c>
      <c r="D430" s="3">
        <f t="shared" ref="D430" si="251">SUM(E430:J430)</f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994</v>
      </c>
      <c r="N430" s="3">
        <f>M430*3686</f>
        <v>3663884</v>
      </c>
      <c r="O430" s="3">
        <v>0</v>
      </c>
      <c r="P430" s="3">
        <v>0</v>
      </c>
      <c r="Q430" s="3">
        <v>2395</v>
      </c>
      <c r="R430" s="3">
        <f>Q430*3000</f>
        <v>7185000</v>
      </c>
      <c r="S430" s="3">
        <v>0</v>
      </c>
      <c r="T430" s="3">
        <v>0</v>
      </c>
      <c r="U430" s="3">
        <v>0</v>
      </c>
      <c r="V430" s="6">
        <f t="shared" si="249"/>
        <v>3686</v>
      </c>
    </row>
    <row r="431" spans="1:22" ht="24.9" customHeight="1">
      <c r="A431" s="37" t="s">
        <v>1654</v>
      </c>
      <c r="B431" s="22" t="s">
        <v>248</v>
      </c>
      <c r="C431" s="2">
        <f t="shared" si="236"/>
        <v>5828000</v>
      </c>
      <c r="D431" s="3">
        <f t="shared" si="247"/>
        <v>1833000</v>
      </c>
      <c r="E431" s="3">
        <f>350*940</f>
        <v>329000</v>
      </c>
      <c r="F431" s="3">
        <f>1050*940</f>
        <v>987000</v>
      </c>
      <c r="G431" s="3">
        <f>300*940</f>
        <v>282000</v>
      </c>
      <c r="H431" s="3">
        <f t="shared" ref="H431:H441" si="252">400*0</f>
        <v>0</v>
      </c>
      <c r="I431" s="3">
        <f>250*940</f>
        <v>235000</v>
      </c>
      <c r="J431" s="3">
        <f t="shared" ref="J431:J441" si="253">350*0</f>
        <v>0</v>
      </c>
      <c r="K431" s="4">
        <v>0</v>
      </c>
      <c r="L431" s="3">
        <v>0</v>
      </c>
      <c r="M431" s="3">
        <v>690</v>
      </c>
      <c r="N431" s="3">
        <f t="shared" ref="N431:N432" si="254">M431*5500</f>
        <v>3795000</v>
      </c>
      <c r="O431" s="3">
        <v>0</v>
      </c>
      <c r="P431" s="3">
        <v>0</v>
      </c>
      <c r="Q431" s="3">
        <v>0</v>
      </c>
      <c r="R431" s="3">
        <f t="shared" si="248"/>
        <v>0</v>
      </c>
      <c r="S431" s="3">
        <v>0</v>
      </c>
      <c r="T431" s="3">
        <v>0</v>
      </c>
      <c r="U431" s="3">
        <v>200000</v>
      </c>
      <c r="V431" s="6">
        <f t="shared" si="249"/>
        <v>5500</v>
      </c>
    </row>
    <row r="432" spans="1:22" ht="24.9" customHeight="1">
      <c r="A432" s="37" t="s">
        <v>1655</v>
      </c>
      <c r="B432" s="22" t="s">
        <v>246</v>
      </c>
      <c r="C432" s="2">
        <f t="shared" si="236"/>
        <v>6731350</v>
      </c>
      <c r="D432" s="3">
        <f t="shared" si="247"/>
        <v>1476150</v>
      </c>
      <c r="E432" s="3">
        <f>350*757</f>
        <v>264950</v>
      </c>
      <c r="F432" s="3">
        <f>1050*757</f>
        <v>794850</v>
      </c>
      <c r="G432" s="3">
        <f>300*757</f>
        <v>227100</v>
      </c>
      <c r="H432" s="3">
        <f t="shared" si="252"/>
        <v>0</v>
      </c>
      <c r="I432" s="3">
        <f>250*757</f>
        <v>189250</v>
      </c>
      <c r="J432" s="3">
        <f t="shared" si="253"/>
        <v>0</v>
      </c>
      <c r="K432" s="4">
        <v>0</v>
      </c>
      <c r="L432" s="3">
        <v>0</v>
      </c>
      <c r="M432" s="3">
        <v>544.4</v>
      </c>
      <c r="N432" s="3">
        <f t="shared" si="254"/>
        <v>2994200</v>
      </c>
      <c r="O432" s="3">
        <v>0</v>
      </c>
      <c r="P432" s="3">
        <v>0</v>
      </c>
      <c r="Q432" s="3">
        <v>707</v>
      </c>
      <c r="R432" s="3">
        <f t="shared" si="248"/>
        <v>2121000</v>
      </c>
      <c r="S432" s="3">
        <v>0</v>
      </c>
      <c r="T432" s="3">
        <v>0</v>
      </c>
      <c r="U432" s="3">
        <v>140000</v>
      </c>
      <c r="V432" s="6">
        <f t="shared" si="249"/>
        <v>5500</v>
      </c>
    </row>
    <row r="433" spans="1:22" ht="21.9" customHeight="1">
      <c r="A433" s="37" t="s">
        <v>1656</v>
      </c>
      <c r="B433" s="22" t="s">
        <v>249</v>
      </c>
      <c r="C433" s="2">
        <f t="shared" si="236"/>
        <v>10204986.73</v>
      </c>
      <c r="D433" s="3">
        <f t="shared" ref="D433" si="255">SUM(E433:J433)</f>
        <v>3158008.68</v>
      </c>
      <c r="E433" s="3">
        <v>524845.99</v>
      </c>
      <c r="F433" s="3">
        <v>1768170.95</v>
      </c>
      <c r="G433" s="3">
        <v>435188.22</v>
      </c>
      <c r="H433" s="3">
        <f>500*0</f>
        <v>0</v>
      </c>
      <c r="I433" s="3">
        <v>429803.52000000002</v>
      </c>
      <c r="J433" s="3">
        <f>350*0</f>
        <v>0</v>
      </c>
      <c r="K433" s="4">
        <v>0</v>
      </c>
      <c r="L433" s="3">
        <v>0</v>
      </c>
      <c r="M433" s="3">
        <v>877.5</v>
      </c>
      <c r="N433" s="3">
        <v>3313461.93</v>
      </c>
      <c r="O433" s="3">
        <v>41.8</v>
      </c>
      <c r="P433" s="3">
        <v>138706</v>
      </c>
      <c r="Q433" s="3">
        <v>1206</v>
      </c>
      <c r="R433" s="3">
        <v>3594810.12</v>
      </c>
      <c r="S433" s="3">
        <v>0</v>
      </c>
      <c r="T433" s="3">
        <v>0</v>
      </c>
      <c r="U433" s="3">
        <v>0</v>
      </c>
      <c r="V433" s="6">
        <f t="shared" si="249"/>
        <v>3776.0249914529918</v>
      </c>
    </row>
    <row r="434" spans="1:22" ht="24.9" customHeight="1">
      <c r="A434" s="37" t="s">
        <v>830</v>
      </c>
      <c r="B434" s="22" t="s">
        <v>251</v>
      </c>
      <c r="C434" s="2">
        <f t="shared" si="236"/>
        <v>8040625.9000000004</v>
      </c>
      <c r="D434" s="3">
        <f t="shared" si="247"/>
        <v>3623100</v>
      </c>
      <c r="E434" s="3">
        <f>350*1858</f>
        <v>650300</v>
      </c>
      <c r="F434" s="3">
        <f>1050*1858</f>
        <v>1950900</v>
      </c>
      <c r="G434" s="3">
        <f>300*1858</f>
        <v>557400</v>
      </c>
      <c r="H434" s="3">
        <f t="shared" si="252"/>
        <v>0</v>
      </c>
      <c r="I434" s="3">
        <f>250*1858</f>
        <v>464500</v>
      </c>
      <c r="J434" s="3">
        <f t="shared" si="253"/>
        <v>0</v>
      </c>
      <c r="K434" s="4">
        <v>0</v>
      </c>
      <c r="L434" s="3">
        <v>0</v>
      </c>
      <c r="M434" s="3">
        <v>0</v>
      </c>
      <c r="N434" s="3">
        <v>0</v>
      </c>
      <c r="O434" s="3">
        <v>72.400000000000006</v>
      </c>
      <c r="P434" s="3">
        <f>O434*1200</f>
        <v>86880</v>
      </c>
      <c r="Q434" s="3">
        <v>1386</v>
      </c>
      <c r="R434" s="3">
        <f t="shared" si="248"/>
        <v>4158000</v>
      </c>
      <c r="S434" s="3">
        <v>0</v>
      </c>
      <c r="T434" s="3">
        <v>0</v>
      </c>
      <c r="U434" s="3">
        <v>172645.9</v>
      </c>
      <c r="V434" s="6" t="e">
        <f t="shared" si="249"/>
        <v>#DIV/0!</v>
      </c>
    </row>
    <row r="435" spans="1:22" ht="24.9" customHeight="1">
      <c r="A435" s="37" t="s">
        <v>1657</v>
      </c>
      <c r="B435" s="22" t="s">
        <v>252</v>
      </c>
      <c r="C435" s="2">
        <f t="shared" si="236"/>
        <v>5740079.5999999996</v>
      </c>
      <c r="D435" s="3">
        <f t="shared" si="247"/>
        <v>1534650</v>
      </c>
      <c r="E435" s="3">
        <f>350*787</f>
        <v>275450</v>
      </c>
      <c r="F435" s="3">
        <f>1050*787</f>
        <v>826350</v>
      </c>
      <c r="G435" s="3">
        <f>300*787</f>
        <v>236100</v>
      </c>
      <c r="H435" s="3">
        <f t="shared" si="252"/>
        <v>0</v>
      </c>
      <c r="I435" s="3">
        <f>250*787</f>
        <v>196750</v>
      </c>
      <c r="J435" s="3">
        <f t="shared" si="253"/>
        <v>0</v>
      </c>
      <c r="K435" s="4">
        <v>0</v>
      </c>
      <c r="L435" s="3">
        <v>0</v>
      </c>
      <c r="M435" s="3">
        <v>563.6</v>
      </c>
      <c r="N435" s="3">
        <f>M435*3686</f>
        <v>2077429.6</v>
      </c>
      <c r="O435" s="3">
        <v>0</v>
      </c>
      <c r="P435" s="3">
        <v>0</v>
      </c>
      <c r="Q435" s="3">
        <v>676</v>
      </c>
      <c r="R435" s="3">
        <f t="shared" si="248"/>
        <v>2028000</v>
      </c>
      <c r="S435" s="3">
        <v>0</v>
      </c>
      <c r="T435" s="3">
        <v>0</v>
      </c>
      <c r="U435" s="3">
        <v>100000</v>
      </c>
      <c r="V435" s="6">
        <f t="shared" si="249"/>
        <v>3686</v>
      </c>
    </row>
    <row r="436" spans="1:22" ht="24.9" customHeight="1">
      <c r="A436" s="37" t="s">
        <v>1658</v>
      </c>
      <c r="B436" s="22" t="s">
        <v>253</v>
      </c>
      <c r="C436" s="2">
        <f t="shared" si="236"/>
        <v>13238752.640000001</v>
      </c>
      <c r="D436" s="3">
        <f t="shared" si="247"/>
        <v>3720990</v>
      </c>
      <c r="E436" s="3">
        <f>350*1908.2</f>
        <v>667870</v>
      </c>
      <c r="F436" s="3">
        <f>1050*1908.2</f>
        <v>2003610</v>
      </c>
      <c r="G436" s="3">
        <f>300*1908.2</f>
        <v>572460</v>
      </c>
      <c r="H436" s="3">
        <f t="shared" si="252"/>
        <v>0</v>
      </c>
      <c r="I436" s="3">
        <f>250*1908.2</f>
        <v>477050</v>
      </c>
      <c r="J436" s="3">
        <f t="shared" si="253"/>
        <v>0</v>
      </c>
      <c r="K436" s="4">
        <v>0</v>
      </c>
      <c r="L436" s="3">
        <v>0</v>
      </c>
      <c r="M436" s="3">
        <v>916</v>
      </c>
      <c r="N436" s="3">
        <f t="shared" ref="N436:N437" si="256">M436*5500</f>
        <v>5038000</v>
      </c>
      <c r="O436" s="3">
        <v>0</v>
      </c>
      <c r="P436" s="3">
        <v>0</v>
      </c>
      <c r="Q436" s="3">
        <v>1434</v>
      </c>
      <c r="R436" s="3">
        <f t="shared" si="248"/>
        <v>4302000</v>
      </c>
      <c r="S436" s="3">
        <v>0</v>
      </c>
      <c r="T436" s="3">
        <v>0</v>
      </c>
      <c r="U436" s="3">
        <v>177762.64</v>
      </c>
      <c r="V436" s="6">
        <f t="shared" si="249"/>
        <v>5500</v>
      </c>
    </row>
    <row r="437" spans="1:22" ht="24.9" customHeight="1">
      <c r="A437" s="37" t="s">
        <v>1659</v>
      </c>
      <c r="B437" s="22" t="s">
        <v>254</v>
      </c>
      <c r="C437" s="2">
        <f t="shared" si="236"/>
        <v>6863250</v>
      </c>
      <c r="D437" s="3">
        <f t="shared" si="247"/>
        <v>1511250</v>
      </c>
      <c r="E437" s="3">
        <f>350*775</f>
        <v>271250</v>
      </c>
      <c r="F437" s="3">
        <f>1050*775</f>
        <v>813750</v>
      </c>
      <c r="G437" s="3">
        <f>300*775</f>
        <v>232500</v>
      </c>
      <c r="H437" s="3">
        <f t="shared" si="252"/>
        <v>0</v>
      </c>
      <c r="I437" s="3">
        <f>250*775</f>
        <v>193750</v>
      </c>
      <c r="J437" s="3">
        <f t="shared" si="253"/>
        <v>0</v>
      </c>
      <c r="K437" s="4">
        <v>0</v>
      </c>
      <c r="L437" s="3">
        <v>0</v>
      </c>
      <c r="M437" s="3">
        <v>572</v>
      </c>
      <c r="N437" s="3">
        <f t="shared" si="256"/>
        <v>3146000</v>
      </c>
      <c r="O437" s="3">
        <v>0</v>
      </c>
      <c r="P437" s="3">
        <v>0</v>
      </c>
      <c r="Q437" s="3">
        <v>702</v>
      </c>
      <c r="R437" s="3">
        <f t="shared" si="248"/>
        <v>2106000</v>
      </c>
      <c r="S437" s="3">
        <v>0</v>
      </c>
      <c r="T437" s="3">
        <v>0</v>
      </c>
      <c r="U437" s="3">
        <v>100000</v>
      </c>
      <c r="V437" s="6">
        <f t="shared" si="249"/>
        <v>5500</v>
      </c>
    </row>
    <row r="438" spans="1:22" ht="24.9" customHeight="1">
      <c r="A438" s="37" t="s">
        <v>1660</v>
      </c>
      <c r="B438" s="22" t="s">
        <v>250</v>
      </c>
      <c r="C438" s="2">
        <f>D438+L438+N438+P438+R438+S438+T438+U438</f>
        <v>3340607.8</v>
      </c>
      <c r="D438" s="3">
        <f>SUM(E438:J438)</f>
        <v>739050</v>
      </c>
      <c r="E438" s="3">
        <f>350*379</f>
        <v>132650</v>
      </c>
      <c r="F438" s="3">
        <f>1050*379</f>
        <v>397950</v>
      </c>
      <c r="G438" s="3">
        <f>300*379</f>
        <v>113700</v>
      </c>
      <c r="H438" s="3">
        <f t="shared" si="252"/>
        <v>0</v>
      </c>
      <c r="I438" s="3">
        <f>250*379</f>
        <v>94750</v>
      </c>
      <c r="J438" s="3">
        <f t="shared" si="253"/>
        <v>0</v>
      </c>
      <c r="K438" s="4">
        <v>0</v>
      </c>
      <c r="L438" s="3">
        <v>0</v>
      </c>
      <c r="M438" s="3">
        <v>282.3</v>
      </c>
      <c r="N438" s="3">
        <f>M438*3686</f>
        <v>1040557.8</v>
      </c>
      <c r="O438" s="3">
        <v>0</v>
      </c>
      <c r="P438" s="3">
        <v>0</v>
      </c>
      <c r="Q438" s="3">
        <v>487</v>
      </c>
      <c r="R438" s="3">
        <f>Q438*3000</f>
        <v>1461000</v>
      </c>
      <c r="S438" s="3">
        <v>0</v>
      </c>
      <c r="T438" s="3">
        <v>0</v>
      </c>
      <c r="U438" s="3">
        <v>100000</v>
      </c>
      <c r="V438" s="6">
        <f>N438/M438</f>
        <v>3686</v>
      </c>
    </row>
    <row r="439" spans="1:22" ht="24.9" customHeight="1">
      <c r="A439" s="37" t="s">
        <v>1661</v>
      </c>
      <c r="B439" s="22" t="s">
        <v>256</v>
      </c>
      <c r="C439" s="2">
        <f t="shared" si="236"/>
        <v>300000</v>
      </c>
      <c r="D439" s="3">
        <f t="shared" si="247"/>
        <v>0</v>
      </c>
      <c r="E439" s="3">
        <v>0</v>
      </c>
      <c r="F439" s="3">
        <v>0</v>
      </c>
      <c r="G439" s="3">
        <v>0</v>
      </c>
      <c r="H439" s="3">
        <f t="shared" si="252"/>
        <v>0</v>
      </c>
      <c r="I439" s="3">
        <v>0</v>
      </c>
      <c r="J439" s="3">
        <f t="shared" si="253"/>
        <v>0</v>
      </c>
      <c r="K439" s="4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f t="shared" si="248"/>
        <v>0</v>
      </c>
      <c r="S439" s="3">
        <v>0</v>
      </c>
      <c r="T439" s="3">
        <v>0</v>
      </c>
      <c r="U439" s="3">
        <v>300000</v>
      </c>
      <c r="V439" s="6" t="e">
        <f t="shared" si="249"/>
        <v>#DIV/0!</v>
      </c>
    </row>
    <row r="440" spans="1:22" ht="24.9" customHeight="1">
      <c r="A440" s="37" t="s">
        <v>1662</v>
      </c>
      <c r="B440" s="22" t="s">
        <v>259</v>
      </c>
      <c r="C440" s="2">
        <f t="shared" si="236"/>
        <v>21923056.010000002</v>
      </c>
      <c r="D440" s="3">
        <f t="shared" si="247"/>
        <v>7084740</v>
      </c>
      <c r="E440" s="3">
        <f>350*3633.2</f>
        <v>1271620</v>
      </c>
      <c r="F440" s="3">
        <f>1050*3633.2</f>
        <v>3814860</v>
      </c>
      <c r="G440" s="3">
        <f>300*3633.2</f>
        <v>1089960</v>
      </c>
      <c r="H440" s="3">
        <f t="shared" si="252"/>
        <v>0</v>
      </c>
      <c r="I440" s="3">
        <f>250*3633.2</f>
        <v>908300</v>
      </c>
      <c r="J440" s="3">
        <f t="shared" si="253"/>
        <v>0</v>
      </c>
      <c r="K440" s="4">
        <v>0</v>
      </c>
      <c r="L440" s="3">
        <v>0</v>
      </c>
      <c r="M440" s="3">
        <v>1212</v>
      </c>
      <c r="N440" s="3">
        <f t="shared" ref="N440:N442" si="257">M440*5500</f>
        <v>6666000</v>
      </c>
      <c r="O440" s="3">
        <v>937</v>
      </c>
      <c r="P440" s="3">
        <f>O440*1200</f>
        <v>1124400</v>
      </c>
      <c r="Q440" s="3">
        <v>2270</v>
      </c>
      <c r="R440" s="3">
        <f t="shared" si="248"/>
        <v>6810000</v>
      </c>
      <c r="S440" s="3">
        <v>0</v>
      </c>
      <c r="T440" s="3">
        <v>0</v>
      </c>
      <c r="U440" s="3">
        <v>237916.01</v>
      </c>
      <c r="V440" s="6">
        <f t="shared" si="249"/>
        <v>5500</v>
      </c>
    </row>
    <row r="441" spans="1:22" ht="24.9" customHeight="1">
      <c r="A441" s="37" t="s">
        <v>1663</v>
      </c>
      <c r="B441" s="22" t="s">
        <v>257</v>
      </c>
      <c r="C441" s="2">
        <f t="shared" si="236"/>
        <v>14720180.09</v>
      </c>
      <c r="D441" s="3">
        <f t="shared" si="247"/>
        <v>4411680</v>
      </c>
      <c r="E441" s="3">
        <f>350*2262.4</f>
        <v>791840</v>
      </c>
      <c r="F441" s="3">
        <f>1050*2262.4</f>
        <v>2375520</v>
      </c>
      <c r="G441" s="3">
        <f>300*2262.4</f>
        <v>678720</v>
      </c>
      <c r="H441" s="3">
        <f t="shared" si="252"/>
        <v>0</v>
      </c>
      <c r="I441" s="3">
        <f>250*2262.4</f>
        <v>565600</v>
      </c>
      <c r="J441" s="3">
        <f t="shared" si="253"/>
        <v>0</v>
      </c>
      <c r="K441" s="4">
        <v>0</v>
      </c>
      <c r="L441" s="3">
        <v>0</v>
      </c>
      <c r="M441" s="3">
        <v>835.2</v>
      </c>
      <c r="N441" s="3">
        <f t="shared" si="257"/>
        <v>4593600</v>
      </c>
      <c r="O441" s="3">
        <v>0</v>
      </c>
      <c r="P441" s="3">
        <v>0</v>
      </c>
      <c r="Q441" s="3">
        <v>1832.2</v>
      </c>
      <c r="R441" s="3">
        <f t="shared" si="248"/>
        <v>5496600</v>
      </c>
      <c r="S441" s="3">
        <v>0</v>
      </c>
      <c r="T441" s="3">
        <v>0</v>
      </c>
      <c r="U441" s="3">
        <v>218300.09</v>
      </c>
      <c r="V441" s="6">
        <f t="shared" si="249"/>
        <v>5500</v>
      </c>
    </row>
    <row r="442" spans="1:22" ht="24.9" customHeight="1">
      <c r="A442" s="37" t="s">
        <v>1664</v>
      </c>
      <c r="B442" s="22" t="s">
        <v>258</v>
      </c>
      <c r="C442" s="2">
        <f t="shared" si="236"/>
        <v>3569500</v>
      </c>
      <c r="D442" s="3">
        <f t="shared" si="247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4">
        <v>0</v>
      </c>
      <c r="L442" s="3">
        <v>0</v>
      </c>
      <c r="M442" s="3">
        <v>649</v>
      </c>
      <c r="N442" s="3">
        <f t="shared" si="257"/>
        <v>3569500</v>
      </c>
      <c r="O442" s="3">
        <v>0</v>
      </c>
      <c r="P442" s="3">
        <v>0</v>
      </c>
      <c r="Q442" s="3">
        <v>0</v>
      </c>
      <c r="R442" s="3">
        <f t="shared" si="248"/>
        <v>0</v>
      </c>
      <c r="S442" s="3">
        <v>0</v>
      </c>
      <c r="T442" s="3">
        <v>0</v>
      </c>
      <c r="U442" s="3">
        <v>0</v>
      </c>
      <c r="V442" s="6">
        <f t="shared" si="249"/>
        <v>5500</v>
      </c>
    </row>
    <row r="443" spans="1:22" ht="24.9" customHeight="1">
      <c r="A443" s="37" t="s">
        <v>1665</v>
      </c>
      <c r="B443" s="22" t="s">
        <v>261</v>
      </c>
      <c r="C443" s="2">
        <f t="shared" si="236"/>
        <v>520496.27</v>
      </c>
      <c r="D443" s="3">
        <f t="shared" si="247"/>
        <v>0</v>
      </c>
      <c r="E443" s="3">
        <v>0</v>
      </c>
      <c r="F443" s="3">
        <v>0</v>
      </c>
      <c r="G443" s="3">
        <v>0</v>
      </c>
      <c r="H443" s="3">
        <f>400*0</f>
        <v>0</v>
      </c>
      <c r="I443" s="3">
        <v>0</v>
      </c>
      <c r="J443" s="3">
        <f t="shared" ref="J443" si="258">350*0</f>
        <v>0</v>
      </c>
      <c r="K443" s="4">
        <v>0</v>
      </c>
      <c r="L443" s="3">
        <v>0</v>
      </c>
      <c r="M443" s="3">
        <v>0</v>
      </c>
      <c r="N443" s="3">
        <f t="shared" ref="N443:N445" si="259">M443*3686</f>
        <v>0</v>
      </c>
      <c r="O443" s="3">
        <v>0</v>
      </c>
      <c r="P443" s="3">
        <v>0</v>
      </c>
      <c r="Q443" s="3">
        <v>0</v>
      </c>
      <c r="R443" s="3">
        <f t="shared" si="248"/>
        <v>0</v>
      </c>
      <c r="S443" s="3">
        <v>0</v>
      </c>
      <c r="T443" s="3">
        <v>0</v>
      </c>
      <c r="U443" s="3">
        <v>520496.27</v>
      </c>
      <c r="V443" s="6" t="e">
        <f t="shared" si="249"/>
        <v>#DIV/0!</v>
      </c>
    </row>
    <row r="444" spans="1:22" ht="24.9" customHeight="1">
      <c r="A444" s="37" t="s">
        <v>1666</v>
      </c>
      <c r="B444" s="22" t="s">
        <v>980</v>
      </c>
      <c r="C444" s="2">
        <f t="shared" si="236"/>
        <v>3128676.8</v>
      </c>
      <c r="D444" s="3">
        <f t="shared" si="247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848.8</v>
      </c>
      <c r="N444" s="3">
        <f t="shared" si="259"/>
        <v>3128676.8</v>
      </c>
      <c r="O444" s="3">
        <v>0</v>
      </c>
      <c r="P444" s="3">
        <v>0</v>
      </c>
      <c r="Q444" s="3">
        <v>0</v>
      </c>
      <c r="R444" s="3">
        <f t="shared" si="248"/>
        <v>0</v>
      </c>
      <c r="S444" s="3">
        <v>0</v>
      </c>
      <c r="T444" s="3">
        <v>0</v>
      </c>
      <c r="U444" s="3">
        <v>0</v>
      </c>
      <c r="V444" s="6">
        <f t="shared" si="249"/>
        <v>3686</v>
      </c>
    </row>
    <row r="445" spans="1:22" ht="24.9" customHeight="1">
      <c r="A445" s="37" t="s">
        <v>1667</v>
      </c>
      <c r="B445" s="22" t="s">
        <v>981</v>
      </c>
      <c r="C445" s="2">
        <f t="shared" si="236"/>
        <v>3249577.6</v>
      </c>
      <c r="D445" s="3">
        <f t="shared" si="247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4">
        <v>0</v>
      </c>
      <c r="L445" s="3">
        <v>0</v>
      </c>
      <c r="M445" s="3">
        <v>881.6</v>
      </c>
      <c r="N445" s="3">
        <f t="shared" si="259"/>
        <v>3249577.6</v>
      </c>
      <c r="O445" s="3">
        <v>0</v>
      </c>
      <c r="P445" s="3">
        <v>0</v>
      </c>
      <c r="Q445" s="3">
        <v>0</v>
      </c>
      <c r="R445" s="3">
        <f t="shared" si="248"/>
        <v>0</v>
      </c>
      <c r="S445" s="3">
        <v>0</v>
      </c>
      <c r="T445" s="3">
        <v>0</v>
      </c>
      <c r="U445" s="3">
        <v>0</v>
      </c>
      <c r="V445" s="6">
        <f t="shared" si="249"/>
        <v>3686</v>
      </c>
    </row>
    <row r="446" spans="1:22" ht="45" customHeight="1">
      <c r="A446" s="53" t="s">
        <v>990</v>
      </c>
      <c r="B446" s="53"/>
      <c r="C446" s="2">
        <f>SUM(C447)</f>
        <v>1980000</v>
      </c>
      <c r="D446" s="2">
        <f t="shared" ref="D446:U446" si="260">SUM(D447)</f>
        <v>0</v>
      </c>
      <c r="E446" s="2">
        <f t="shared" si="260"/>
        <v>0</v>
      </c>
      <c r="F446" s="2">
        <f t="shared" si="260"/>
        <v>0</v>
      </c>
      <c r="G446" s="2">
        <f t="shared" si="260"/>
        <v>0</v>
      </c>
      <c r="H446" s="2">
        <f t="shared" si="260"/>
        <v>0</v>
      </c>
      <c r="I446" s="2">
        <f t="shared" si="260"/>
        <v>0</v>
      </c>
      <c r="J446" s="2">
        <f t="shared" si="260"/>
        <v>0</v>
      </c>
      <c r="K446" s="14">
        <f t="shared" si="260"/>
        <v>0</v>
      </c>
      <c r="L446" s="2">
        <f t="shared" si="260"/>
        <v>0</v>
      </c>
      <c r="M446" s="2">
        <f t="shared" si="260"/>
        <v>0</v>
      </c>
      <c r="N446" s="2">
        <f t="shared" si="260"/>
        <v>0</v>
      </c>
      <c r="O446" s="2">
        <f t="shared" si="260"/>
        <v>0</v>
      </c>
      <c r="P446" s="2">
        <f t="shared" si="260"/>
        <v>0</v>
      </c>
      <c r="Q446" s="2">
        <f t="shared" si="260"/>
        <v>660</v>
      </c>
      <c r="R446" s="2">
        <f t="shared" si="260"/>
        <v>1980000</v>
      </c>
      <c r="S446" s="2">
        <f t="shared" si="260"/>
        <v>0</v>
      </c>
      <c r="T446" s="2">
        <f t="shared" si="260"/>
        <v>0</v>
      </c>
      <c r="U446" s="2">
        <f t="shared" si="260"/>
        <v>0</v>
      </c>
    </row>
    <row r="447" spans="1:22" ht="21.9" customHeight="1">
      <c r="A447" s="37" t="s">
        <v>1668</v>
      </c>
      <c r="B447" s="22" t="s">
        <v>991</v>
      </c>
      <c r="C447" s="2">
        <f t="shared" si="236"/>
        <v>1980000</v>
      </c>
      <c r="D447" s="3">
        <f t="shared" ref="D447" si="261">SUM(E447:J447)</f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660</v>
      </c>
      <c r="R447" s="3">
        <f>Q447*3000</f>
        <v>1980000</v>
      </c>
      <c r="S447" s="3">
        <v>0</v>
      </c>
      <c r="T447" s="3">
        <v>0</v>
      </c>
      <c r="U447" s="3">
        <v>0</v>
      </c>
      <c r="V447" s="6" t="e">
        <f t="shared" ref="V447" si="262">N447/M447</f>
        <v>#DIV/0!</v>
      </c>
    </row>
    <row r="448" spans="1:22" ht="45" customHeight="1">
      <c r="A448" s="53" t="s">
        <v>268</v>
      </c>
      <c r="B448" s="53"/>
      <c r="C448" s="2">
        <f>SUM(C449)</f>
        <v>6141010.8700000001</v>
      </c>
      <c r="D448" s="2">
        <f t="shared" ref="D448:U448" si="263">SUM(D449)</f>
        <v>1857598.53</v>
      </c>
      <c r="E448" s="2">
        <f t="shared" si="263"/>
        <v>201968.14</v>
      </c>
      <c r="F448" s="2">
        <f t="shared" si="263"/>
        <v>975980.53</v>
      </c>
      <c r="G448" s="2">
        <f t="shared" si="263"/>
        <v>198204.71</v>
      </c>
      <c r="H448" s="2">
        <f t="shared" si="263"/>
        <v>244969.06</v>
      </c>
      <c r="I448" s="2">
        <f t="shared" si="263"/>
        <v>236476.09</v>
      </c>
      <c r="J448" s="2">
        <f t="shared" si="263"/>
        <v>0</v>
      </c>
      <c r="K448" s="14">
        <f t="shared" si="263"/>
        <v>0</v>
      </c>
      <c r="L448" s="2">
        <f t="shared" si="263"/>
        <v>0</v>
      </c>
      <c r="M448" s="2">
        <f t="shared" si="263"/>
        <v>473</v>
      </c>
      <c r="N448" s="2">
        <f t="shared" si="263"/>
        <v>1786059.83</v>
      </c>
      <c r="O448" s="2">
        <f t="shared" si="263"/>
        <v>332.4</v>
      </c>
      <c r="P448" s="2">
        <f t="shared" si="263"/>
        <v>456418.44</v>
      </c>
      <c r="Q448" s="2">
        <f t="shared" si="263"/>
        <v>684.7</v>
      </c>
      <c r="R448" s="2">
        <f t="shared" si="263"/>
        <v>2040934.07</v>
      </c>
      <c r="S448" s="2">
        <f t="shared" si="263"/>
        <v>0</v>
      </c>
      <c r="T448" s="2">
        <f t="shared" si="263"/>
        <v>0</v>
      </c>
      <c r="U448" s="2">
        <f t="shared" si="263"/>
        <v>0</v>
      </c>
      <c r="V448" s="18">
        <f>C448</f>
        <v>6141010.8700000001</v>
      </c>
    </row>
    <row r="449" spans="1:22" ht="21.9" customHeight="1">
      <c r="A449" s="37" t="s">
        <v>1669</v>
      </c>
      <c r="B449" s="22" t="s">
        <v>269</v>
      </c>
      <c r="C449" s="2">
        <f t="shared" ref="C449" si="264">D449+L449+N449+P449+R449+S449+T449+U449</f>
        <v>6141010.8700000001</v>
      </c>
      <c r="D449" s="3">
        <f>SUM(E449:J449)</f>
        <v>1857598.53</v>
      </c>
      <c r="E449" s="3">
        <v>201968.14</v>
      </c>
      <c r="F449" s="3">
        <v>975980.53</v>
      </c>
      <c r="G449" s="3">
        <v>198204.71</v>
      </c>
      <c r="H449" s="3">
        <v>244969.06</v>
      </c>
      <c r="I449" s="3">
        <v>236476.09</v>
      </c>
      <c r="J449" s="3">
        <f>350*0</f>
        <v>0</v>
      </c>
      <c r="K449" s="4">
        <v>0</v>
      </c>
      <c r="L449" s="3">
        <v>0</v>
      </c>
      <c r="M449" s="3">
        <v>473</v>
      </c>
      <c r="N449" s="3">
        <v>1786059.83</v>
      </c>
      <c r="O449" s="3">
        <v>332.4</v>
      </c>
      <c r="P449" s="3">
        <v>456418.44</v>
      </c>
      <c r="Q449" s="3">
        <v>684.7</v>
      </c>
      <c r="R449" s="3">
        <v>2040934.07</v>
      </c>
      <c r="S449" s="3">
        <v>0</v>
      </c>
      <c r="T449" s="3">
        <v>0</v>
      </c>
      <c r="U449" s="3">
        <v>0</v>
      </c>
      <c r="V449" s="6">
        <f>N449/M449</f>
        <v>3776.0250105708246</v>
      </c>
    </row>
    <row r="450" spans="1:22" ht="45" customHeight="1">
      <c r="A450" s="53" t="s">
        <v>272</v>
      </c>
      <c r="B450" s="53"/>
      <c r="C450" s="2">
        <f>SUM(C451:C452)</f>
        <v>4334000</v>
      </c>
      <c r="D450" s="2">
        <f t="shared" ref="D450:U450" si="265">SUM(D451:D452)</f>
        <v>0</v>
      </c>
      <c r="E450" s="2">
        <f t="shared" si="265"/>
        <v>0</v>
      </c>
      <c r="F450" s="2">
        <f t="shared" si="265"/>
        <v>0</v>
      </c>
      <c r="G450" s="2">
        <f t="shared" si="265"/>
        <v>0</v>
      </c>
      <c r="H450" s="2">
        <f t="shared" si="265"/>
        <v>0</v>
      </c>
      <c r="I450" s="2">
        <f t="shared" si="265"/>
        <v>0</v>
      </c>
      <c r="J450" s="2">
        <f t="shared" si="265"/>
        <v>0</v>
      </c>
      <c r="K450" s="14">
        <f t="shared" si="265"/>
        <v>0</v>
      </c>
      <c r="L450" s="2">
        <f t="shared" si="265"/>
        <v>0</v>
      </c>
      <c r="M450" s="2">
        <f t="shared" si="265"/>
        <v>788</v>
      </c>
      <c r="N450" s="2">
        <f t="shared" si="265"/>
        <v>4334000</v>
      </c>
      <c r="O450" s="2">
        <f t="shared" si="265"/>
        <v>0</v>
      </c>
      <c r="P450" s="2">
        <f t="shared" si="265"/>
        <v>0</v>
      </c>
      <c r="Q450" s="2">
        <f t="shared" si="265"/>
        <v>0</v>
      </c>
      <c r="R450" s="2">
        <f t="shared" si="265"/>
        <v>0</v>
      </c>
      <c r="S450" s="2">
        <f t="shared" si="265"/>
        <v>0</v>
      </c>
      <c r="T450" s="2">
        <f t="shared" si="265"/>
        <v>0</v>
      </c>
      <c r="U450" s="2">
        <f t="shared" si="265"/>
        <v>0</v>
      </c>
      <c r="V450" s="18">
        <f>C450</f>
        <v>4334000</v>
      </c>
    </row>
    <row r="451" spans="1:22" ht="21.9" customHeight="1">
      <c r="A451" s="37" t="s">
        <v>1670</v>
      </c>
      <c r="B451" s="22" t="s">
        <v>273</v>
      </c>
      <c r="C451" s="2">
        <f t="shared" si="236"/>
        <v>2167000</v>
      </c>
      <c r="D451" s="3">
        <f t="shared" ref="D451:D452" si="266">SUM(E451:J451)</f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4">
        <v>0</v>
      </c>
      <c r="L451" s="3">
        <v>0</v>
      </c>
      <c r="M451" s="3">
        <v>394</v>
      </c>
      <c r="N451" s="3">
        <f t="shared" ref="N451:N452" si="267">M451*5500</f>
        <v>2167000</v>
      </c>
      <c r="O451" s="3">
        <v>0</v>
      </c>
      <c r="P451" s="3">
        <v>0</v>
      </c>
      <c r="Q451" s="3">
        <v>0</v>
      </c>
      <c r="R451" s="3">
        <f t="shared" ref="R451:R452" si="268">Q451*3000</f>
        <v>0</v>
      </c>
      <c r="S451" s="3">
        <v>0</v>
      </c>
      <c r="T451" s="3">
        <v>0</v>
      </c>
      <c r="U451" s="3">
        <v>0</v>
      </c>
      <c r="V451" s="6">
        <f t="shared" ref="V451:V452" si="269">N451/M451</f>
        <v>5500</v>
      </c>
    </row>
    <row r="452" spans="1:22" ht="21.9" customHeight="1">
      <c r="A452" s="37" t="s">
        <v>1671</v>
      </c>
      <c r="B452" s="22" t="s">
        <v>274</v>
      </c>
      <c r="C452" s="2">
        <f t="shared" si="236"/>
        <v>2167000</v>
      </c>
      <c r="D452" s="3">
        <f t="shared" si="266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4">
        <v>0</v>
      </c>
      <c r="L452" s="3">
        <v>0</v>
      </c>
      <c r="M452" s="3">
        <v>394</v>
      </c>
      <c r="N452" s="3">
        <f t="shared" si="267"/>
        <v>2167000</v>
      </c>
      <c r="O452" s="3">
        <v>0</v>
      </c>
      <c r="P452" s="3">
        <v>0</v>
      </c>
      <c r="Q452" s="3">
        <v>0</v>
      </c>
      <c r="R452" s="3">
        <f t="shared" si="268"/>
        <v>0</v>
      </c>
      <c r="S452" s="3">
        <v>0</v>
      </c>
      <c r="T452" s="3">
        <v>0</v>
      </c>
      <c r="U452" s="3">
        <v>0</v>
      </c>
      <c r="V452" s="6">
        <f t="shared" si="269"/>
        <v>5500</v>
      </c>
    </row>
    <row r="453" spans="1:22" ht="45" customHeight="1">
      <c r="A453" s="53" t="s">
        <v>276</v>
      </c>
      <c r="B453" s="53"/>
      <c r="C453" s="2">
        <f>SUM(C454)</f>
        <v>4032050</v>
      </c>
      <c r="D453" s="2">
        <f t="shared" ref="D453:U453" si="270">SUM(D454)</f>
        <v>169050</v>
      </c>
      <c r="E453" s="2">
        <f t="shared" si="270"/>
        <v>169050</v>
      </c>
      <c r="F453" s="2">
        <f t="shared" si="270"/>
        <v>0</v>
      </c>
      <c r="G453" s="2">
        <f t="shared" si="270"/>
        <v>0</v>
      </c>
      <c r="H453" s="2">
        <f t="shared" si="270"/>
        <v>0</v>
      </c>
      <c r="I453" s="2">
        <f t="shared" si="270"/>
        <v>0</v>
      </c>
      <c r="J453" s="2">
        <f t="shared" si="270"/>
        <v>0</v>
      </c>
      <c r="K453" s="14">
        <f t="shared" si="270"/>
        <v>0</v>
      </c>
      <c r="L453" s="2">
        <f t="shared" si="270"/>
        <v>0</v>
      </c>
      <c r="M453" s="2">
        <f t="shared" si="270"/>
        <v>406</v>
      </c>
      <c r="N453" s="2">
        <f t="shared" si="270"/>
        <v>2233000</v>
      </c>
      <c r="O453" s="2">
        <f t="shared" si="270"/>
        <v>0</v>
      </c>
      <c r="P453" s="2">
        <f t="shared" si="270"/>
        <v>0</v>
      </c>
      <c r="Q453" s="2">
        <f t="shared" si="270"/>
        <v>510</v>
      </c>
      <c r="R453" s="2">
        <f t="shared" si="270"/>
        <v>1530000</v>
      </c>
      <c r="S453" s="2">
        <f t="shared" si="270"/>
        <v>0</v>
      </c>
      <c r="T453" s="2">
        <f t="shared" si="270"/>
        <v>0</v>
      </c>
      <c r="U453" s="2">
        <f t="shared" si="270"/>
        <v>100000</v>
      </c>
      <c r="V453" s="18">
        <f>C453</f>
        <v>4032050</v>
      </c>
    </row>
    <row r="454" spans="1:22" ht="21.9" customHeight="1">
      <c r="A454" s="36" t="s">
        <v>1672</v>
      </c>
      <c r="B454" s="22" t="s">
        <v>275</v>
      </c>
      <c r="C454" s="2">
        <f t="shared" si="236"/>
        <v>4032050</v>
      </c>
      <c r="D454" s="3">
        <f t="shared" ref="D454" si="271">SUM(E454:J454)</f>
        <v>169050</v>
      </c>
      <c r="E454" s="3">
        <f>350*483</f>
        <v>169050</v>
      </c>
      <c r="F454" s="3">
        <f>800*0</f>
        <v>0</v>
      </c>
      <c r="G454" s="3">
        <f>300*0</f>
        <v>0</v>
      </c>
      <c r="H454" s="3">
        <f>400*0</f>
        <v>0</v>
      </c>
      <c r="I454" s="3">
        <f>250*0</f>
        <v>0</v>
      </c>
      <c r="J454" s="3">
        <f>350*0</f>
        <v>0</v>
      </c>
      <c r="K454" s="11">
        <v>0</v>
      </c>
      <c r="L454" s="5">
        <v>0</v>
      </c>
      <c r="M454" s="5">
        <v>406</v>
      </c>
      <c r="N454" s="3">
        <f>M454*5500</f>
        <v>2233000</v>
      </c>
      <c r="O454" s="5">
        <v>0</v>
      </c>
      <c r="P454" s="5">
        <v>0</v>
      </c>
      <c r="Q454" s="5">
        <v>510</v>
      </c>
      <c r="R454" s="3">
        <f>Q454*3000</f>
        <v>1530000</v>
      </c>
      <c r="S454" s="5">
        <v>0</v>
      </c>
      <c r="T454" s="5">
        <v>0</v>
      </c>
      <c r="U454" s="5">
        <v>100000</v>
      </c>
      <c r="V454" s="6">
        <f t="shared" ref="V454" si="272">N454/M454</f>
        <v>5500</v>
      </c>
    </row>
    <row r="455" spans="1:22" ht="45" customHeight="1">
      <c r="A455" s="53" t="s">
        <v>1062</v>
      </c>
      <c r="B455" s="53"/>
      <c r="C455" s="2">
        <f>SUM(C456)</f>
        <v>2981000</v>
      </c>
      <c r="D455" s="2">
        <f t="shared" ref="D455:U455" si="273">SUM(D456)</f>
        <v>0</v>
      </c>
      <c r="E455" s="2">
        <f t="shared" si="273"/>
        <v>0</v>
      </c>
      <c r="F455" s="2">
        <f t="shared" si="273"/>
        <v>0</v>
      </c>
      <c r="G455" s="2">
        <f t="shared" si="273"/>
        <v>0</v>
      </c>
      <c r="H455" s="2">
        <f t="shared" si="273"/>
        <v>0</v>
      </c>
      <c r="I455" s="2">
        <f t="shared" si="273"/>
        <v>0</v>
      </c>
      <c r="J455" s="2">
        <f t="shared" si="273"/>
        <v>0</v>
      </c>
      <c r="K455" s="14">
        <f t="shared" si="273"/>
        <v>0</v>
      </c>
      <c r="L455" s="2">
        <f t="shared" si="273"/>
        <v>0</v>
      </c>
      <c r="M455" s="2">
        <f t="shared" si="273"/>
        <v>542</v>
      </c>
      <c r="N455" s="2">
        <f t="shared" si="273"/>
        <v>2981000</v>
      </c>
      <c r="O455" s="2">
        <f t="shared" si="273"/>
        <v>0</v>
      </c>
      <c r="P455" s="2">
        <f t="shared" si="273"/>
        <v>0</v>
      </c>
      <c r="Q455" s="2">
        <f t="shared" si="273"/>
        <v>0</v>
      </c>
      <c r="R455" s="2">
        <f t="shared" si="273"/>
        <v>0</v>
      </c>
      <c r="S455" s="2">
        <f t="shared" si="273"/>
        <v>0</v>
      </c>
      <c r="T455" s="2">
        <f t="shared" si="273"/>
        <v>0</v>
      </c>
      <c r="U455" s="2">
        <f t="shared" si="273"/>
        <v>0</v>
      </c>
      <c r="V455" s="18">
        <f>C455</f>
        <v>2981000</v>
      </c>
    </row>
    <row r="456" spans="1:22" ht="21.9" customHeight="1">
      <c r="A456" s="37" t="s">
        <v>1673</v>
      </c>
      <c r="B456" s="22" t="s">
        <v>1063</v>
      </c>
      <c r="C456" s="2">
        <f t="shared" ref="C456" si="274">D456+L456+N456+P456+R456+S456+T456+U456</f>
        <v>2981000</v>
      </c>
      <c r="D456" s="3">
        <f>SUM(E456:J456)</f>
        <v>0</v>
      </c>
      <c r="E456" s="3">
        <v>0</v>
      </c>
      <c r="F456" s="3">
        <f>670.53*0</f>
        <v>0</v>
      </c>
      <c r="G456" s="3">
        <v>0</v>
      </c>
      <c r="H456" s="3">
        <f>500*0</f>
        <v>0</v>
      </c>
      <c r="I456" s="3">
        <v>0</v>
      </c>
      <c r="J456" s="3">
        <f>350*0</f>
        <v>0</v>
      </c>
      <c r="K456" s="4">
        <v>0</v>
      </c>
      <c r="L456" s="3">
        <v>0</v>
      </c>
      <c r="M456" s="3">
        <v>542</v>
      </c>
      <c r="N456" s="3">
        <f>M456*5500</f>
        <v>2981000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6">
        <f>N456/M456</f>
        <v>5500</v>
      </c>
    </row>
    <row r="457" spans="1:22" ht="45" customHeight="1">
      <c r="A457" s="53" t="s">
        <v>378</v>
      </c>
      <c r="B457" s="53"/>
      <c r="C457" s="2">
        <f>SUM(C458:C694)</f>
        <v>860204144.84999979</v>
      </c>
      <c r="D457" s="2">
        <f t="shared" ref="D457:U457" si="275">SUM(D458:D694)</f>
        <v>261234081.15000001</v>
      </c>
      <c r="E457" s="2">
        <f t="shared" si="275"/>
        <v>40307386.190000005</v>
      </c>
      <c r="F457" s="2">
        <f t="shared" si="275"/>
        <v>120756728.94000001</v>
      </c>
      <c r="G457" s="2">
        <f t="shared" si="275"/>
        <v>33670395.479999997</v>
      </c>
      <c r="H457" s="2">
        <f t="shared" si="275"/>
        <v>32701078.68</v>
      </c>
      <c r="I457" s="2">
        <f t="shared" si="275"/>
        <v>33798491.859999999</v>
      </c>
      <c r="J457" s="2">
        <f t="shared" si="275"/>
        <v>0</v>
      </c>
      <c r="K457" s="14">
        <f t="shared" si="275"/>
        <v>14</v>
      </c>
      <c r="L457" s="2">
        <f t="shared" si="275"/>
        <v>30100000</v>
      </c>
      <c r="M457" s="2">
        <f t="shared" si="275"/>
        <v>80018.22</v>
      </c>
      <c r="N457" s="2">
        <f t="shared" si="275"/>
        <v>435927751.69</v>
      </c>
      <c r="O457" s="2">
        <f t="shared" si="275"/>
        <v>1168.5999999999999</v>
      </c>
      <c r="P457" s="2">
        <f t="shared" si="275"/>
        <v>1643407.38</v>
      </c>
      <c r="Q457" s="2">
        <f t="shared" si="275"/>
        <v>36431.550000000003</v>
      </c>
      <c r="R457" s="2">
        <f t="shared" si="275"/>
        <v>106456522.62</v>
      </c>
      <c r="S457" s="2">
        <f t="shared" si="275"/>
        <v>560283.21</v>
      </c>
      <c r="T457" s="2">
        <f t="shared" si="275"/>
        <v>0</v>
      </c>
      <c r="U457" s="2">
        <f t="shared" si="275"/>
        <v>24282098.799999997</v>
      </c>
    </row>
    <row r="458" spans="1:22" ht="21.9" customHeight="1">
      <c r="A458" s="37" t="s">
        <v>1674</v>
      </c>
      <c r="B458" s="8" t="s">
        <v>486</v>
      </c>
      <c r="C458" s="2">
        <f t="shared" si="236"/>
        <v>6458362.8799999999</v>
      </c>
      <c r="D458" s="3">
        <f t="shared" ref="D458:D529" si="276">SUM(E458:J458)</f>
        <v>2647510</v>
      </c>
      <c r="E458" s="3">
        <f>350*1126.6</f>
        <v>394309.99999999994</v>
      </c>
      <c r="F458" s="3">
        <f>1050*1126.6</f>
        <v>1182930</v>
      </c>
      <c r="G458" s="3">
        <f>300*1126.6</f>
        <v>337980</v>
      </c>
      <c r="H458" s="3">
        <f>400*1126.6</f>
        <v>450639.99999999994</v>
      </c>
      <c r="I458" s="3">
        <f>250*1126.6</f>
        <v>281650</v>
      </c>
      <c r="J458" s="3">
        <f>350*0</f>
        <v>0</v>
      </c>
      <c r="K458" s="11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1205.5</v>
      </c>
      <c r="R458" s="3">
        <f t="shared" ref="R458:R528" si="277">Q458*3000</f>
        <v>3616500</v>
      </c>
      <c r="S458" s="5">
        <v>0</v>
      </c>
      <c r="T458" s="5">
        <v>0</v>
      </c>
      <c r="U458" s="5">
        <v>194352.88</v>
      </c>
      <c r="V458" s="6" t="e">
        <f t="shared" ref="V458:V528" si="278">N458/M458</f>
        <v>#DIV/0!</v>
      </c>
    </row>
    <row r="459" spans="1:22" ht="21.9" customHeight="1">
      <c r="A459" s="37" t="s">
        <v>1675</v>
      </c>
      <c r="B459" s="8" t="s">
        <v>570</v>
      </c>
      <c r="C459" s="2">
        <f t="shared" si="236"/>
        <v>1569600</v>
      </c>
      <c r="D459" s="3">
        <f t="shared" si="276"/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11">
        <v>0</v>
      </c>
      <c r="L459" s="5">
        <v>0</v>
      </c>
      <c r="M459" s="5">
        <v>267.2</v>
      </c>
      <c r="N459" s="3">
        <f t="shared" ref="N459:N469" si="279">M459*5500</f>
        <v>1469600</v>
      </c>
      <c r="O459" s="5">
        <v>0</v>
      </c>
      <c r="P459" s="5">
        <v>0</v>
      </c>
      <c r="Q459" s="5">
        <v>0</v>
      </c>
      <c r="R459" s="3">
        <f t="shared" si="277"/>
        <v>0</v>
      </c>
      <c r="S459" s="5">
        <v>0</v>
      </c>
      <c r="T459" s="5">
        <v>0</v>
      </c>
      <c r="U459" s="5">
        <v>100000</v>
      </c>
      <c r="V459" s="6">
        <f t="shared" si="278"/>
        <v>5500</v>
      </c>
    </row>
    <row r="460" spans="1:22" ht="21.9" customHeight="1">
      <c r="A460" s="37" t="s">
        <v>1676</v>
      </c>
      <c r="B460" s="8" t="s">
        <v>571</v>
      </c>
      <c r="C460" s="2">
        <f t="shared" si="236"/>
        <v>1566949.9999999998</v>
      </c>
      <c r="D460" s="3">
        <f t="shared" si="276"/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11">
        <v>0</v>
      </c>
      <c r="L460" s="5">
        <v>0</v>
      </c>
      <c r="M460" s="5">
        <v>284.89999999999998</v>
      </c>
      <c r="N460" s="3">
        <f t="shared" si="279"/>
        <v>1566949.9999999998</v>
      </c>
      <c r="O460" s="5">
        <v>0</v>
      </c>
      <c r="P460" s="5">
        <v>0</v>
      </c>
      <c r="Q460" s="5">
        <v>0</v>
      </c>
      <c r="R460" s="3">
        <f t="shared" si="277"/>
        <v>0</v>
      </c>
      <c r="S460" s="5">
        <v>0</v>
      </c>
      <c r="T460" s="5">
        <v>0</v>
      </c>
      <c r="U460" s="5">
        <v>0</v>
      </c>
      <c r="V460" s="6">
        <f t="shared" si="278"/>
        <v>5500</v>
      </c>
    </row>
    <row r="461" spans="1:22" ht="21.9" customHeight="1">
      <c r="A461" s="37" t="s">
        <v>1677</v>
      </c>
      <c r="B461" s="23" t="s">
        <v>572</v>
      </c>
      <c r="C461" s="2">
        <f t="shared" si="236"/>
        <v>1566949.9999999998</v>
      </c>
      <c r="D461" s="3">
        <f t="shared" si="276"/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11">
        <v>0</v>
      </c>
      <c r="L461" s="5">
        <v>0</v>
      </c>
      <c r="M461" s="5">
        <v>284.89999999999998</v>
      </c>
      <c r="N461" s="3">
        <f t="shared" si="279"/>
        <v>1566949.9999999998</v>
      </c>
      <c r="O461" s="5">
        <v>0</v>
      </c>
      <c r="P461" s="5">
        <v>0</v>
      </c>
      <c r="Q461" s="5">
        <v>0</v>
      </c>
      <c r="R461" s="3">
        <f t="shared" si="277"/>
        <v>0</v>
      </c>
      <c r="S461" s="5">
        <v>0</v>
      </c>
      <c r="T461" s="5">
        <v>0</v>
      </c>
      <c r="U461" s="5">
        <v>0</v>
      </c>
      <c r="V461" s="6">
        <f t="shared" si="278"/>
        <v>5500</v>
      </c>
    </row>
    <row r="462" spans="1:22" ht="21.9" customHeight="1">
      <c r="A462" s="37" t="s">
        <v>1678</v>
      </c>
      <c r="B462" s="24" t="s">
        <v>1041</v>
      </c>
      <c r="C462" s="2">
        <f>D462+L462+N462+P462+R462+S462+T462+U462</f>
        <v>3520000</v>
      </c>
      <c r="D462" s="3">
        <f>SUM(E462:J462)</f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4">
        <v>0</v>
      </c>
      <c r="L462" s="3">
        <v>0</v>
      </c>
      <c r="M462" s="3">
        <v>640</v>
      </c>
      <c r="N462" s="3">
        <f>M462*5500</f>
        <v>3520000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6">
        <f>N462/M462</f>
        <v>5500</v>
      </c>
    </row>
    <row r="463" spans="1:22" ht="21.9" customHeight="1">
      <c r="A463" s="37" t="s">
        <v>1679</v>
      </c>
      <c r="B463" s="24" t="s">
        <v>1042</v>
      </c>
      <c r="C463" s="2">
        <f>D463+L463+N463+P463+R463+S463+T463+U463</f>
        <v>3206500</v>
      </c>
      <c r="D463" s="3">
        <f>SUM(E463:J463)</f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4">
        <v>0</v>
      </c>
      <c r="L463" s="3">
        <v>0</v>
      </c>
      <c r="M463" s="3">
        <v>583</v>
      </c>
      <c r="N463" s="3">
        <f t="shared" ref="N463:N464" si="280">M463*5500</f>
        <v>3206500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6">
        <f>N463/M463</f>
        <v>5500</v>
      </c>
    </row>
    <row r="464" spans="1:22" ht="21.9" customHeight="1">
      <c r="A464" s="37" t="s">
        <v>1680</v>
      </c>
      <c r="B464" s="24" t="s">
        <v>1043</v>
      </c>
      <c r="C464" s="2">
        <f>D464+L464+N464+P464+R464+S464+T464+U464</f>
        <v>2816000</v>
      </c>
      <c r="D464" s="3">
        <f>SUM(E464:J464)</f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4">
        <v>0</v>
      </c>
      <c r="L464" s="3">
        <v>0</v>
      </c>
      <c r="M464" s="3">
        <v>512</v>
      </c>
      <c r="N464" s="3">
        <f t="shared" si="280"/>
        <v>2816000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6">
        <f>N464/M464</f>
        <v>5500</v>
      </c>
    </row>
    <row r="465" spans="1:22" ht="21.9" customHeight="1">
      <c r="A465" s="37" t="s">
        <v>1681</v>
      </c>
      <c r="B465" s="8" t="s">
        <v>423</v>
      </c>
      <c r="C465" s="2">
        <f t="shared" si="236"/>
        <v>2133400</v>
      </c>
      <c r="D465" s="3">
        <f t="shared" si="276"/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4">
        <v>0</v>
      </c>
      <c r="L465" s="3">
        <v>0</v>
      </c>
      <c r="M465" s="3">
        <v>278.8</v>
      </c>
      <c r="N465" s="3">
        <f t="shared" si="279"/>
        <v>1533400</v>
      </c>
      <c r="O465" s="3">
        <v>0</v>
      </c>
      <c r="P465" s="3">
        <v>0</v>
      </c>
      <c r="Q465" s="3">
        <v>200</v>
      </c>
      <c r="R465" s="3">
        <f t="shared" si="277"/>
        <v>600000</v>
      </c>
      <c r="S465" s="3">
        <v>0</v>
      </c>
      <c r="T465" s="5">
        <v>0</v>
      </c>
      <c r="U465" s="3">
        <v>0</v>
      </c>
      <c r="V465" s="6">
        <f t="shared" si="278"/>
        <v>5500</v>
      </c>
    </row>
    <row r="466" spans="1:22" ht="21.9" customHeight="1">
      <c r="A466" s="37" t="s">
        <v>1682</v>
      </c>
      <c r="B466" s="23" t="s">
        <v>444</v>
      </c>
      <c r="C466" s="2">
        <f t="shared" si="236"/>
        <v>5652030.1900000004</v>
      </c>
      <c r="D466" s="3">
        <f t="shared" si="276"/>
        <v>1399190</v>
      </c>
      <c r="E466" s="3">
        <f>350*595.4</f>
        <v>208390</v>
      </c>
      <c r="F466" s="3">
        <f>1050*595.4</f>
        <v>625170</v>
      </c>
      <c r="G466" s="3">
        <f>300*595.4</f>
        <v>178620</v>
      </c>
      <c r="H466" s="3">
        <f>400*595.4</f>
        <v>238160</v>
      </c>
      <c r="I466" s="3">
        <f>250*595.4</f>
        <v>148850</v>
      </c>
      <c r="J466" s="3">
        <f>350*0</f>
        <v>0</v>
      </c>
      <c r="K466" s="4">
        <v>0</v>
      </c>
      <c r="L466" s="3">
        <v>0</v>
      </c>
      <c r="M466" s="3">
        <v>370.6</v>
      </c>
      <c r="N466" s="3">
        <f t="shared" si="279"/>
        <v>2038300.0000000002</v>
      </c>
      <c r="O466" s="3">
        <v>0</v>
      </c>
      <c r="P466" s="3">
        <v>0</v>
      </c>
      <c r="Q466" s="3">
        <v>701.9</v>
      </c>
      <c r="R466" s="3">
        <f t="shared" si="277"/>
        <v>2105700</v>
      </c>
      <c r="S466" s="3">
        <v>0</v>
      </c>
      <c r="T466" s="5">
        <v>0</v>
      </c>
      <c r="U466" s="3">
        <v>108840.19</v>
      </c>
      <c r="V466" s="6">
        <f t="shared" si="278"/>
        <v>5500</v>
      </c>
    </row>
    <row r="467" spans="1:22" ht="21.75" customHeight="1">
      <c r="A467" s="37" t="s">
        <v>1683</v>
      </c>
      <c r="B467" s="8" t="s">
        <v>490</v>
      </c>
      <c r="C467" s="2">
        <f>D467+L467+N467+P467+R467+S467+T467+U467</f>
        <v>3418300</v>
      </c>
      <c r="D467" s="3">
        <f>SUM(E467:J467)</f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4">
        <v>0</v>
      </c>
      <c r="L467" s="3">
        <v>0</v>
      </c>
      <c r="M467" s="3">
        <v>340.3</v>
      </c>
      <c r="N467" s="3">
        <f>M467*5500</f>
        <v>1871650</v>
      </c>
      <c r="O467" s="3">
        <v>0</v>
      </c>
      <c r="P467" s="3">
        <v>0</v>
      </c>
      <c r="Q467" s="3">
        <v>515.54999999999995</v>
      </c>
      <c r="R467" s="3">
        <f>Q467*3000</f>
        <v>1546649.9999999998</v>
      </c>
      <c r="S467" s="3">
        <v>0</v>
      </c>
      <c r="T467" s="5">
        <v>0</v>
      </c>
      <c r="U467" s="3">
        <v>0</v>
      </c>
      <c r="V467" s="6">
        <f>N467/M467</f>
        <v>5500</v>
      </c>
    </row>
    <row r="468" spans="1:22" ht="21.9" customHeight="1">
      <c r="A468" s="37" t="s">
        <v>1684</v>
      </c>
      <c r="B468" s="8" t="s">
        <v>491</v>
      </c>
      <c r="C468" s="2">
        <f t="shared" si="236"/>
        <v>2029500</v>
      </c>
      <c r="D468" s="3">
        <f t="shared" si="276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4">
        <v>0</v>
      </c>
      <c r="L468" s="3">
        <v>0</v>
      </c>
      <c r="M468" s="3">
        <v>369</v>
      </c>
      <c r="N468" s="3">
        <f t="shared" si="279"/>
        <v>2029500</v>
      </c>
      <c r="O468" s="3">
        <v>0</v>
      </c>
      <c r="P468" s="3">
        <v>0</v>
      </c>
      <c r="Q468" s="3">
        <v>0</v>
      </c>
      <c r="R468" s="3">
        <f t="shared" si="277"/>
        <v>0</v>
      </c>
      <c r="S468" s="3">
        <v>0</v>
      </c>
      <c r="T468" s="5">
        <v>0</v>
      </c>
      <c r="U468" s="3">
        <v>0</v>
      </c>
      <c r="V468" s="6">
        <f t="shared" si="278"/>
        <v>5500</v>
      </c>
    </row>
    <row r="469" spans="1:22" ht="21.9" customHeight="1">
      <c r="A469" s="37" t="s">
        <v>1685</v>
      </c>
      <c r="B469" s="8" t="s">
        <v>573</v>
      </c>
      <c r="C469" s="2">
        <f t="shared" si="236"/>
        <v>3153700</v>
      </c>
      <c r="D469" s="3">
        <f t="shared" si="276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1">
        <v>0</v>
      </c>
      <c r="L469" s="5">
        <v>0</v>
      </c>
      <c r="M469" s="5">
        <v>573.4</v>
      </c>
      <c r="N469" s="3">
        <f t="shared" si="279"/>
        <v>3153700</v>
      </c>
      <c r="O469" s="5">
        <v>0</v>
      </c>
      <c r="P469" s="5">
        <v>0</v>
      </c>
      <c r="Q469" s="5">
        <v>0</v>
      </c>
      <c r="R469" s="3">
        <f t="shared" si="277"/>
        <v>0</v>
      </c>
      <c r="S469" s="5">
        <v>0</v>
      </c>
      <c r="T469" s="5">
        <v>0</v>
      </c>
      <c r="U469" s="5">
        <v>0</v>
      </c>
      <c r="V469" s="6">
        <f t="shared" si="278"/>
        <v>5500</v>
      </c>
    </row>
    <row r="470" spans="1:22" ht="21.9" customHeight="1">
      <c r="A470" s="37" t="s">
        <v>1686</v>
      </c>
      <c r="B470" s="23" t="s">
        <v>574</v>
      </c>
      <c r="C470" s="2">
        <f t="shared" si="236"/>
        <v>4870078</v>
      </c>
      <c r="D470" s="3">
        <f t="shared" si="276"/>
        <v>1965678</v>
      </c>
      <c r="E470" s="3">
        <f>350*1008.04</f>
        <v>352814</v>
      </c>
      <c r="F470" s="3">
        <f>1050*1008.04</f>
        <v>1058442</v>
      </c>
      <c r="G470" s="3">
        <f>300*1008.04</f>
        <v>302412</v>
      </c>
      <c r="H470" s="3">
        <v>0</v>
      </c>
      <c r="I470" s="3">
        <f>250*1008.04</f>
        <v>252010</v>
      </c>
      <c r="J470" s="3">
        <f>350*0</f>
        <v>0</v>
      </c>
      <c r="K470" s="11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934.8</v>
      </c>
      <c r="R470" s="3">
        <f t="shared" si="277"/>
        <v>2804400</v>
      </c>
      <c r="S470" s="5">
        <v>0</v>
      </c>
      <c r="T470" s="5">
        <v>0</v>
      </c>
      <c r="U470" s="5">
        <v>100000</v>
      </c>
      <c r="V470" s="6" t="e">
        <f t="shared" si="278"/>
        <v>#DIV/0!</v>
      </c>
    </row>
    <row r="471" spans="1:22" ht="21.9" customHeight="1">
      <c r="A471" s="37" t="s">
        <v>1687</v>
      </c>
      <c r="B471" s="8" t="s">
        <v>473</v>
      </c>
      <c r="C471" s="2">
        <f t="shared" si="236"/>
        <v>3396250</v>
      </c>
      <c r="D471" s="3">
        <f t="shared" si="276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4">
        <v>0</v>
      </c>
      <c r="L471" s="3">
        <v>0</v>
      </c>
      <c r="M471" s="3">
        <v>617.5</v>
      </c>
      <c r="N471" s="3">
        <f t="shared" ref="N471:N477" si="281">M471*5500</f>
        <v>3396250</v>
      </c>
      <c r="O471" s="3">
        <v>0</v>
      </c>
      <c r="P471" s="3">
        <v>0</v>
      </c>
      <c r="Q471" s="3">
        <v>0</v>
      </c>
      <c r="R471" s="3">
        <f t="shared" si="277"/>
        <v>0</v>
      </c>
      <c r="S471" s="3">
        <v>0</v>
      </c>
      <c r="T471" s="5">
        <v>0</v>
      </c>
      <c r="U471" s="3">
        <v>0</v>
      </c>
      <c r="V471" s="6">
        <f t="shared" si="278"/>
        <v>5500</v>
      </c>
    </row>
    <row r="472" spans="1:22" ht="21.9" customHeight="1">
      <c r="A472" s="37" t="s">
        <v>1688</v>
      </c>
      <c r="B472" s="8" t="s">
        <v>492</v>
      </c>
      <c r="C472" s="2">
        <f t="shared" si="236"/>
        <v>2764000</v>
      </c>
      <c r="D472" s="3">
        <f t="shared" si="276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4">
        <v>0</v>
      </c>
      <c r="L472" s="3">
        <v>0</v>
      </c>
      <c r="M472" s="3">
        <v>280</v>
      </c>
      <c r="N472" s="3">
        <f t="shared" si="281"/>
        <v>1540000</v>
      </c>
      <c r="O472" s="3">
        <v>0</v>
      </c>
      <c r="P472" s="3">
        <v>0</v>
      </c>
      <c r="Q472" s="3">
        <v>408</v>
      </c>
      <c r="R472" s="3">
        <f t="shared" si="277"/>
        <v>1224000</v>
      </c>
      <c r="S472" s="3">
        <v>0</v>
      </c>
      <c r="T472" s="5">
        <v>0</v>
      </c>
      <c r="U472" s="3">
        <v>0</v>
      </c>
      <c r="V472" s="6">
        <f t="shared" si="278"/>
        <v>5500</v>
      </c>
    </row>
    <row r="473" spans="1:22" ht="21.9" customHeight="1">
      <c r="A473" s="37" t="s">
        <v>1689</v>
      </c>
      <c r="B473" s="8" t="s">
        <v>575</v>
      </c>
      <c r="C473" s="2">
        <f t="shared" si="236"/>
        <v>1429449.9999999998</v>
      </c>
      <c r="D473" s="3">
        <f t="shared" si="276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5">
        <v>0</v>
      </c>
      <c r="M473" s="5">
        <v>259.89999999999998</v>
      </c>
      <c r="N473" s="3">
        <f t="shared" si="281"/>
        <v>1429449.9999999998</v>
      </c>
      <c r="O473" s="5">
        <v>0</v>
      </c>
      <c r="P473" s="5">
        <v>0</v>
      </c>
      <c r="Q473" s="5">
        <v>0</v>
      </c>
      <c r="R473" s="3">
        <f t="shared" si="277"/>
        <v>0</v>
      </c>
      <c r="S473" s="5">
        <v>0</v>
      </c>
      <c r="T473" s="5">
        <v>0</v>
      </c>
      <c r="U473" s="5">
        <v>0</v>
      </c>
      <c r="V473" s="6">
        <f t="shared" si="278"/>
        <v>5500</v>
      </c>
    </row>
    <row r="474" spans="1:22" ht="21.9" customHeight="1">
      <c r="A474" s="37" t="s">
        <v>1690</v>
      </c>
      <c r="B474" s="8" t="s">
        <v>576</v>
      </c>
      <c r="C474" s="2">
        <f t="shared" si="236"/>
        <v>1408000</v>
      </c>
      <c r="D474" s="3">
        <f t="shared" si="276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5">
        <v>0</v>
      </c>
      <c r="M474" s="5">
        <v>256</v>
      </c>
      <c r="N474" s="3">
        <f t="shared" si="281"/>
        <v>1408000</v>
      </c>
      <c r="O474" s="5">
        <v>0</v>
      </c>
      <c r="P474" s="5">
        <v>0</v>
      </c>
      <c r="Q474" s="5">
        <v>0</v>
      </c>
      <c r="R474" s="3">
        <f t="shared" si="277"/>
        <v>0</v>
      </c>
      <c r="S474" s="5">
        <v>0</v>
      </c>
      <c r="T474" s="5">
        <v>0</v>
      </c>
      <c r="U474" s="5">
        <v>0</v>
      </c>
      <c r="V474" s="6">
        <f t="shared" si="278"/>
        <v>5500</v>
      </c>
    </row>
    <row r="475" spans="1:22" ht="21.9" customHeight="1">
      <c r="A475" s="37" t="s">
        <v>1691</v>
      </c>
      <c r="B475" s="23" t="s">
        <v>577</v>
      </c>
      <c r="C475" s="2">
        <f t="shared" si="236"/>
        <v>3708649.9999999995</v>
      </c>
      <c r="D475" s="3">
        <f t="shared" si="276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5">
        <v>0</v>
      </c>
      <c r="M475" s="5">
        <v>674.3</v>
      </c>
      <c r="N475" s="3">
        <f t="shared" si="281"/>
        <v>3708649.9999999995</v>
      </c>
      <c r="O475" s="5">
        <v>0</v>
      </c>
      <c r="P475" s="5">
        <v>0</v>
      </c>
      <c r="Q475" s="5">
        <v>0</v>
      </c>
      <c r="R475" s="3">
        <f t="shared" si="277"/>
        <v>0</v>
      </c>
      <c r="S475" s="5">
        <v>0</v>
      </c>
      <c r="T475" s="5">
        <v>0</v>
      </c>
      <c r="U475" s="5">
        <v>0</v>
      </c>
      <c r="V475" s="6">
        <f t="shared" si="278"/>
        <v>5500</v>
      </c>
    </row>
    <row r="476" spans="1:22" ht="21.9" customHeight="1">
      <c r="A476" s="37" t="s">
        <v>1692</v>
      </c>
      <c r="B476" s="23" t="s">
        <v>474</v>
      </c>
      <c r="C476" s="2">
        <f t="shared" si="236"/>
        <v>9362250</v>
      </c>
      <c r="D476" s="3">
        <f t="shared" si="276"/>
        <v>2018250</v>
      </c>
      <c r="E476" s="3">
        <f>350*1035</f>
        <v>362250</v>
      </c>
      <c r="F476" s="3">
        <f>1050*1035</f>
        <v>1086750</v>
      </c>
      <c r="G476" s="3">
        <f>300*1035</f>
        <v>310500</v>
      </c>
      <c r="H476" s="3">
        <f>400*0</f>
        <v>0</v>
      </c>
      <c r="I476" s="3">
        <f>250*1035</f>
        <v>258750</v>
      </c>
      <c r="J476" s="3">
        <f>350*0</f>
        <v>0</v>
      </c>
      <c r="K476" s="4">
        <v>0</v>
      </c>
      <c r="L476" s="3">
        <v>0</v>
      </c>
      <c r="M476" s="3">
        <v>764</v>
      </c>
      <c r="N476" s="3">
        <f t="shared" si="281"/>
        <v>4202000</v>
      </c>
      <c r="O476" s="3">
        <v>0</v>
      </c>
      <c r="P476" s="3">
        <v>0</v>
      </c>
      <c r="Q476" s="3">
        <v>1014</v>
      </c>
      <c r="R476" s="3">
        <f t="shared" si="277"/>
        <v>3042000</v>
      </c>
      <c r="S476" s="3">
        <v>0</v>
      </c>
      <c r="T476" s="5">
        <v>0</v>
      </c>
      <c r="U476" s="3">
        <v>100000</v>
      </c>
      <c r="V476" s="6">
        <f t="shared" si="278"/>
        <v>5500</v>
      </c>
    </row>
    <row r="477" spans="1:22" ht="21.9" customHeight="1">
      <c r="A477" s="37" t="s">
        <v>1693</v>
      </c>
      <c r="B477" s="8" t="s">
        <v>578</v>
      </c>
      <c r="C477" s="2">
        <f t="shared" si="236"/>
        <v>300000</v>
      </c>
      <c r="D477" s="3">
        <f t="shared" si="276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1">
        <v>0</v>
      </c>
      <c r="L477" s="5">
        <v>0</v>
      </c>
      <c r="M477" s="5">
        <v>0</v>
      </c>
      <c r="N477" s="3">
        <f t="shared" si="281"/>
        <v>0</v>
      </c>
      <c r="O477" s="5">
        <v>0</v>
      </c>
      <c r="P477" s="5">
        <v>0</v>
      </c>
      <c r="Q477" s="5">
        <v>0</v>
      </c>
      <c r="R477" s="3">
        <f t="shared" si="277"/>
        <v>0</v>
      </c>
      <c r="S477" s="5">
        <v>0</v>
      </c>
      <c r="T477" s="5">
        <v>0</v>
      </c>
      <c r="U477" s="5">
        <v>300000</v>
      </c>
      <c r="V477" s="6" t="e">
        <f t="shared" si="278"/>
        <v>#DIV/0!</v>
      </c>
    </row>
    <row r="478" spans="1:22" ht="21.9" customHeight="1">
      <c r="A478" s="37" t="s">
        <v>1694</v>
      </c>
      <c r="B478" s="23" t="s">
        <v>501</v>
      </c>
      <c r="C478" s="2">
        <f>D478+L478+N478+P478+R478+S478+T478+U478</f>
        <v>6758070</v>
      </c>
      <c r="D478" s="3">
        <f>SUM(E478:J478)</f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4">
        <v>0</v>
      </c>
      <c r="L478" s="3">
        <v>0</v>
      </c>
      <c r="M478" s="3">
        <v>1161.9000000000001</v>
      </c>
      <c r="N478" s="3">
        <v>6158070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600000</v>
      </c>
      <c r="V478" s="6">
        <f>N478/M478</f>
        <v>5300</v>
      </c>
    </row>
    <row r="479" spans="1:22" ht="21.9" customHeight="1">
      <c r="A479" s="37" t="s">
        <v>1695</v>
      </c>
      <c r="B479" s="23" t="s">
        <v>503</v>
      </c>
      <c r="C479" s="2">
        <f>D479+L479+N479+P479+R479+S479+T479+U479</f>
        <v>16655539.5</v>
      </c>
      <c r="D479" s="3">
        <f>SUM(E479:J479)</f>
        <v>3664609.5</v>
      </c>
      <c r="E479" s="3">
        <f>350*1980.87</f>
        <v>693304.5</v>
      </c>
      <c r="F479" s="3">
        <f>800*1980.87</f>
        <v>1584696</v>
      </c>
      <c r="G479" s="3">
        <f>300*1980.87</f>
        <v>594261</v>
      </c>
      <c r="H479" s="3">
        <f>500*0</f>
        <v>0</v>
      </c>
      <c r="I479" s="3">
        <f>400*1980.87</f>
        <v>792348</v>
      </c>
      <c r="J479" s="3">
        <f>350*0</f>
        <v>0</v>
      </c>
      <c r="K479" s="4">
        <v>0</v>
      </c>
      <c r="L479" s="3">
        <v>0</v>
      </c>
      <c r="M479" s="3">
        <v>1748.1</v>
      </c>
      <c r="N479" s="3">
        <v>9264930</v>
      </c>
      <c r="O479" s="3">
        <v>0</v>
      </c>
      <c r="P479" s="3">
        <v>0</v>
      </c>
      <c r="Q479" s="3">
        <v>1200</v>
      </c>
      <c r="R479" s="3">
        <f>Q479*2605</f>
        <v>3126000</v>
      </c>
      <c r="S479" s="3">
        <v>0</v>
      </c>
      <c r="T479" s="3">
        <v>0</v>
      </c>
      <c r="U479" s="3">
        <v>600000</v>
      </c>
      <c r="V479" s="6">
        <f>N479/M479</f>
        <v>5300</v>
      </c>
    </row>
    <row r="480" spans="1:22" ht="21.9" customHeight="1">
      <c r="A480" s="37" t="s">
        <v>1696</v>
      </c>
      <c r="B480" s="8" t="s">
        <v>396</v>
      </c>
      <c r="C480" s="2">
        <f>D480+L480+N480+P480+R480+S480+T480+U480</f>
        <v>300000</v>
      </c>
      <c r="D480" s="3">
        <f>SUM(E480:J480)</f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f>350*0</f>
        <v>0</v>
      </c>
      <c r="K480" s="4">
        <v>0</v>
      </c>
      <c r="L480" s="3">
        <v>0</v>
      </c>
      <c r="M480" s="3">
        <v>0</v>
      </c>
      <c r="N480" s="3">
        <f>M480*5500</f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300000</v>
      </c>
      <c r="V480" s="6" t="e">
        <f>N480/M480</f>
        <v>#DIV/0!</v>
      </c>
    </row>
    <row r="481" spans="1:22" ht="21.9" customHeight="1">
      <c r="A481" s="37" t="s">
        <v>1697</v>
      </c>
      <c r="B481" s="8" t="s">
        <v>579</v>
      </c>
      <c r="C481" s="2">
        <f t="shared" si="236"/>
        <v>8631403.75</v>
      </c>
      <c r="D481" s="3">
        <f t="shared" si="276"/>
        <v>4403195</v>
      </c>
      <c r="E481" s="3">
        <f>350*1873.7</f>
        <v>655795</v>
      </c>
      <c r="F481" s="3">
        <f>1050*1873.7</f>
        <v>1967385</v>
      </c>
      <c r="G481" s="3">
        <f>300*1873.7</f>
        <v>562110</v>
      </c>
      <c r="H481" s="3">
        <f>400*1873.7</f>
        <v>749480</v>
      </c>
      <c r="I481" s="3">
        <f>250*1873.7</f>
        <v>468425</v>
      </c>
      <c r="J481" s="3">
        <f>350*0</f>
        <v>0</v>
      </c>
      <c r="K481" s="11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1343</v>
      </c>
      <c r="R481" s="3">
        <f t="shared" si="277"/>
        <v>4029000</v>
      </c>
      <c r="S481" s="5">
        <v>0</v>
      </c>
      <c r="T481" s="5">
        <v>0</v>
      </c>
      <c r="U481" s="5">
        <v>199208.75</v>
      </c>
      <c r="V481" s="6" t="e">
        <f t="shared" si="278"/>
        <v>#DIV/0!</v>
      </c>
    </row>
    <row r="482" spans="1:22" ht="21.9" customHeight="1">
      <c r="A482" s="37" t="s">
        <v>1698</v>
      </c>
      <c r="B482" s="8" t="s">
        <v>388</v>
      </c>
      <c r="C482" s="2">
        <f t="shared" si="236"/>
        <v>4553051.6399999997</v>
      </c>
      <c r="D482" s="3">
        <f t="shared" si="276"/>
        <v>4295565</v>
      </c>
      <c r="E482" s="3">
        <f>350*1827.9</f>
        <v>639765</v>
      </c>
      <c r="F482" s="3">
        <f>1050*1827.9</f>
        <v>1919295</v>
      </c>
      <c r="G482" s="3">
        <f>300*1827.9</f>
        <v>548370</v>
      </c>
      <c r="H482" s="3">
        <f>400*1827.9</f>
        <v>731160</v>
      </c>
      <c r="I482" s="3">
        <f>250*1827.9</f>
        <v>456975</v>
      </c>
      <c r="J482" s="3">
        <f>350*0</f>
        <v>0</v>
      </c>
      <c r="K482" s="4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f t="shared" si="277"/>
        <v>0</v>
      </c>
      <c r="S482" s="3">
        <v>0</v>
      </c>
      <c r="T482" s="3">
        <v>0</v>
      </c>
      <c r="U482" s="3">
        <v>257486.64</v>
      </c>
      <c r="V482" s="6" t="e">
        <f t="shared" si="278"/>
        <v>#DIV/0!</v>
      </c>
    </row>
    <row r="483" spans="1:22" ht="21.9" customHeight="1">
      <c r="A483" s="37" t="s">
        <v>1699</v>
      </c>
      <c r="B483" s="8" t="s">
        <v>580</v>
      </c>
      <c r="C483" s="2">
        <f t="shared" si="236"/>
        <v>3206500</v>
      </c>
      <c r="D483" s="3">
        <f t="shared" si="276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5">
        <v>0</v>
      </c>
      <c r="M483" s="5">
        <v>583</v>
      </c>
      <c r="N483" s="3">
        <f t="shared" ref="N483:N489" si="282">M483*5500</f>
        <v>3206500</v>
      </c>
      <c r="O483" s="5">
        <v>0</v>
      </c>
      <c r="P483" s="5">
        <v>0</v>
      </c>
      <c r="Q483" s="5">
        <v>0</v>
      </c>
      <c r="R483" s="3">
        <f t="shared" si="277"/>
        <v>0</v>
      </c>
      <c r="S483" s="5">
        <v>0</v>
      </c>
      <c r="T483" s="5">
        <v>0</v>
      </c>
      <c r="U483" s="5">
        <v>0</v>
      </c>
      <c r="V483" s="6">
        <f t="shared" si="278"/>
        <v>5500</v>
      </c>
    </row>
    <row r="484" spans="1:22" ht="21.9" customHeight="1">
      <c r="A484" s="37" t="s">
        <v>1700</v>
      </c>
      <c r="B484" s="8" t="s">
        <v>1009</v>
      </c>
      <c r="C484" s="2">
        <f t="shared" si="236"/>
        <v>2189000</v>
      </c>
      <c r="D484" s="3">
        <f t="shared" si="276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5">
        <v>0</v>
      </c>
      <c r="M484" s="5">
        <v>398</v>
      </c>
      <c r="N484" s="3">
        <f t="shared" si="282"/>
        <v>2189000</v>
      </c>
      <c r="O484" s="5">
        <v>0</v>
      </c>
      <c r="P484" s="5">
        <v>0</v>
      </c>
      <c r="Q484" s="5">
        <v>0</v>
      </c>
      <c r="R484" s="3">
        <f t="shared" si="277"/>
        <v>0</v>
      </c>
      <c r="S484" s="5">
        <v>0</v>
      </c>
      <c r="T484" s="5">
        <v>0</v>
      </c>
      <c r="U484" s="5">
        <v>0</v>
      </c>
      <c r="V484" s="6">
        <f t="shared" si="278"/>
        <v>5500</v>
      </c>
    </row>
    <row r="485" spans="1:22" ht="21.9" customHeight="1">
      <c r="A485" s="37" t="s">
        <v>1701</v>
      </c>
      <c r="B485" s="8" t="s">
        <v>506</v>
      </c>
      <c r="C485" s="2">
        <f t="shared" si="236"/>
        <v>2745000</v>
      </c>
      <c r="D485" s="3">
        <f t="shared" si="276"/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11">
        <v>0</v>
      </c>
      <c r="L485" s="5">
        <v>0</v>
      </c>
      <c r="M485" s="5">
        <v>270</v>
      </c>
      <c r="N485" s="3">
        <f t="shared" si="282"/>
        <v>1485000</v>
      </c>
      <c r="O485" s="5">
        <v>0</v>
      </c>
      <c r="P485" s="5">
        <v>0</v>
      </c>
      <c r="Q485" s="5">
        <v>420</v>
      </c>
      <c r="R485" s="3">
        <f t="shared" si="277"/>
        <v>1260000</v>
      </c>
      <c r="S485" s="5">
        <v>0</v>
      </c>
      <c r="T485" s="5">
        <v>0</v>
      </c>
      <c r="U485" s="5">
        <v>0</v>
      </c>
      <c r="V485" s="6">
        <f t="shared" si="278"/>
        <v>5500</v>
      </c>
    </row>
    <row r="486" spans="1:22" ht="21.9" customHeight="1">
      <c r="A486" s="37" t="s">
        <v>1702</v>
      </c>
      <c r="B486" s="8" t="s">
        <v>581</v>
      </c>
      <c r="C486" s="2">
        <f t="shared" si="236"/>
        <v>2849000</v>
      </c>
      <c r="D486" s="3">
        <f t="shared" si="276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1">
        <v>0</v>
      </c>
      <c r="L486" s="5">
        <v>0</v>
      </c>
      <c r="M486" s="5">
        <v>518</v>
      </c>
      <c r="N486" s="3">
        <f t="shared" si="282"/>
        <v>2849000</v>
      </c>
      <c r="O486" s="5">
        <v>0</v>
      </c>
      <c r="P486" s="5">
        <v>0</v>
      </c>
      <c r="Q486" s="5">
        <v>0</v>
      </c>
      <c r="R486" s="3">
        <f t="shared" si="277"/>
        <v>0</v>
      </c>
      <c r="S486" s="5">
        <v>0</v>
      </c>
      <c r="T486" s="5">
        <v>0</v>
      </c>
      <c r="U486" s="5">
        <v>0</v>
      </c>
      <c r="V486" s="6">
        <f t="shared" si="278"/>
        <v>5500</v>
      </c>
    </row>
    <row r="487" spans="1:22" ht="21.9" customHeight="1">
      <c r="A487" s="37" t="s">
        <v>1703</v>
      </c>
      <c r="B487" s="8" t="s">
        <v>675</v>
      </c>
      <c r="C487" s="2">
        <f t="shared" si="236"/>
        <v>1303500</v>
      </c>
      <c r="D487" s="3">
        <f t="shared" si="276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4">
        <v>0</v>
      </c>
      <c r="L487" s="3">
        <v>0</v>
      </c>
      <c r="M487" s="3">
        <v>237</v>
      </c>
      <c r="N487" s="3">
        <f t="shared" si="282"/>
        <v>1303500</v>
      </c>
      <c r="O487" s="3">
        <v>0</v>
      </c>
      <c r="P487" s="3">
        <v>0</v>
      </c>
      <c r="Q487" s="3">
        <v>0</v>
      </c>
      <c r="R487" s="3">
        <f t="shared" si="277"/>
        <v>0</v>
      </c>
      <c r="S487" s="3">
        <v>0</v>
      </c>
      <c r="T487" s="5">
        <v>0</v>
      </c>
      <c r="U487" s="3">
        <v>0</v>
      </c>
      <c r="V487" s="6">
        <f t="shared" si="278"/>
        <v>5500</v>
      </c>
    </row>
    <row r="488" spans="1:22" ht="21.9" customHeight="1">
      <c r="A488" s="37" t="s">
        <v>1704</v>
      </c>
      <c r="B488" s="8" t="s">
        <v>507</v>
      </c>
      <c r="C488" s="2">
        <f t="shared" si="236"/>
        <v>1863400</v>
      </c>
      <c r="D488" s="3">
        <f t="shared" si="276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5">
        <v>0</v>
      </c>
      <c r="M488" s="5">
        <v>338.8</v>
      </c>
      <c r="N488" s="3">
        <f t="shared" si="282"/>
        <v>1863400</v>
      </c>
      <c r="O488" s="5">
        <v>0</v>
      </c>
      <c r="P488" s="5">
        <v>0</v>
      </c>
      <c r="Q488" s="5">
        <v>0</v>
      </c>
      <c r="R488" s="3">
        <f t="shared" si="277"/>
        <v>0</v>
      </c>
      <c r="S488" s="5">
        <v>0</v>
      </c>
      <c r="T488" s="5">
        <v>0</v>
      </c>
      <c r="U488" s="5">
        <v>0</v>
      </c>
      <c r="V488" s="6">
        <f t="shared" si="278"/>
        <v>5500</v>
      </c>
    </row>
    <row r="489" spans="1:22" ht="21.9" customHeight="1">
      <c r="A489" s="37" t="s">
        <v>1705</v>
      </c>
      <c r="B489" s="8" t="s">
        <v>582</v>
      </c>
      <c r="C489" s="2">
        <f t="shared" si="236"/>
        <v>3258200</v>
      </c>
      <c r="D489" s="3">
        <f t="shared" si="276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1">
        <v>0</v>
      </c>
      <c r="L489" s="5">
        <v>0</v>
      </c>
      <c r="M489" s="5">
        <v>592.4</v>
      </c>
      <c r="N489" s="3">
        <f t="shared" si="282"/>
        <v>3258200</v>
      </c>
      <c r="O489" s="5">
        <v>0</v>
      </c>
      <c r="P489" s="5">
        <v>0</v>
      </c>
      <c r="Q489" s="5">
        <v>0</v>
      </c>
      <c r="R489" s="3">
        <f t="shared" si="277"/>
        <v>0</v>
      </c>
      <c r="S489" s="5">
        <v>0</v>
      </c>
      <c r="T489" s="5">
        <v>0</v>
      </c>
      <c r="U489" s="5">
        <v>0</v>
      </c>
      <c r="V489" s="6">
        <f t="shared" si="278"/>
        <v>5500</v>
      </c>
    </row>
    <row r="490" spans="1:22" ht="21.9" customHeight="1">
      <c r="A490" s="37" t="s">
        <v>1706</v>
      </c>
      <c r="B490" s="8" t="s">
        <v>459</v>
      </c>
      <c r="C490" s="2">
        <f t="shared" si="236"/>
        <v>4736960</v>
      </c>
      <c r="D490" s="3">
        <f t="shared" ref="D490" si="283">SUM(E490:J490)</f>
        <v>4736960</v>
      </c>
      <c r="E490" s="3">
        <v>0</v>
      </c>
      <c r="F490" s="3">
        <f>800*5921.2</f>
        <v>4736960</v>
      </c>
      <c r="G490" s="3">
        <v>0</v>
      </c>
      <c r="H490" s="3">
        <f>500*0</f>
        <v>0</v>
      </c>
      <c r="I490" s="3">
        <v>0</v>
      </c>
      <c r="J490" s="3">
        <f>350*0</f>
        <v>0</v>
      </c>
      <c r="K490" s="4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6" t="e">
        <f t="shared" si="278"/>
        <v>#DIV/0!</v>
      </c>
    </row>
    <row r="491" spans="1:22" ht="21.9" customHeight="1">
      <c r="A491" s="37" t="s">
        <v>1707</v>
      </c>
      <c r="B491" s="23" t="s">
        <v>583</v>
      </c>
      <c r="C491" s="2">
        <f t="shared" si="236"/>
        <v>6245180.7400000002</v>
      </c>
      <c r="D491" s="3">
        <f t="shared" si="276"/>
        <v>6019650</v>
      </c>
      <c r="E491" s="3">
        <f>350*3087</f>
        <v>1080450</v>
      </c>
      <c r="F491" s="3">
        <f>1050*3087</f>
        <v>3241350</v>
      </c>
      <c r="G491" s="3">
        <f>300*3087</f>
        <v>926100</v>
      </c>
      <c r="H491" s="3">
        <v>0</v>
      </c>
      <c r="I491" s="3">
        <f>250*3087</f>
        <v>771750</v>
      </c>
      <c r="J491" s="3">
        <f>350*0</f>
        <v>0</v>
      </c>
      <c r="K491" s="11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3">
        <f t="shared" si="277"/>
        <v>0</v>
      </c>
      <c r="S491" s="5">
        <v>0</v>
      </c>
      <c r="T491" s="5">
        <v>0</v>
      </c>
      <c r="U491" s="5">
        <v>225530.74</v>
      </c>
      <c r="V491" s="6" t="e">
        <f t="shared" si="278"/>
        <v>#DIV/0!</v>
      </c>
    </row>
    <row r="492" spans="1:22" ht="21.9" customHeight="1">
      <c r="A492" s="37" t="s">
        <v>1708</v>
      </c>
      <c r="B492" s="8" t="s">
        <v>584</v>
      </c>
      <c r="C492" s="2">
        <f t="shared" si="236"/>
        <v>2615670.7599999998</v>
      </c>
      <c r="D492" s="3">
        <f t="shared" si="276"/>
        <v>2446080</v>
      </c>
      <c r="E492" s="3">
        <f>350*1254.4</f>
        <v>439040.00000000006</v>
      </c>
      <c r="F492" s="3">
        <f>1050*1254.4</f>
        <v>1317120</v>
      </c>
      <c r="G492" s="3">
        <f>300*1254.4</f>
        <v>376320</v>
      </c>
      <c r="H492" s="3">
        <v>0</v>
      </c>
      <c r="I492" s="3">
        <f>250*1254.4</f>
        <v>313600</v>
      </c>
      <c r="J492" s="3">
        <f>350*0</f>
        <v>0</v>
      </c>
      <c r="K492" s="11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3">
        <f t="shared" si="277"/>
        <v>0</v>
      </c>
      <c r="S492" s="5">
        <v>0</v>
      </c>
      <c r="T492" s="5">
        <v>0</v>
      </c>
      <c r="U492" s="5">
        <v>169590.76</v>
      </c>
      <c r="V492" s="6" t="e">
        <f t="shared" si="278"/>
        <v>#DIV/0!</v>
      </c>
    </row>
    <row r="493" spans="1:22" ht="21.9" customHeight="1">
      <c r="A493" s="37" t="s">
        <v>1709</v>
      </c>
      <c r="B493" s="8" t="s">
        <v>387</v>
      </c>
      <c r="C493" s="2">
        <f>D493+L493+N493+P493+R493+S493+T493+U493</f>
        <v>10458306.5</v>
      </c>
      <c r="D493" s="3">
        <f>SUM(E493:J493)</f>
        <v>10258306.5</v>
      </c>
      <c r="E493" s="3">
        <f>350*5260.67</f>
        <v>1841234.5</v>
      </c>
      <c r="F493" s="3">
        <f>1050*5260.67</f>
        <v>5523703.5</v>
      </c>
      <c r="G493" s="3">
        <f>300*5260.67</f>
        <v>1578201</v>
      </c>
      <c r="H493" s="3">
        <v>0</v>
      </c>
      <c r="I493" s="3">
        <f>250*5260.67</f>
        <v>1315167.5</v>
      </c>
      <c r="J493" s="3">
        <f>350*0</f>
        <v>0</v>
      </c>
      <c r="K493" s="4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200000</v>
      </c>
      <c r="V493" s="6" t="e">
        <f>N493/M493</f>
        <v>#DIV/0!</v>
      </c>
    </row>
    <row r="494" spans="1:22" ht="21.9" customHeight="1">
      <c r="A494" s="37" t="s">
        <v>1710</v>
      </c>
      <c r="B494" s="23" t="s">
        <v>992</v>
      </c>
      <c r="C494" s="2">
        <f t="shared" ref="C494:C564" si="284">D494+L494+N494+P494+R494+S494+T494+U494</f>
        <v>300000</v>
      </c>
      <c r="D494" s="3">
        <f t="shared" si="276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11">
        <v>0</v>
      </c>
      <c r="L494" s="5">
        <v>0</v>
      </c>
      <c r="M494" s="5">
        <v>0</v>
      </c>
      <c r="N494" s="3">
        <f t="shared" ref="N494:N496" si="285">M494*5500</f>
        <v>0</v>
      </c>
      <c r="O494" s="5">
        <v>0</v>
      </c>
      <c r="P494" s="5">
        <v>0</v>
      </c>
      <c r="Q494" s="5">
        <v>0</v>
      </c>
      <c r="R494" s="3">
        <f t="shared" si="277"/>
        <v>0</v>
      </c>
      <c r="S494" s="5">
        <v>0</v>
      </c>
      <c r="T494" s="5">
        <v>0</v>
      </c>
      <c r="U494" s="5">
        <v>300000</v>
      </c>
      <c r="V494" s="6" t="e">
        <f t="shared" si="278"/>
        <v>#DIV/0!</v>
      </c>
    </row>
    <row r="495" spans="1:22" ht="21.9" customHeight="1">
      <c r="A495" s="37" t="s">
        <v>1711</v>
      </c>
      <c r="B495" s="23" t="s">
        <v>508</v>
      </c>
      <c r="C495" s="2">
        <f t="shared" si="284"/>
        <v>300000</v>
      </c>
      <c r="D495" s="3">
        <f t="shared" si="276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0</v>
      </c>
      <c r="N495" s="3">
        <f t="shared" si="285"/>
        <v>0</v>
      </c>
      <c r="O495" s="5">
        <v>0</v>
      </c>
      <c r="P495" s="5">
        <v>0</v>
      </c>
      <c r="Q495" s="5">
        <v>0</v>
      </c>
      <c r="R495" s="3">
        <f t="shared" si="277"/>
        <v>0</v>
      </c>
      <c r="S495" s="5">
        <v>0</v>
      </c>
      <c r="T495" s="5">
        <v>0</v>
      </c>
      <c r="U495" s="5">
        <v>300000</v>
      </c>
      <c r="V495" s="6" t="e">
        <f t="shared" si="278"/>
        <v>#DIV/0!</v>
      </c>
    </row>
    <row r="496" spans="1:22" ht="31.2">
      <c r="A496" s="37" t="s">
        <v>1712</v>
      </c>
      <c r="B496" s="8" t="s">
        <v>1075</v>
      </c>
      <c r="C496" s="2">
        <f t="shared" si="284"/>
        <v>4746500</v>
      </c>
      <c r="D496" s="3">
        <f t="shared" si="276"/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11">
        <v>0</v>
      </c>
      <c r="L496" s="5">
        <v>0</v>
      </c>
      <c r="M496" s="5">
        <v>863</v>
      </c>
      <c r="N496" s="3">
        <f t="shared" si="285"/>
        <v>4746500</v>
      </c>
      <c r="O496" s="5">
        <v>0</v>
      </c>
      <c r="P496" s="5">
        <v>0</v>
      </c>
      <c r="Q496" s="5">
        <v>0</v>
      </c>
      <c r="R496" s="3">
        <f t="shared" si="277"/>
        <v>0</v>
      </c>
      <c r="S496" s="5">
        <v>0</v>
      </c>
      <c r="T496" s="5">
        <v>0</v>
      </c>
      <c r="U496" s="5">
        <v>0</v>
      </c>
      <c r="V496" s="6">
        <f t="shared" si="278"/>
        <v>5500</v>
      </c>
    </row>
    <row r="497" spans="1:22" ht="21.9" customHeight="1">
      <c r="A497" s="37" t="s">
        <v>1713</v>
      </c>
      <c r="B497" s="8" t="s">
        <v>586</v>
      </c>
      <c r="C497" s="2">
        <f t="shared" si="284"/>
        <v>300000</v>
      </c>
      <c r="D497" s="3">
        <f t="shared" si="276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11">
        <v>0</v>
      </c>
      <c r="L497" s="5">
        <v>0</v>
      </c>
      <c r="M497" s="5">
        <v>0</v>
      </c>
      <c r="N497" s="3">
        <f t="shared" ref="N497:N501" si="286">M497*5500</f>
        <v>0</v>
      </c>
      <c r="O497" s="5">
        <v>0</v>
      </c>
      <c r="P497" s="5">
        <v>0</v>
      </c>
      <c r="Q497" s="5">
        <v>0</v>
      </c>
      <c r="R497" s="3">
        <f t="shared" si="277"/>
        <v>0</v>
      </c>
      <c r="S497" s="5">
        <v>0</v>
      </c>
      <c r="T497" s="5">
        <v>0</v>
      </c>
      <c r="U497" s="5">
        <v>300000</v>
      </c>
      <c r="V497" s="6" t="e">
        <f t="shared" si="278"/>
        <v>#DIV/0!</v>
      </c>
    </row>
    <row r="498" spans="1:22" ht="21.9" customHeight="1">
      <c r="A498" s="37" t="s">
        <v>1714</v>
      </c>
      <c r="B498" s="8" t="s">
        <v>509</v>
      </c>
      <c r="C498" s="2">
        <f t="shared" si="284"/>
        <v>300000</v>
      </c>
      <c r="D498" s="3">
        <f t="shared" si="276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5">
        <v>0</v>
      </c>
      <c r="M498" s="5">
        <v>0</v>
      </c>
      <c r="N498" s="3">
        <f t="shared" si="286"/>
        <v>0</v>
      </c>
      <c r="O498" s="5">
        <v>0</v>
      </c>
      <c r="P498" s="5">
        <v>0</v>
      </c>
      <c r="Q498" s="5">
        <v>0</v>
      </c>
      <c r="R498" s="3">
        <f t="shared" si="277"/>
        <v>0</v>
      </c>
      <c r="S498" s="5">
        <v>0</v>
      </c>
      <c r="T498" s="5">
        <v>0</v>
      </c>
      <c r="U498" s="5">
        <v>300000</v>
      </c>
      <c r="V498" s="6" t="e">
        <f t="shared" si="278"/>
        <v>#DIV/0!</v>
      </c>
    </row>
    <row r="499" spans="1:22" ht="21.9" customHeight="1">
      <c r="A499" s="37" t="s">
        <v>1715</v>
      </c>
      <c r="B499" s="8" t="s">
        <v>461</v>
      </c>
      <c r="C499" s="2">
        <f t="shared" si="284"/>
        <v>2101000</v>
      </c>
      <c r="D499" s="3">
        <f t="shared" si="276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4">
        <v>0</v>
      </c>
      <c r="L499" s="3">
        <v>0</v>
      </c>
      <c r="M499" s="3">
        <v>382</v>
      </c>
      <c r="N499" s="3">
        <f t="shared" si="286"/>
        <v>2101000</v>
      </c>
      <c r="O499" s="3">
        <v>0</v>
      </c>
      <c r="P499" s="3">
        <v>0</v>
      </c>
      <c r="Q499" s="3">
        <v>0</v>
      </c>
      <c r="R499" s="3">
        <f t="shared" si="277"/>
        <v>0</v>
      </c>
      <c r="S499" s="3">
        <v>0</v>
      </c>
      <c r="T499" s="5">
        <v>0</v>
      </c>
      <c r="U499" s="3">
        <v>0</v>
      </c>
      <c r="V499" s="6">
        <f t="shared" si="278"/>
        <v>5500</v>
      </c>
    </row>
    <row r="500" spans="1:22" ht="21.9" customHeight="1">
      <c r="A500" s="37" t="s">
        <v>1716</v>
      </c>
      <c r="B500" s="8" t="s">
        <v>587</v>
      </c>
      <c r="C500" s="2">
        <f t="shared" si="284"/>
        <v>1611500</v>
      </c>
      <c r="D500" s="3">
        <f t="shared" si="276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11">
        <v>0</v>
      </c>
      <c r="L500" s="5">
        <v>0</v>
      </c>
      <c r="M500" s="5">
        <v>293</v>
      </c>
      <c r="N500" s="3">
        <f t="shared" si="286"/>
        <v>1611500</v>
      </c>
      <c r="O500" s="5">
        <v>0</v>
      </c>
      <c r="P500" s="5">
        <v>0</v>
      </c>
      <c r="Q500" s="5">
        <v>0</v>
      </c>
      <c r="R500" s="3">
        <f t="shared" si="277"/>
        <v>0</v>
      </c>
      <c r="S500" s="5">
        <v>0</v>
      </c>
      <c r="T500" s="5">
        <v>0</v>
      </c>
      <c r="U500" s="5">
        <v>0</v>
      </c>
      <c r="V500" s="6">
        <f t="shared" si="278"/>
        <v>5500</v>
      </c>
    </row>
    <row r="501" spans="1:22" ht="21.9" customHeight="1">
      <c r="A501" s="37" t="s">
        <v>1717</v>
      </c>
      <c r="B501" s="8" t="s">
        <v>588</v>
      </c>
      <c r="C501" s="2">
        <f t="shared" si="284"/>
        <v>1606000</v>
      </c>
      <c r="D501" s="3">
        <f t="shared" si="276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1">
        <v>0</v>
      </c>
      <c r="L501" s="5">
        <v>0</v>
      </c>
      <c r="M501" s="5">
        <v>292</v>
      </c>
      <c r="N501" s="3">
        <f t="shared" si="286"/>
        <v>1606000</v>
      </c>
      <c r="O501" s="5">
        <v>0</v>
      </c>
      <c r="P501" s="5">
        <v>0</v>
      </c>
      <c r="Q501" s="5">
        <v>0</v>
      </c>
      <c r="R501" s="3">
        <f t="shared" si="277"/>
        <v>0</v>
      </c>
      <c r="S501" s="5">
        <v>0</v>
      </c>
      <c r="T501" s="5">
        <v>0</v>
      </c>
      <c r="U501" s="5">
        <v>0</v>
      </c>
      <c r="V501" s="6">
        <f t="shared" si="278"/>
        <v>5500</v>
      </c>
    </row>
    <row r="502" spans="1:22" ht="21.9" customHeight="1">
      <c r="A502" s="37" t="s">
        <v>1718</v>
      </c>
      <c r="B502" s="8" t="s">
        <v>403</v>
      </c>
      <c r="C502" s="2">
        <f>D502+L502+N502+P502+R502+S502+T502+U502</f>
        <v>886320</v>
      </c>
      <c r="D502" s="3">
        <f>SUM(E502:J502)</f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v>0</v>
      </c>
      <c r="O502" s="3">
        <v>238.6</v>
      </c>
      <c r="P502" s="3">
        <f>O502*1200</f>
        <v>286320</v>
      </c>
      <c r="Q502" s="3">
        <v>0</v>
      </c>
      <c r="R502" s="3">
        <v>0</v>
      </c>
      <c r="S502" s="3">
        <v>0</v>
      </c>
      <c r="T502" s="3">
        <v>0</v>
      </c>
      <c r="U502" s="3">
        <v>600000</v>
      </c>
      <c r="V502" s="6" t="e">
        <f>N502/M502</f>
        <v>#DIV/0!</v>
      </c>
    </row>
    <row r="503" spans="1:22" ht="21.9" customHeight="1">
      <c r="A503" s="37" t="s">
        <v>1719</v>
      </c>
      <c r="B503" s="8" t="s">
        <v>439</v>
      </c>
      <c r="C503" s="2">
        <f t="shared" ref="C503:C505" si="287">D503+L503+N503+P503+R503+S503+T503+U503</f>
        <v>2953179.2999999993</v>
      </c>
      <c r="D503" s="3">
        <f t="shared" ref="D503:D505" si="288">SUM(E503:J503)</f>
        <v>2953179.2999999993</v>
      </c>
      <c r="E503" s="3">
        <v>536604.72</v>
      </c>
      <c r="F503" s="3">
        <v>2178999.2999999998</v>
      </c>
      <c r="G503" s="3">
        <v>237575.28</v>
      </c>
      <c r="H503" s="3">
        <v>0</v>
      </c>
      <c r="I503" s="3">
        <v>0</v>
      </c>
      <c r="J503" s="3">
        <f t="shared" ref="J503:J505" si="289">0*350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6" t="e">
        <f t="shared" ref="V503:V505" si="290">N503/M503</f>
        <v>#DIV/0!</v>
      </c>
    </row>
    <row r="504" spans="1:22" ht="21.9" customHeight="1">
      <c r="A504" s="37" t="s">
        <v>1720</v>
      </c>
      <c r="B504" s="8" t="s">
        <v>431</v>
      </c>
      <c r="C504" s="2">
        <f t="shared" si="287"/>
        <v>4703409.84</v>
      </c>
      <c r="D504" s="3">
        <f t="shared" si="288"/>
        <v>4703409.84</v>
      </c>
      <c r="E504" s="3">
        <v>781371.18</v>
      </c>
      <c r="F504" s="3">
        <v>3561682.02</v>
      </c>
      <c r="G504" s="3">
        <v>360356.64</v>
      </c>
      <c r="H504" s="3">
        <v>0</v>
      </c>
      <c r="I504" s="3">
        <v>0</v>
      </c>
      <c r="J504" s="3">
        <f t="shared" si="289"/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6" t="e">
        <f t="shared" si="290"/>
        <v>#DIV/0!</v>
      </c>
    </row>
    <row r="505" spans="1:22" ht="21.9" customHeight="1">
      <c r="A505" s="37" t="s">
        <v>1721</v>
      </c>
      <c r="B505" s="8" t="s">
        <v>432</v>
      </c>
      <c r="C505" s="2">
        <f t="shared" si="287"/>
        <v>4073783.4600000004</v>
      </c>
      <c r="D505" s="3">
        <f t="shared" si="288"/>
        <v>4073783.4600000004</v>
      </c>
      <c r="E505" s="3">
        <v>738309.66</v>
      </c>
      <c r="F505" s="3">
        <v>2413974.66</v>
      </c>
      <c r="G505" s="3">
        <v>280206.24</v>
      </c>
      <c r="H505" s="3">
        <v>0</v>
      </c>
      <c r="I505" s="3">
        <v>641292.9</v>
      </c>
      <c r="J505" s="3">
        <f t="shared" si="289"/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6" t="e">
        <f t="shared" si="290"/>
        <v>#DIV/0!</v>
      </c>
    </row>
    <row r="506" spans="1:22" ht="21.9" customHeight="1">
      <c r="A506" s="37" t="s">
        <v>1722</v>
      </c>
      <c r="B506" s="8" t="s">
        <v>438</v>
      </c>
      <c r="C506" s="2">
        <f t="shared" ref="C506" si="291">D506+L506+N506+P506+R506+S506+T506+U506</f>
        <v>3000521.58</v>
      </c>
      <c r="D506" s="3">
        <f t="shared" ref="D506" si="292">SUM(E506:J506)</f>
        <v>3000521.58</v>
      </c>
      <c r="E506" s="3">
        <v>525016.86</v>
      </c>
      <c r="F506" s="3">
        <v>2279050.6800000002</v>
      </c>
      <c r="G506" s="3">
        <v>196454.04</v>
      </c>
      <c r="H506" s="3">
        <v>0</v>
      </c>
      <c r="I506" s="3">
        <v>0</v>
      </c>
      <c r="J506" s="3">
        <f t="shared" ref="J506" si="293">0*350</f>
        <v>0</v>
      </c>
      <c r="K506" s="4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6" t="e">
        <f t="shared" ref="V506" si="294">N506/M506</f>
        <v>#DIV/0!</v>
      </c>
    </row>
    <row r="507" spans="1:22" ht="21.9" customHeight="1">
      <c r="A507" s="37" t="s">
        <v>1723</v>
      </c>
      <c r="B507" s="8" t="s">
        <v>413</v>
      </c>
      <c r="C507" s="2">
        <f>D507+L507+N507+P507+R507+S507+T507+U507</f>
        <v>1070597</v>
      </c>
      <c r="D507" s="3">
        <f>SUM(E507:J507)</f>
        <v>870597</v>
      </c>
      <c r="E507" s="3">
        <f>350*829.14</f>
        <v>290199</v>
      </c>
      <c r="F507" s="3">
        <v>0</v>
      </c>
      <c r="G507" s="3">
        <f>300*829.14</f>
        <v>248742</v>
      </c>
      <c r="H507" s="3">
        <f>500*0</f>
        <v>0</v>
      </c>
      <c r="I507" s="3">
        <f>400*829.14</f>
        <v>331656</v>
      </c>
      <c r="J507" s="3">
        <f>350*0</f>
        <v>0</v>
      </c>
      <c r="K507" s="4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200000</v>
      </c>
      <c r="V507" s="6" t="e">
        <f>N507/M507</f>
        <v>#DIV/0!</v>
      </c>
    </row>
    <row r="508" spans="1:22" ht="21.9" customHeight="1">
      <c r="A508" s="37" t="s">
        <v>1724</v>
      </c>
      <c r="B508" s="8" t="s">
        <v>392</v>
      </c>
      <c r="C508" s="2">
        <f t="shared" si="284"/>
        <v>6729220</v>
      </c>
      <c r="D508" s="3">
        <f t="shared" si="276"/>
        <v>6629220</v>
      </c>
      <c r="E508" s="3">
        <f>350*3399.6</f>
        <v>1189860</v>
      </c>
      <c r="F508" s="3">
        <f>1050*3399.6</f>
        <v>3569580</v>
      </c>
      <c r="G508" s="3">
        <f>300*3399.6</f>
        <v>1019880</v>
      </c>
      <c r="H508" s="3">
        <v>0</v>
      </c>
      <c r="I508" s="3">
        <f>250*3399.6</f>
        <v>849900</v>
      </c>
      <c r="J508" s="3">
        <f>350*0</f>
        <v>0</v>
      </c>
      <c r="K508" s="4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f t="shared" si="277"/>
        <v>0</v>
      </c>
      <c r="S508" s="3">
        <v>0</v>
      </c>
      <c r="T508" s="5">
        <v>0</v>
      </c>
      <c r="U508" s="3">
        <v>100000</v>
      </c>
      <c r="V508" s="6" t="e">
        <f t="shared" si="278"/>
        <v>#DIV/0!</v>
      </c>
    </row>
    <row r="509" spans="1:22" ht="21.9" customHeight="1">
      <c r="A509" s="37" t="s">
        <v>1725</v>
      </c>
      <c r="B509" s="8" t="s">
        <v>440</v>
      </c>
      <c r="C509" s="2">
        <f t="shared" ref="C509:C510" si="295">D509+L509+N509+P509+R509+S509+T509+U509</f>
        <v>10277975</v>
      </c>
      <c r="D509" s="3">
        <f t="shared" ref="D509:D510" si="296">SUM(E509:J509)</f>
        <v>10077975</v>
      </c>
      <c r="E509" s="3">
        <f>350*4288.5</f>
        <v>1500975</v>
      </c>
      <c r="F509" s="3">
        <f>800*4288.5</f>
        <v>3430800</v>
      </c>
      <c r="G509" s="3">
        <f>300*4288.5</f>
        <v>1286550</v>
      </c>
      <c r="H509" s="3">
        <f>500*4288.5</f>
        <v>2144250</v>
      </c>
      <c r="I509" s="3">
        <f>400*4288.5</f>
        <v>1715400</v>
      </c>
      <c r="J509" s="3">
        <f>350*0</f>
        <v>0</v>
      </c>
      <c r="K509" s="4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200000</v>
      </c>
      <c r="V509" s="6" t="e">
        <f t="shared" ref="V509:V510" si="297">N509/M509</f>
        <v>#DIV/0!</v>
      </c>
    </row>
    <row r="510" spans="1:22" ht="21.9" customHeight="1">
      <c r="A510" s="37" t="s">
        <v>1726</v>
      </c>
      <c r="B510" s="8" t="s">
        <v>397</v>
      </c>
      <c r="C510" s="2">
        <f t="shared" si="295"/>
        <v>5332797.5999999996</v>
      </c>
      <c r="D510" s="3">
        <f t="shared" si="296"/>
        <v>5332797.5999999996</v>
      </c>
      <c r="E510" s="3">
        <v>476244</v>
      </c>
      <c r="F510" s="3">
        <f>800*2448</f>
        <v>1958400</v>
      </c>
      <c r="G510" s="3">
        <v>988557.6</v>
      </c>
      <c r="H510" s="3">
        <v>980467.19999999995</v>
      </c>
      <c r="I510" s="3">
        <v>929128.8</v>
      </c>
      <c r="J510" s="3">
        <f>350*0</f>
        <v>0</v>
      </c>
      <c r="K510" s="4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6" t="e">
        <f t="shared" si="297"/>
        <v>#DIV/0!</v>
      </c>
    </row>
    <row r="511" spans="1:22" ht="21.9" customHeight="1">
      <c r="A511" s="37" t="s">
        <v>1727</v>
      </c>
      <c r="B511" s="8" t="s">
        <v>398</v>
      </c>
      <c r="C511" s="2">
        <f t="shared" si="284"/>
        <v>5341565</v>
      </c>
      <c r="D511" s="3">
        <f t="shared" si="276"/>
        <v>5141565</v>
      </c>
      <c r="E511" s="3">
        <f>350*2187.9</f>
        <v>765765</v>
      </c>
      <c r="F511" s="3">
        <f>1050*2187.9</f>
        <v>2297295</v>
      </c>
      <c r="G511" s="3">
        <f>300*2187.9</f>
        <v>656370</v>
      </c>
      <c r="H511" s="3">
        <f>400*2187.9</f>
        <v>875160</v>
      </c>
      <c r="I511" s="3">
        <f>250*2187.9</f>
        <v>546975</v>
      </c>
      <c r="J511" s="3">
        <f t="shared" ref="J511" si="298">350*0</f>
        <v>0</v>
      </c>
      <c r="K511" s="4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200000</v>
      </c>
      <c r="V511" s="6" t="e">
        <f t="shared" si="278"/>
        <v>#DIV/0!</v>
      </c>
    </row>
    <row r="512" spans="1:22" ht="21.9" customHeight="1">
      <c r="A512" s="37" t="s">
        <v>1728</v>
      </c>
      <c r="B512" s="8" t="s">
        <v>380</v>
      </c>
      <c r="C512" s="2">
        <f>D512+L512+N512+P512+R512+S512+T512+U512</f>
        <v>1194560</v>
      </c>
      <c r="D512" s="3">
        <f>SUM(E512:J512)</f>
        <v>994560</v>
      </c>
      <c r="E512" s="3">
        <f>350*537.6</f>
        <v>188160</v>
      </c>
      <c r="F512" s="3">
        <f>800*537.6</f>
        <v>430080</v>
      </c>
      <c r="G512" s="3">
        <f>300*537.6</f>
        <v>161280</v>
      </c>
      <c r="H512" s="3">
        <f>500*0</f>
        <v>0</v>
      </c>
      <c r="I512" s="3">
        <f>400*537.6</f>
        <v>215040</v>
      </c>
      <c r="J512" s="3">
        <f t="shared" si="73"/>
        <v>0</v>
      </c>
      <c r="K512" s="4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200000</v>
      </c>
      <c r="V512" s="6" t="e">
        <f>N512/M512</f>
        <v>#DIV/0!</v>
      </c>
    </row>
    <row r="513" spans="1:22" ht="21.9" customHeight="1">
      <c r="A513" s="37" t="s">
        <v>1223</v>
      </c>
      <c r="B513" s="8" t="s">
        <v>381</v>
      </c>
      <c r="C513" s="2">
        <f>D513+L513+N513+P513+R513+S513+T513+U513</f>
        <v>2013000</v>
      </c>
      <c r="D513" s="3">
        <f>SUM(E513:J513)</f>
        <v>1813000</v>
      </c>
      <c r="E513" s="3">
        <f>350*980</f>
        <v>343000</v>
      </c>
      <c r="F513" s="3">
        <f>800*980</f>
        <v>784000</v>
      </c>
      <c r="G513" s="3">
        <f>300*980</f>
        <v>294000</v>
      </c>
      <c r="H513" s="3">
        <f>500*0</f>
        <v>0</v>
      </c>
      <c r="I513" s="3">
        <f>400*980</f>
        <v>392000</v>
      </c>
      <c r="J513" s="3">
        <f t="shared" si="73"/>
        <v>0</v>
      </c>
      <c r="K513" s="4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200000</v>
      </c>
      <c r="V513" s="6" t="e">
        <f>N513/M513</f>
        <v>#DIV/0!</v>
      </c>
    </row>
    <row r="514" spans="1:22" ht="21.9" customHeight="1">
      <c r="A514" s="37" t="s">
        <v>1729</v>
      </c>
      <c r="B514" s="23" t="s">
        <v>441</v>
      </c>
      <c r="C514" s="2">
        <f t="shared" ref="C514" si="299">D514+L514+N514+P514+R514+S514+T514+U514</f>
        <v>17610900</v>
      </c>
      <c r="D514" s="3">
        <f t="shared" ref="D514" si="300">SUM(E514:J514)</f>
        <v>17610900</v>
      </c>
      <c r="E514" s="3">
        <f>350*7494</f>
        <v>2622900</v>
      </c>
      <c r="F514" s="3">
        <f>800*7494</f>
        <v>5995200</v>
      </c>
      <c r="G514" s="3">
        <f>300*7494</f>
        <v>2248200</v>
      </c>
      <c r="H514" s="3">
        <f>500*7494</f>
        <v>3747000</v>
      </c>
      <c r="I514" s="3">
        <f>400*7494</f>
        <v>2997600</v>
      </c>
      <c r="J514" s="3">
        <f t="shared" si="73"/>
        <v>0</v>
      </c>
      <c r="K514" s="4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6" t="e">
        <f t="shared" ref="V514" si="301">N514/M514</f>
        <v>#DIV/0!</v>
      </c>
    </row>
    <row r="515" spans="1:22" ht="21.9" customHeight="1">
      <c r="A515" s="37" t="s">
        <v>1730</v>
      </c>
      <c r="B515" s="8" t="s">
        <v>412</v>
      </c>
      <c r="C515" s="2">
        <f>D515+L515+N515+P515+R515+S515+T515+U515</f>
        <v>7245065</v>
      </c>
      <c r="D515" s="3">
        <f>SUM(E515:J515)</f>
        <v>7045065</v>
      </c>
      <c r="E515" s="3">
        <f>350*2997.9</f>
        <v>1049265</v>
      </c>
      <c r="F515" s="3">
        <f>800*2997.9</f>
        <v>2398320</v>
      </c>
      <c r="G515" s="3">
        <f>300*2997.9</f>
        <v>899370</v>
      </c>
      <c r="H515" s="3">
        <f>500*2997.9</f>
        <v>1498950</v>
      </c>
      <c r="I515" s="3">
        <f>400*2997.9</f>
        <v>1199160</v>
      </c>
      <c r="J515" s="3">
        <f t="shared" si="73"/>
        <v>0</v>
      </c>
      <c r="K515" s="4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200000</v>
      </c>
      <c r="V515" s="6" t="e">
        <f>N515/M515</f>
        <v>#DIV/0!</v>
      </c>
    </row>
    <row r="516" spans="1:22" ht="21.9" customHeight="1">
      <c r="A516" s="37" t="s">
        <v>1731</v>
      </c>
      <c r="B516" s="8" t="s">
        <v>589</v>
      </c>
      <c r="C516" s="2">
        <f t="shared" si="284"/>
        <v>300000</v>
      </c>
      <c r="D516" s="3">
        <f t="shared" si="276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5">
        <v>0</v>
      </c>
      <c r="M516" s="5">
        <v>0</v>
      </c>
      <c r="N516" s="3">
        <f t="shared" ref="N516:N517" si="302">M516*5500</f>
        <v>0</v>
      </c>
      <c r="O516" s="5">
        <v>0</v>
      </c>
      <c r="P516" s="5">
        <v>0</v>
      </c>
      <c r="Q516" s="5">
        <v>0</v>
      </c>
      <c r="R516" s="3">
        <f t="shared" si="277"/>
        <v>0</v>
      </c>
      <c r="S516" s="5">
        <v>0</v>
      </c>
      <c r="T516" s="5">
        <v>0</v>
      </c>
      <c r="U516" s="5">
        <v>300000</v>
      </c>
      <c r="V516" s="6" t="e">
        <f t="shared" si="278"/>
        <v>#DIV/0!</v>
      </c>
    </row>
    <row r="517" spans="1:22" ht="21.9" customHeight="1">
      <c r="A517" s="37" t="s">
        <v>1732</v>
      </c>
      <c r="B517" s="8" t="s">
        <v>590</v>
      </c>
      <c r="C517" s="2">
        <f t="shared" si="284"/>
        <v>1468500</v>
      </c>
      <c r="D517" s="3">
        <f t="shared" si="276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5">
        <v>0</v>
      </c>
      <c r="M517" s="5">
        <v>267</v>
      </c>
      <c r="N517" s="3">
        <f t="shared" si="302"/>
        <v>1468500</v>
      </c>
      <c r="O517" s="5">
        <v>0</v>
      </c>
      <c r="P517" s="5">
        <v>0</v>
      </c>
      <c r="Q517" s="5">
        <v>0</v>
      </c>
      <c r="R517" s="3">
        <f t="shared" si="277"/>
        <v>0</v>
      </c>
      <c r="S517" s="5">
        <v>0</v>
      </c>
      <c r="T517" s="5">
        <v>0</v>
      </c>
      <c r="U517" s="5">
        <v>0</v>
      </c>
      <c r="V517" s="6">
        <f t="shared" si="278"/>
        <v>5500</v>
      </c>
    </row>
    <row r="518" spans="1:22" ht="21.9" customHeight="1">
      <c r="A518" s="37" t="s">
        <v>1733</v>
      </c>
      <c r="B518" s="23" t="s">
        <v>519</v>
      </c>
      <c r="C518" s="2">
        <f>D518+L518+N518+P518+R518+S518+T518+U518</f>
        <v>4125000</v>
      </c>
      <c r="D518" s="3">
        <f>SUM(E518:J518)</f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750</v>
      </c>
      <c r="N518" s="3">
        <f>M518*5500</f>
        <v>4125000</v>
      </c>
      <c r="O518" s="5">
        <v>0</v>
      </c>
      <c r="P518" s="5">
        <v>0</v>
      </c>
      <c r="Q518" s="5">
        <v>0</v>
      </c>
      <c r="R518" s="3">
        <f>Q518*3000</f>
        <v>0</v>
      </c>
      <c r="S518" s="5">
        <v>0</v>
      </c>
      <c r="T518" s="5">
        <v>0</v>
      </c>
      <c r="U518" s="5">
        <v>0</v>
      </c>
      <c r="V518" s="6">
        <f>N518/M518</f>
        <v>5500</v>
      </c>
    </row>
    <row r="519" spans="1:22" ht="21.9" customHeight="1">
      <c r="A519" s="37" t="s">
        <v>1734</v>
      </c>
      <c r="B519" s="23" t="s">
        <v>510</v>
      </c>
      <c r="C519" s="2">
        <f t="shared" si="284"/>
        <v>2385900</v>
      </c>
      <c r="D519" s="3">
        <f t="shared" si="276"/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11">
        <v>0</v>
      </c>
      <c r="L519" s="5">
        <v>0</v>
      </c>
      <c r="M519" s="5">
        <v>433.8</v>
      </c>
      <c r="N519" s="3">
        <f t="shared" ref="N519:N533" si="303">M519*5500</f>
        <v>2385900</v>
      </c>
      <c r="O519" s="5">
        <v>0</v>
      </c>
      <c r="P519" s="5">
        <v>0</v>
      </c>
      <c r="Q519" s="5">
        <v>0</v>
      </c>
      <c r="R519" s="3">
        <f t="shared" si="277"/>
        <v>0</v>
      </c>
      <c r="S519" s="5">
        <v>0</v>
      </c>
      <c r="T519" s="5">
        <v>0</v>
      </c>
      <c r="U519" s="5">
        <v>0</v>
      </c>
      <c r="V519" s="6">
        <f t="shared" si="278"/>
        <v>5500</v>
      </c>
    </row>
    <row r="520" spans="1:22" ht="21.9" customHeight="1">
      <c r="A520" s="37" t="s">
        <v>1735</v>
      </c>
      <c r="B520" s="23" t="s">
        <v>511</v>
      </c>
      <c r="C520" s="2">
        <f t="shared" si="284"/>
        <v>2420000</v>
      </c>
      <c r="D520" s="3">
        <f t="shared" si="276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5">
        <v>0</v>
      </c>
      <c r="M520" s="5">
        <v>440</v>
      </c>
      <c r="N520" s="3">
        <f t="shared" si="303"/>
        <v>2420000</v>
      </c>
      <c r="O520" s="5">
        <v>0</v>
      </c>
      <c r="P520" s="5">
        <v>0</v>
      </c>
      <c r="Q520" s="5">
        <v>0</v>
      </c>
      <c r="R520" s="3">
        <f t="shared" si="277"/>
        <v>0</v>
      </c>
      <c r="S520" s="5">
        <v>0</v>
      </c>
      <c r="T520" s="5">
        <v>0</v>
      </c>
      <c r="U520" s="5">
        <v>0</v>
      </c>
      <c r="V520" s="6">
        <f t="shared" si="278"/>
        <v>5500</v>
      </c>
    </row>
    <row r="521" spans="1:22" ht="21.9" customHeight="1">
      <c r="A521" s="37" t="s">
        <v>1736</v>
      </c>
      <c r="B521" s="23" t="s">
        <v>512</v>
      </c>
      <c r="C521" s="2">
        <f t="shared" si="284"/>
        <v>2414500</v>
      </c>
      <c r="D521" s="3">
        <f t="shared" si="276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5">
        <v>0</v>
      </c>
      <c r="M521" s="5">
        <v>439</v>
      </c>
      <c r="N521" s="3">
        <f t="shared" si="303"/>
        <v>2414500</v>
      </c>
      <c r="O521" s="5">
        <v>0</v>
      </c>
      <c r="P521" s="5">
        <v>0</v>
      </c>
      <c r="Q521" s="5">
        <v>0</v>
      </c>
      <c r="R521" s="3">
        <f t="shared" si="277"/>
        <v>0</v>
      </c>
      <c r="S521" s="5">
        <v>0</v>
      </c>
      <c r="T521" s="5">
        <v>0</v>
      </c>
      <c r="U521" s="5">
        <v>0</v>
      </c>
      <c r="V521" s="6">
        <f t="shared" si="278"/>
        <v>5500</v>
      </c>
    </row>
    <row r="522" spans="1:22" ht="21.9" customHeight="1">
      <c r="A522" s="37" t="s">
        <v>1737</v>
      </c>
      <c r="B522" s="23" t="s">
        <v>513</v>
      </c>
      <c r="C522" s="2">
        <f t="shared" si="284"/>
        <v>2420000</v>
      </c>
      <c r="D522" s="3">
        <f t="shared" si="276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11">
        <v>0</v>
      </c>
      <c r="L522" s="5">
        <v>0</v>
      </c>
      <c r="M522" s="5">
        <v>440</v>
      </c>
      <c r="N522" s="3">
        <f t="shared" si="303"/>
        <v>2420000</v>
      </c>
      <c r="O522" s="5">
        <v>0</v>
      </c>
      <c r="P522" s="5">
        <v>0</v>
      </c>
      <c r="Q522" s="5">
        <v>0</v>
      </c>
      <c r="R522" s="3">
        <f t="shared" si="277"/>
        <v>0</v>
      </c>
      <c r="S522" s="5">
        <v>0</v>
      </c>
      <c r="T522" s="5">
        <v>0</v>
      </c>
      <c r="U522" s="5">
        <v>0</v>
      </c>
      <c r="V522" s="6">
        <f t="shared" si="278"/>
        <v>5500</v>
      </c>
    </row>
    <row r="523" spans="1:22" ht="21.9" customHeight="1">
      <c r="A523" s="37" t="s">
        <v>1738</v>
      </c>
      <c r="B523" s="23" t="s">
        <v>514</v>
      </c>
      <c r="C523" s="2">
        <f t="shared" si="284"/>
        <v>2381500</v>
      </c>
      <c r="D523" s="3">
        <f t="shared" si="276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5">
        <v>0</v>
      </c>
      <c r="M523" s="5">
        <v>433</v>
      </c>
      <c r="N523" s="3">
        <f t="shared" si="303"/>
        <v>2381500</v>
      </c>
      <c r="O523" s="5">
        <v>0</v>
      </c>
      <c r="P523" s="5">
        <v>0</v>
      </c>
      <c r="Q523" s="5">
        <v>0</v>
      </c>
      <c r="R523" s="3">
        <f t="shared" si="277"/>
        <v>0</v>
      </c>
      <c r="S523" s="5">
        <v>0</v>
      </c>
      <c r="T523" s="5">
        <v>0</v>
      </c>
      <c r="U523" s="5">
        <v>0</v>
      </c>
      <c r="V523" s="6">
        <f t="shared" si="278"/>
        <v>5500</v>
      </c>
    </row>
    <row r="524" spans="1:22" ht="21.9" customHeight="1">
      <c r="A524" s="37" t="s">
        <v>1739</v>
      </c>
      <c r="B524" s="23" t="s">
        <v>515</v>
      </c>
      <c r="C524" s="2">
        <f t="shared" si="284"/>
        <v>2381500</v>
      </c>
      <c r="D524" s="3">
        <f t="shared" si="276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5">
        <v>0</v>
      </c>
      <c r="M524" s="5">
        <v>433</v>
      </c>
      <c r="N524" s="3">
        <f t="shared" si="303"/>
        <v>2381500</v>
      </c>
      <c r="O524" s="5">
        <v>0</v>
      </c>
      <c r="P524" s="5">
        <v>0</v>
      </c>
      <c r="Q524" s="5">
        <v>0</v>
      </c>
      <c r="R524" s="3">
        <f t="shared" si="277"/>
        <v>0</v>
      </c>
      <c r="S524" s="5">
        <v>0</v>
      </c>
      <c r="T524" s="5">
        <v>0</v>
      </c>
      <c r="U524" s="5">
        <v>0</v>
      </c>
      <c r="V524" s="6">
        <f t="shared" si="278"/>
        <v>5500</v>
      </c>
    </row>
    <row r="525" spans="1:22" ht="21.9" customHeight="1">
      <c r="A525" s="37" t="s">
        <v>1740</v>
      </c>
      <c r="B525" s="23" t="s">
        <v>516</v>
      </c>
      <c r="C525" s="2">
        <f t="shared" si="284"/>
        <v>2381500</v>
      </c>
      <c r="D525" s="3">
        <f t="shared" si="276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0</v>
      </c>
      <c r="L525" s="5">
        <v>0</v>
      </c>
      <c r="M525" s="5">
        <v>433</v>
      </c>
      <c r="N525" s="3">
        <f t="shared" si="303"/>
        <v>2381500</v>
      </c>
      <c r="O525" s="5">
        <v>0</v>
      </c>
      <c r="P525" s="5">
        <v>0</v>
      </c>
      <c r="Q525" s="5">
        <v>0</v>
      </c>
      <c r="R525" s="3">
        <f t="shared" si="277"/>
        <v>0</v>
      </c>
      <c r="S525" s="5">
        <v>0</v>
      </c>
      <c r="T525" s="5">
        <v>0</v>
      </c>
      <c r="U525" s="5">
        <v>0</v>
      </c>
      <c r="V525" s="6">
        <f t="shared" si="278"/>
        <v>5500</v>
      </c>
    </row>
    <row r="526" spans="1:22" ht="21.9" customHeight="1">
      <c r="A526" s="37" t="s">
        <v>1741</v>
      </c>
      <c r="B526" s="23" t="s">
        <v>517</v>
      </c>
      <c r="C526" s="2">
        <f t="shared" si="284"/>
        <v>2381500</v>
      </c>
      <c r="D526" s="3">
        <f t="shared" si="276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5">
        <v>0</v>
      </c>
      <c r="M526" s="5">
        <v>433</v>
      </c>
      <c r="N526" s="3">
        <f t="shared" si="303"/>
        <v>2381500</v>
      </c>
      <c r="O526" s="5">
        <v>0</v>
      </c>
      <c r="P526" s="5">
        <v>0</v>
      </c>
      <c r="Q526" s="5">
        <v>0</v>
      </c>
      <c r="R526" s="3">
        <f t="shared" si="277"/>
        <v>0</v>
      </c>
      <c r="S526" s="5">
        <v>0</v>
      </c>
      <c r="T526" s="5">
        <v>0</v>
      </c>
      <c r="U526" s="5">
        <v>0</v>
      </c>
      <c r="V526" s="6">
        <f t="shared" si="278"/>
        <v>5500</v>
      </c>
    </row>
    <row r="527" spans="1:22" ht="21.9" customHeight="1">
      <c r="A527" s="37" t="s">
        <v>1742</v>
      </c>
      <c r="B527" s="23" t="s">
        <v>518</v>
      </c>
      <c r="C527" s="2">
        <f t="shared" si="284"/>
        <v>2381500</v>
      </c>
      <c r="D527" s="3">
        <f t="shared" si="276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5">
        <v>0</v>
      </c>
      <c r="M527" s="5">
        <v>433</v>
      </c>
      <c r="N527" s="3">
        <f t="shared" si="303"/>
        <v>2381500</v>
      </c>
      <c r="O527" s="5">
        <v>0</v>
      </c>
      <c r="P527" s="5">
        <v>0</v>
      </c>
      <c r="Q527" s="5">
        <v>0</v>
      </c>
      <c r="R527" s="3">
        <f t="shared" si="277"/>
        <v>0</v>
      </c>
      <c r="S527" s="5">
        <v>0</v>
      </c>
      <c r="T527" s="5">
        <v>0</v>
      </c>
      <c r="U527" s="5">
        <v>0</v>
      </c>
      <c r="V527" s="6">
        <f t="shared" si="278"/>
        <v>5500</v>
      </c>
    </row>
    <row r="528" spans="1:22" ht="21.9" customHeight="1">
      <c r="A528" s="37" t="s">
        <v>1743</v>
      </c>
      <c r="B528" s="23" t="s">
        <v>591</v>
      </c>
      <c r="C528" s="2">
        <f t="shared" si="284"/>
        <v>2381500</v>
      </c>
      <c r="D528" s="3">
        <f t="shared" si="276"/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11">
        <v>0</v>
      </c>
      <c r="L528" s="5">
        <v>0</v>
      </c>
      <c r="M528" s="5">
        <v>433</v>
      </c>
      <c r="N528" s="3">
        <f t="shared" si="303"/>
        <v>2381500</v>
      </c>
      <c r="O528" s="5">
        <v>0</v>
      </c>
      <c r="P528" s="5">
        <v>0</v>
      </c>
      <c r="Q528" s="5">
        <v>0</v>
      </c>
      <c r="R528" s="3">
        <f t="shared" si="277"/>
        <v>0</v>
      </c>
      <c r="S528" s="5">
        <v>0</v>
      </c>
      <c r="T528" s="5">
        <v>0</v>
      </c>
      <c r="U528" s="5">
        <v>0</v>
      </c>
      <c r="V528" s="6">
        <f t="shared" si="278"/>
        <v>5500</v>
      </c>
    </row>
    <row r="529" spans="1:22" ht="21.9" customHeight="1">
      <c r="A529" s="37" t="s">
        <v>1744</v>
      </c>
      <c r="B529" s="23" t="s">
        <v>592</v>
      </c>
      <c r="C529" s="2">
        <f t="shared" si="284"/>
        <v>2381500</v>
      </c>
      <c r="D529" s="3">
        <f t="shared" si="276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11">
        <v>0</v>
      </c>
      <c r="L529" s="5">
        <v>0</v>
      </c>
      <c r="M529" s="5">
        <v>433</v>
      </c>
      <c r="N529" s="3">
        <f t="shared" si="303"/>
        <v>2381500</v>
      </c>
      <c r="O529" s="5">
        <v>0</v>
      </c>
      <c r="P529" s="5">
        <v>0</v>
      </c>
      <c r="Q529" s="5">
        <v>0</v>
      </c>
      <c r="R529" s="3">
        <f t="shared" ref="R529:R592" si="304">Q529*3000</f>
        <v>0</v>
      </c>
      <c r="S529" s="5">
        <v>0</v>
      </c>
      <c r="T529" s="5">
        <v>0</v>
      </c>
      <c r="U529" s="5">
        <v>0</v>
      </c>
      <c r="V529" s="6">
        <f t="shared" ref="V529:V592" si="305">N529/M529</f>
        <v>5500</v>
      </c>
    </row>
    <row r="530" spans="1:22" ht="21.9" customHeight="1">
      <c r="A530" s="37" t="s">
        <v>1745</v>
      </c>
      <c r="B530" s="23" t="s">
        <v>593</v>
      </c>
      <c r="C530" s="2">
        <f t="shared" si="284"/>
        <v>2381500</v>
      </c>
      <c r="D530" s="3">
        <f t="shared" ref="D530:D592" si="306">SUM(E530:J530)</f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11">
        <v>0</v>
      </c>
      <c r="L530" s="5">
        <v>0</v>
      </c>
      <c r="M530" s="5">
        <v>433</v>
      </c>
      <c r="N530" s="3">
        <f t="shared" si="303"/>
        <v>2381500</v>
      </c>
      <c r="O530" s="5">
        <v>0</v>
      </c>
      <c r="P530" s="5">
        <v>0</v>
      </c>
      <c r="Q530" s="5">
        <v>0</v>
      </c>
      <c r="R530" s="3">
        <f t="shared" si="304"/>
        <v>0</v>
      </c>
      <c r="S530" s="5">
        <v>0</v>
      </c>
      <c r="T530" s="5">
        <v>0</v>
      </c>
      <c r="U530" s="5">
        <v>0</v>
      </c>
      <c r="V530" s="6">
        <f t="shared" si="305"/>
        <v>5500</v>
      </c>
    </row>
    <row r="531" spans="1:22" ht="21.9" customHeight="1">
      <c r="A531" s="37" t="s">
        <v>1746</v>
      </c>
      <c r="B531" s="23" t="s">
        <v>594</v>
      </c>
      <c r="C531" s="2">
        <f t="shared" si="284"/>
        <v>2381500</v>
      </c>
      <c r="D531" s="3">
        <f t="shared" si="306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5">
        <v>0</v>
      </c>
      <c r="M531" s="5">
        <v>433</v>
      </c>
      <c r="N531" s="3">
        <f t="shared" si="303"/>
        <v>2381500</v>
      </c>
      <c r="O531" s="5">
        <v>0</v>
      </c>
      <c r="P531" s="5">
        <v>0</v>
      </c>
      <c r="Q531" s="5">
        <v>0</v>
      </c>
      <c r="R531" s="3">
        <f t="shared" si="304"/>
        <v>0</v>
      </c>
      <c r="S531" s="5">
        <v>0</v>
      </c>
      <c r="T531" s="5">
        <v>0</v>
      </c>
      <c r="U531" s="5">
        <v>0</v>
      </c>
      <c r="V531" s="6">
        <f t="shared" si="305"/>
        <v>5500</v>
      </c>
    </row>
    <row r="532" spans="1:22" ht="21.9" customHeight="1">
      <c r="A532" s="37" t="s">
        <v>1747</v>
      </c>
      <c r="B532" s="8" t="s">
        <v>595</v>
      </c>
      <c r="C532" s="2">
        <f t="shared" si="284"/>
        <v>2381500</v>
      </c>
      <c r="D532" s="3">
        <f t="shared" si="306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1">
        <v>0</v>
      </c>
      <c r="L532" s="5">
        <v>0</v>
      </c>
      <c r="M532" s="5">
        <v>433</v>
      </c>
      <c r="N532" s="3">
        <f t="shared" si="303"/>
        <v>2381500</v>
      </c>
      <c r="O532" s="5">
        <v>0</v>
      </c>
      <c r="P532" s="5">
        <v>0</v>
      </c>
      <c r="Q532" s="5">
        <v>0</v>
      </c>
      <c r="R532" s="3">
        <f t="shared" si="304"/>
        <v>0</v>
      </c>
      <c r="S532" s="5">
        <v>0</v>
      </c>
      <c r="T532" s="5">
        <v>0</v>
      </c>
      <c r="U532" s="5">
        <v>0</v>
      </c>
      <c r="V532" s="6">
        <f t="shared" si="305"/>
        <v>5500</v>
      </c>
    </row>
    <row r="533" spans="1:22" ht="21.9" customHeight="1">
      <c r="A533" s="37" t="s">
        <v>1748</v>
      </c>
      <c r="B533" s="23" t="s">
        <v>777</v>
      </c>
      <c r="C533" s="2">
        <f t="shared" si="284"/>
        <v>6852036</v>
      </c>
      <c r="D533" s="3">
        <f t="shared" si="306"/>
        <v>1519886</v>
      </c>
      <c r="E533" s="3">
        <f>350*646.76</f>
        <v>226366</v>
      </c>
      <c r="F533" s="3">
        <f>1050*646.76</f>
        <v>679098</v>
      </c>
      <c r="G533" s="3">
        <f>300*646.76</f>
        <v>194028</v>
      </c>
      <c r="H533" s="3">
        <f>400*646.76</f>
        <v>258704</v>
      </c>
      <c r="I533" s="3">
        <f>250*646.76</f>
        <v>161690</v>
      </c>
      <c r="J533" s="3">
        <f>350*0</f>
        <v>0</v>
      </c>
      <c r="K533" s="4">
        <v>0</v>
      </c>
      <c r="L533" s="3">
        <v>0</v>
      </c>
      <c r="M533" s="3">
        <v>551.29999999999995</v>
      </c>
      <c r="N533" s="3">
        <f t="shared" si="303"/>
        <v>3032149.9999999995</v>
      </c>
      <c r="O533" s="3">
        <v>0</v>
      </c>
      <c r="P533" s="3">
        <v>0</v>
      </c>
      <c r="Q533" s="5">
        <v>700</v>
      </c>
      <c r="R533" s="3">
        <f t="shared" si="304"/>
        <v>2100000</v>
      </c>
      <c r="S533" s="3">
        <v>0</v>
      </c>
      <c r="T533" s="5">
        <v>0</v>
      </c>
      <c r="U533" s="3">
        <v>200000</v>
      </c>
      <c r="V533" s="6">
        <f t="shared" si="305"/>
        <v>5500</v>
      </c>
    </row>
    <row r="534" spans="1:22" ht="21.9" customHeight="1">
      <c r="A534" s="37" t="s">
        <v>1749</v>
      </c>
      <c r="B534" s="8" t="s">
        <v>596</v>
      </c>
      <c r="C534" s="2">
        <f t="shared" si="284"/>
        <v>2797100</v>
      </c>
      <c r="D534" s="3">
        <f t="shared" si="306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5">
        <v>0</v>
      </c>
      <c r="M534" s="5">
        <v>293</v>
      </c>
      <c r="N534" s="3">
        <f t="shared" ref="N534:N544" si="307">M534*5500</f>
        <v>1611500</v>
      </c>
      <c r="O534" s="5">
        <v>0</v>
      </c>
      <c r="P534" s="5">
        <v>0</v>
      </c>
      <c r="Q534" s="5">
        <v>395.2</v>
      </c>
      <c r="R534" s="3">
        <f t="shared" si="304"/>
        <v>1185600</v>
      </c>
      <c r="S534" s="5">
        <v>0</v>
      </c>
      <c r="T534" s="5">
        <v>0</v>
      </c>
      <c r="U534" s="5">
        <v>0</v>
      </c>
      <c r="V534" s="6">
        <f t="shared" si="305"/>
        <v>5500</v>
      </c>
    </row>
    <row r="535" spans="1:22" ht="21.9" customHeight="1">
      <c r="A535" s="37" t="s">
        <v>1750</v>
      </c>
      <c r="B535" s="8" t="s">
        <v>520</v>
      </c>
      <c r="C535" s="2">
        <f t="shared" si="284"/>
        <v>300000</v>
      </c>
      <c r="D535" s="3">
        <f t="shared" si="306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0</v>
      </c>
      <c r="N535" s="3">
        <f t="shared" si="307"/>
        <v>0</v>
      </c>
      <c r="O535" s="5">
        <v>0</v>
      </c>
      <c r="P535" s="5">
        <v>0</v>
      </c>
      <c r="Q535" s="5">
        <v>0</v>
      </c>
      <c r="R535" s="3">
        <f t="shared" si="304"/>
        <v>0</v>
      </c>
      <c r="S535" s="5">
        <v>0</v>
      </c>
      <c r="T535" s="5">
        <v>0</v>
      </c>
      <c r="U535" s="5">
        <v>300000</v>
      </c>
      <c r="V535" s="6" t="e">
        <f t="shared" si="305"/>
        <v>#DIV/0!</v>
      </c>
    </row>
    <row r="536" spans="1:22" ht="21.9" customHeight="1">
      <c r="A536" s="37" t="s">
        <v>1751</v>
      </c>
      <c r="B536" s="8" t="s">
        <v>521</v>
      </c>
      <c r="C536" s="2">
        <f t="shared" si="284"/>
        <v>3729000</v>
      </c>
      <c r="D536" s="3">
        <f t="shared" si="306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678</v>
      </c>
      <c r="N536" s="3">
        <f t="shared" si="307"/>
        <v>3729000</v>
      </c>
      <c r="O536" s="5">
        <v>0</v>
      </c>
      <c r="P536" s="5">
        <v>0</v>
      </c>
      <c r="Q536" s="5">
        <v>0</v>
      </c>
      <c r="R536" s="3">
        <f t="shared" si="304"/>
        <v>0</v>
      </c>
      <c r="S536" s="5">
        <v>0</v>
      </c>
      <c r="T536" s="5">
        <v>0</v>
      </c>
      <c r="U536" s="5">
        <v>0</v>
      </c>
      <c r="V536" s="6">
        <f t="shared" si="305"/>
        <v>5500</v>
      </c>
    </row>
    <row r="537" spans="1:22" ht="21.9" customHeight="1">
      <c r="A537" s="37" t="s">
        <v>1752</v>
      </c>
      <c r="B537" s="8" t="s">
        <v>524</v>
      </c>
      <c r="C537" s="2">
        <f>D537+L537+N537+P537+R537+S537+T537+U537</f>
        <v>300000</v>
      </c>
      <c r="D537" s="3">
        <f>SUM(E537:J537)</f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0</v>
      </c>
      <c r="N537" s="3">
        <f>M537*5500</f>
        <v>0</v>
      </c>
      <c r="O537" s="5">
        <v>0</v>
      </c>
      <c r="P537" s="5">
        <v>0</v>
      </c>
      <c r="Q537" s="5">
        <v>0</v>
      </c>
      <c r="R537" s="3">
        <f>Q537*3000</f>
        <v>0</v>
      </c>
      <c r="S537" s="5">
        <v>0</v>
      </c>
      <c r="T537" s="5">
        <v>0</v>
      </c>
      <c r="U537" s="5">
        <v>300000</v>
      </c>
      <c r="V537" s="6" t="e">
        <f>N537/M537</f>
        <v>#DIV/0!</v>
      </c>
    </row>
    <row r="538" spans="1:22" ht="21.9" customHeight="1">
      <c r="A538" s="37" t="s">
        <v>1753</v>
      </c>
      <c r="B538" s="8" t="s">
        <v>525</v>
      </c>
      <c r="C538" s="2">
        <f>D538+L538+N538+P538+R538+S538+T538+U538</f>
        <v>2860000</v>
      </c>
      <c r="D538" s="3">
        <f>SUM(E538:J538)</f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11">
        <v>0</v>
      </c>
      <c r="L538" s="5">
        <v>0</v>
      </c>
      <c r="M538" s="5">
        <v>520</v>
      </c>
      <c r="N538" s="3">
        <f>M538*5500</f>
        <v>2860000</v>
      </c>
      <c r="O538" s="5">
        <v>0</v>
      </c>
      <c r="P538" s="5">
        <v>0</v>
      </c>
      <c r="Q538" s="5">
        <v>0</v>
      </c>
      <c r="R538" s="3">
        <f>Q538*3000</f>
        <v>0</v>
      </c>
      <c r="S538" s="5">
        <v>0</v>
      </c>
      <c r="T538" s="5">
        <v>0</v>
      </c>
      <c r="U538" s="5">
        <v>0</v>
      </c>
      <c r="V538" s="6">
        <f>N538/M538</f>
        <v>5500</v>
      </c>
    </row>
    <row r="539" spans="1:22" ht="21.9" customHeight="1">
      <c r="A539" s="37" t="s">
        <v>1754</v>
      </c>
      <c r="B539" s="8" t="s">
        <v>597</v>
      </c>
      <c r="C539" s="2">
        <f>D539+L539+N539+P539+R539+S539+T539+U539</f>
        <v>2860000</v>
      </c>
      <c r="D539" s="3">
        <f>SUM(E539:J539)</f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11">
        <v>0</v>
      </c>
      <c r="L539" s="5">
        <v>0</v>
      </c>
      <c r="M539" s="5">
        <v>520</v>
      </c>
      <c r="N539" s="3">
        <f>M539*5500</f>
        <v>2860000</v>
      </c>
      <c r="O539" s="5">
        <v>0</v>
      </c>
      <c r="P539" s="5">
        <v>0</v>
      </c>
      <c r="Q539" s="5">
        <v>0</v>
      </c>
      <c r="R539" s="3">
        <f>Q539*3000</f>
        <v>0</v>
      </c>
      <c r="S539" s="5">
        <v>0</v>
      </c>
      <c r="T539" s="5">
        <v>0</v>
      </c>
      <c r="U539" s="5">
        <v>0</v>
      </c>
      <c r="V539" s="6">
        <f>N539/M539</f>
        <v>5500</v>
      </c>
    </row>
    <row r="540" spans="1:22" ht="21.9" customHeight="1">
      <c r="A540" s="37" t="s">
        <v>1755</v>
      </c>
      <c r="B540" s="8" t="s">
        <v>522</v>
      </c>
      <c r="C540" s="2">
        <f t="shared" si="284"/>
        <v>2860000</v>
      </c>
      <c r="D540" s="3">
        <f t="shared" si="306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11">
        <v>0</v>
      </c>
      <c r="L540" s="5">
        <v>0</v>
      </c>
      <c r="M540" s="5">
        <v>520</v>
      </c>
      <c r="N540" s="3">
        <f t="shared" si="307"/>
        <v>2860000</v>
      </c>
      <c r="O540" s="5">
        <v>0</v>
      </c>
      <c r="P540" s="5">
        <v>0</v>
      </c>
      <c r="Q540" s="5">
        <v>0</v>
      </c>
      <c r="R540" s="3">
        <f t="shared" si="304"/>
        <v>0</v>
      </c>
      <c r="S540" s="5">
        <v>0</v>
      </c>
      <c r="T540" s="5">
        <v>0</v>
      </c>
      <c r="U540" s="5">
        <v>0</v>
      </c>
      <c r="V540" s="6">
        <f t="shared" si="305"/>
        <v>5500</v>
      </c>
    </row>
    <row r="541" spans="1:22" ht="21.9" customHeight="1">
      <c r="A541" s="37" t="s">
        <v>1756</v>
      </c>
      <c r="B541" s="8" t="s">
        <v>523</v>
      </c>
      <c r="C541" s="2">
        <f t="shared" si="284"/>
        <v>2860000</v>
      </c>
      <c r="D541" s="3">
        <f t="shared" si="306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5">
        <v>0</v>
      </c>
      <c r="M541" s="5">
        <v>520</v>
      </c>
      <c r="N541" s="3">
        <f t="shared" si="307"/>
        <v>2860000</v>
      </c>
      <c r="O541" s="5">
        <v>0</v>
      </c>
      <c r="P541" s="5">
        <v>0</v>
      </c>
      <c r="Q541" s="5">
        <v>0</v>
      </c>
      <c r="R541" s="3">
        <f t="shared" si="304"/>
        <v>0</v>
      </c>
      <c r="S541" s="5">
        <v>0</v>
      </c>
      <c r="T541" s="5">
        <v>0</v>
      </c>
      <c r="U541" s="5">
        <v>0</v>
      </c>
      <c r="V541" s="6">
        <f t="shared" si="305"/>
        <v>5500</v>
      </c>
    </row>
    <row r="542" spans="1:22" ht="21.9" customHeight="1">
      <c r="A542" s="37" t="s">
        <v>1757</v>
      </c>
      <c r="B542" s="8" t="s">
        <v>462</v>
      </c>
      <c r="C542" s="2">
        <f t="shared" si="284"/>
        <v>2860000</v>
      </c>
      <c r="D542" s="3">
        <f t="shared" si="306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4">
        <v>0</v>
      </c>
      <c r="L542" s="3">
        <v>0</v>
      </c>
      <c r="M542" s="3">
        <v>520</v>
      </c>
      <c r="N542" s="3">
        <f t="shared" si="307"/>
        <v>2860000</v>
      </c>
      <c r="O542" s="3">
        <v>0</v>
      </c>
      <c r="P542" s="3">
        <v>0</v>
      </c>
      <c r="Q542" s="3">
        <v>0</v>
      </c>
      <c r="R542" s="3">
        <f t="shared" si="304"/>
        <v>0</v>
      </c>
      <c r="S542" s="3">
        <v>0</v>
      </c>
      <c r="T542" s="5">
        <v>0</v>
      </c>
      <c r="U542" s="3">
        <v>0</v>
      </c>
      <c r="V542" s="6">
        <f t="shared" si="305"/>
        <v>5500</v>
      </c>
    </row>
    <row r="543" spans="1:22" ht="21.9" customHeight="1">
      <c r="A543" s="37" t="s">
        <v>1758</v>
      </c>
      <c r="B543" s="8" t="s">
        <v>463</v>
      </c>
      <c r="C543" s="2">
        <f t="shared" si="284"/>
        <v>2860000</v>
      </c>
      <c r="D543" s="3">
        <f t="shared" si="306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4">
        <v>0</v>
      </c>
      <c r="L543" s="3">
        <v>0</v>
      </c>
      <c r="M543" s="3">
        <v>520</v>
      </c>
      <c r="N543" s="3">
        <f t="shared" si="307"/>
        <v>2860000</v>
      </c>
      <c r="O543" s="3">
        <v>0</v>
      </c>
      <c r="P543" s="3">
        <v>0</v>
      </c>
      <c r="Q543" s="3">
        <v>0</v>
      </c>
      <c r="R543" s="3">
        <f t="shared" si="304"/>
        <v>0</v>
      </c>
      <c r="S543" s="3">
        <v>0</v>
      </c>
      <c r="T543" s="5">
        <v>0</v>
      </c>
      <c r="U543" s="3">
        <v>0</v>
      </c>
      <c r="V543" s="6">
        <f t="shared" si="305"/>
        <v>5500</v>
      </c>
    </row>
    <row r="544" spans="1:22" ht="21.9" customHeight="1">
      <c r="A544" s="37" t="s">
        <v>1759</v>
      </c>
      <c r="B544" s="8" t="s">
        <v>526</v>
      </c>
      <c r="C544" s="2">
        <f t="shared" si="284"/>
        <v>2519000</v>
      </c>
      <c r="D544" s="3">
        <f t="shared" si="306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11">
        <v>0</v>
      </c>
      <c r="L544" s="5">
        <v>0</v>
      </c>
      <c r="M544" s="5">
        <v>458</v>
      </c>
      <c r="N544" s="3">
        <f t="shared" si="307"/>
        <v>2519000</v>
      </c>
      <c r="O544" s="5">
        <v>0</v>
      </c>
      <c r="P544" s="5">
        <v>0</v>
      </c>
      <c r="Q544" s="5">
        <v>0</v>
      </c>
      <c r="R544" s="3">
        <f t="shared" si="304"/>
        <v>0</v>
      </c>
      <c r="S544" s="5">
        <v>0</v>
      </c>
      <c r="T544" s="5">
        <v>0</v>
      </c>
      <c r="U544" s="5">
        <v>0</v>
      </c>
      <c r="V544" s="6">
        <f t="shared" si="305"/>
        <v>5500</v>
      </c>
    </row>
    <row r="545" spans="1:22" ht="21.9" customHeight="1">
      <c r="A545" s="37" t="s">
        <v>1760</v>
      </c>
      <c r="B545" s="8" t="s">
        <v>477</v>
      </c>
      <c r="C545" s="2">
        <f t="shared" si="284"/>
        <v>6966070.2599999998</v>
      </c>
      <c r="D545" s="3">
        <f t="shared" ref="D545" si="308">SUM(E545:J545)</f>
        <v>6966070.2599999998</v>
      </c>
      <c r="E545" s="3">
        <v>1011850.5</v>
      </c>
      <c r="F545" s="3">
        <v>3377227.08</v>
      </c>
      <c r="G545" s="3">
        <v>833317.14</v>
      </c>
      <c r="H545" s="3">
        <v>1144690.68</v>
      </c>
      <c r="I545" s="3">
        <v>598984.86</v>
      </c>
      <c r="J545" s="3">
        <f>350*0</f>
        <v>0</v>
      </c>
      <c r="K545" s="4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6" t="e">
        <f t="shared" si="305"/>
        <v>#DIV/0!</v>
      </c>
    </row>
    <row r="546" spans="1:22" ht="21.9" customHeight="1">
      <c r="A546" s="37" t="s">
        <v>1761</v>
      </c>
      <c r="B546" s="8" t="s">
        <v>598</v>
      </c>
      <c r="C546" s="2">
        <f t="shared" si="284"/>
        <v>3224973.73</v>
      </c>
      <c r="D546" s="3">
        <f t="shared" si="306"/>
        <v>3033380</v>
      </c>
      <c r="E546" s="3">
        <f>350*1290.8</f>
        <v>451780</v>
      </c>
      <c r="F546" s="3">
        <f>1050*1290.8</f>
        <v>1355340</v>
      </c>
      <c r="G546" s="3">
        <f>300*1290.8</f>
        <v>387240</v>
      </c>
      <c r="H546" s="3">
        <f>400*1290.8</f>
        <v>516320</v>
      </c>
      <c r="I546" s="3">
        <f>250*1290.8</f>
        <v>322700</v>
      </c>
      <c r="J546" s="3">
        <f>350*0</f>
        <v>0</v>
      </c>
      <c r="K546" s="11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3">
        <f t="shared" si="304"/>
        <v>0</v>
      </c>
      <c r="S546" s="5">
        <v>0</v>
      </c>
      <c r="T546" s="5">
        <v>0</v>
      </c>
      <c r="U546" s="5">
        <v>191593.73</v>
      </c>
      <c r="V546" s="6" t="e">
        <f t="shared" si="305"/>
        <v>#DIV/0!</v>
      </c>
    </row>
    <row r="547" spans="1:22" ht="21.9" customHeight="1">
      <c r="A547" s="37" t="s">
        <v>1762</v>
      </c>
      <c r="B547" s="8" t="s">
        <v>527</v>
      </c>
      <c r="C547" s="2">
        <f t="shared" si="284"/>
        <v>4980800</v>
      </c>
      <c r="D547" s="3">
        <f t="shared" si="306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11">
        <v>0</v>
      </c>
      <c r="L547" s="5">
        <v>0</v>
      </c>
      <c r="M547" s="5">
        <v>905.6</v>
      </c>
      <c r="N547" s="3">
        <f t="shared" ref="N547:N556" si="309">M547*5500</f>
        <v>4980800</v>
      </c>
      <c r="O547" s="5">
        <v>0</v>
      </c>
      <c r="P547" s="5">
        <v>0</v>
      </c>
      <c r="Q547" s="5">
        <v>0</v>
      </c>
      <c r="R547" s="3">
        <f t="shared" si="304"/>
        <v>0</v>
      </c>
      <c r="S547" s="5">
        <v>0</v>
      </c>
      <c r="T547" s="5">
        <v>0</v>
      </c>
      <c r="U547" s="5">
        <v>0</v>
      </c>
      <c r="V547" s="6">
        <f t="shared" si="305"/>
        <v>5500</v>
      </c>
    </row>
    <row r="548" spans="1:22" ht="21.9" customHeight="1">
      <c r="A548" s="37" t="s">
        <v>1763</v>
      </c>
      <c r="B548" s="23" t="s">
        <v>528</v>
      </c>
      <c r="C548" s="2">
        <f t="shared" si="284"/>
        <v>300000</v>
      </c>
      <c r="D548" s="3">
        <f t="shared" si="306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5">
        <v>0</v>
      </c>
      <c r="M548" s="5">
        <v>0</v>
      </c>
      <c r="N548" s="3">
        <f t="shared" si="309"/>
        <v>0</v>
      </c>
      <c r="O548" s="5">
        <v>0</v>
      </c>
      <c r="P548" s="5">
        <v>0</v>
      </c>
      <c r="Q548" s="5">
        <v>0</v>
      </c>
      <c r="R548" s="3">
        <f t="shared" si="304"/>
        <v>0</v>
      </c>
      <c r="S548" s="5">
        <v>0</v>
      </c>
      <c r="T548" s="5">
        <v>0</v>
      </c>
      <c r="U548" s="5">
        <v>300000</v>
      </c>
      <c r="V548" s="6" t="e">
        <f t="shared" si="305"/>
        <v>#DIV/0!</v>
      </c>
    </row>
    <row r="549" spans="1:22" ht="21.9" customHeight="1">
      <c r="A549" s="37" t="s">
        <v>1764</v>
      </c>
      <c r="B549" s="24" t="s">
        <v>1039</v>
      </c>
      <c r="C549" s="2">
        <f>D549+L549+N549+P549+R549+S549+T549+U549</f>
        <v>7856559.2000000002</v>
      </c>
      <c r="D549" s="3">
        <f>SUM(E549:J549)</f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4">
        <v>0</v>
      </c>
      <c r="L549" s="3">
        <v>0</v>
      </c>
      <c r="M549" s="3">
        <v>553.39</v>
      </c>
      <c r="N549" s="3">
        <f>M549*5500</f>
        <v>3043645</v>
      </c>
      <c r="O549" s="3">
        <v>0</v>
      </c>
      <c r="P549" s="3">
        <v>0</v>
      </c>
      <c r="Q549" s="3">
        <v>1400</v>
      </c>
      <c r="R549" s="5">
        <f>Q549*3000</f>
        <v>4200000</v>
      </c>
      <c r="S549" s="3">
        <v>0</v>
      </c>
      <c r="T549" s="3">
        <v>0</v>
      </c>
      <c r="U549" s="3">
        <v>612914.19999999995</v>
      </c>
      <c r="V549" s="6">
        <f>N549/M549</f>
        <v>5500</v>
      </c>
    </row>
    <row r="550" spans="1:22" ht="21.9" customHeight="1">
      <c r="A550" s="37" t="s">
        <v>1765</v>
      </c>
      <c r="B550" s="8" t="s">
        <v>529</v>
      </c>
      <c r="C550" s="2">
        <f t="shared" si="284"/>
        <v>4577910</v>
      </c>
      <c r="D550" s="3">
        <f t="shared" si="306"/>
        <v>1510110</v>
      </c>
      <c r="E550" s="3">
        <f>350*642.6</f>
        <v>224910</v>
      </c>
      <c r="F550" s="3">
        <f>1050*642.6</f>
        <v>674730</v>
      </c>
      <c r="G550" s="3">
        <f>300*642.6</f>
        <v>192780</v>
      </c>
      <c r="H550" s="3">
        <f>400*642.6</f>
        <v>257040</v>
      </c>
      <c r="I550" s="3">
        <f>250*642.6</f>
        <v>160650</v>
      </c>
      <c r="J550" s="3">
        <f>350*0</f>
        <v>0</v>
      </c>
      <c r="K550" s="11">
        <v>0</v>
      </c>
      <c r="L550" s="5">
        <v>0</v>
      </c>
      <c r="M550" s="5">
        <v>539.6</v>
      </c>
      <c r="N550" s="3">
        <f t="shared" si="309"/>
        <v>2967800</v>
      </c>
      <c r="O550" s="5">
        <v>0</v>
      </c>
      <c r="P550" s="5">
        <v>0</v>
      </c>
      <c r="Q550" s="5">
        <v>0</v>
      </c>
      <c r="R550" s="3">
        <f t="shared" si="304"/>
        <v>0</v>
      </c>
      <c r="S550" s="5">
        <v>0</v>
      </c>
      <c r="T550" s="5">
        <v>0</v>
      </c>
      <c r="U550" s="5">
        <v>100000</v>
      </c>
      <c r="V550" s="6">
        <f t="shared" si="305"/>
        <v>5500</v>
      </c>
    </row>
    <row r="551" spans="1:22" ht="21.9" customHeight="1">
      <c r="A551" s="37" t="s">
        <v>1766</v>
      </c>
      <c r="B551" s="8" t="s">
        <v>530</v>
      </c>
      <c r="C551" s="2">
        <f t="shared" si="284"/>
        <v>1595000</v>
      </c>
      <c r="D551" s="3">
        <f t="shared" si="306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5">
        <v>0</v>
      </c>
      <c r="M551" s="5">
        <v>290</v>
      </c>
      <c r="N551" s="3">
        <f t="shared" si="309"/>
        <v>1595000</v>
      </c>
      <c r="O551" s="5">
        <v>0</v>
      </c>
      <c r="P551" s="5">
        <v>0</v>
      </c>
      <c r="Q551" s="5">
        <v>0</v>
      </c>
      <c r="R551" s="3">
        <f t="shared" si="304"/>
        <v>0</v>
      </c>
      <c r="S551" s="5">
        <v>0</v>
      </c>
      <c r="T551" s="5">
        <v>0</v>
      </c>
      <c r="U551" s="5">
        <v>0</v>
      </c>
      <c r="V551" s="6">
        <f t="shared" si="305"/>
        <v>5500</v>
      </c>
    </row>
    <row r="552" spans="1:22" ht="21.9" customHeight="1">
      <c r="A552" s="37" t="s">
        <v>1767</v>
      </c>
      <c r="B552" s="24" t="s">
        <v>1046</v>
      </c>
      <c r="C552" s="2">
        <f>D552+L552+N552+P552+R552+S552+T552+U552</f>
        <v>3547000</v>
      </c>
      <c r="D552" s="3">
        <f>SUM(E552:J552)</f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4">
        <v>0</v>
      </c>
      <c r="L552" s="3">
        <v>0</v>
      </c>
      <c r="M552" s="3">
        <v>554</v>
      </c>
      <c r="N552" s="3">
        <f>M552*5500</f>
        <v>3047000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500000</v>
      </c>
      <c r="V552" s="6">
        <f>N552/M552</f>
        <v>5500</v>
      </c>
    </row>
    <row r="553" spans="1:22" ht="21.9" customHeight="1">
      <c r="A553" s="37" t="s">
        <v>1768</v>
      </c>
      <c r="B553" s="8" t="s">
        <v>399</v>
      </c>
      <c r="C553" s="2">
        <f>D553+L553+N553+P553+R553+S553+T553+U553</f>
        <v>1215075.6000000001</v>
      </c>
      <c r="D553" s="3">
        <f>SUM(E553:J553)</f>
        <v>1215075.6000000001</v>
      </c>
      <c r="E553" s="3">
        <v>348848.4</v>
      </c>
      <c r="F553" s="3">
        <f>800*746.4</f>
        <v>597120</v>
      </c>
      <c r="G553" s="3">
        <v>92169.600000000006</v>
      </c>
      <c r="H553" s="3">
        <v>87424.8</v>
      </c>
      <c r="I553" s="3">
        <v>89512.8</v>
      </c>
      <c r="J553" s="3">
        <f>350*0</f>
        <v>0</v>
      </c>
      <c r="K553" s="4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6" t="e">
        <f>N553/M553</f>
        <v>#DIV/0!</v>
      </c>
    </row>
    <row r="554" spans="1:22" ht="21.9" customHeight="1">
      <c r="A554" s="37" t="s">
        <v>1769</v>
      </c>
      <c r="B554" s="8" t="s">
        <v>394</v>
      </c>
      <c r="C554" s="2">
        <f t="shared" ref="C554:C555" si="310">D554+L554+N554+P554+R554+S554+T554+U554</f>
        <v>6167959.2000000002</v>
      </c>
      <c r="D554" s="3">
        <f t="shared" ref="D554:D555" si="311">SUM(E554:J554)</f>
        <v>6167959.2000000002</v>
      </c>
      <c r="E554" s="3">
        <v>1140753.6000000001</v>
      </c>
      <c r="F554" s="3">
        <v>3885480</v>
      </c>
      <c r="G554" s="3">
        <v>561847.19999999995</v>
      </c>
      <c r="H554" s="3">
        <f>500*0</f>
        <v>0</v>
      </c>
      <c r="I554" s="3">
        <v>579878.40000000002</v>
      </c>
      <c r="J554" s="3">
        <f>350*0</f>
        <v>0</v>
      </c>
      <c r="K554" s="4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6" t="e">
        <f t="shared" ref="V554:V555" si="312">N554/M554</f>
        <v>#DIV/0!</v>
      </c>
    </row>
    <row r="555" spans="1:22" ht="21.9" customHeight="1">
      <c r="A555" s="37" t="s">
        <v>1770</v>
      </c>
      <c r="B555" s="8" t="s">
        <v>389</v>
      </c>
      <c r="C555" s="2">
        <f t="shared" si="310"/>
        <v>3433350</v>
      </c>
      <c r="D555" s="3">
        <f t="shared" si="311"/>
        <v>3433350</v>
      </c>
      <c r="E555" s="3">
        <f>350*1461</f>
        <v>511350</v>
      </c>
      <c r="F555" s="3">
        <f>800*1461</f>
        <v>1168800</v>
      </c>
      <c r="G555" s="3">
        <f>300*1461</f>
        <v>438300</v>
      </c>
      <c r="H555" s="3">
        <f>500*1461</f>
        <v>730500</v>
      </c>
      <c r="I555" s="3">
        <f>400*1461</f>
        <v>584400</v>
      </c>
      <c r="J555" s="3">
        <f>350*0</f>
        <v>0</v>
      </c>
      <c r="K555" s="4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6" t="e">
        <f t="shared" si="312"/>
        <v>#DIV/0!</v>
      </c>
    </row>
    <row r="556" spans="1:22" ht="21.9" customHeight="1">
      <c r="A556" s="37" t="s">
        <v>1771</v>
      </c>
      <c r="B556" s="8" t="s">
        <v>600</v>
      </c>
      <c r="C556" s="2">
        <f t="shared" si="284"/>
        <v>1419000</v>
      </c>
      <c r="D556" s="3">
        <f t="shared" si="306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258</v>
      </c>
      <c r="N556" s="3">
        <f t="shared" si="309"/>
        <v>1419000</v>
      </c>
      <c r="O556" s="5">
        <v>0</v>
      </c>
      <c r="P556" s="5">
        <v>0</v>
      </c>
      <c r="Q556" s="5">
        <v>0</v>
      </c>
      <c r="R556" s="3">
        <f t="shared" si="304"/>
        <v>0</v>
      </c>
      <c r="S556" s="5">
        <v>0</v>
      </c>
      <c r="T556" s="5">
        <v>0</v>
      </c>
      <c r="U556" s="5">
        <v>0</v>
      </c>
      <c r="V556" s="6">
        <f t="shared" si="305"/>
        <v>5500</v>
      </c>
    </row>
    <row r="557" spans="1:22" ht="21.9" customHeight="1">
      <c r="A557" s="37" t="s">
        <v>1772</v>
      </c>
      <c r="B557" s="8" t="s">
        <v>532</v>
      </c>
      <c r="C557" s="2">
        <f t="shared" si="284"/>
        <v>1364000</v>
      </c>
      <c r="D557" s="3">
        <f t="shared" si="306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248</v>
      </c>
      <c r="N557" s="3">
        <f t="shared" ref="N557:N574" si="313">M557*5500</f>
        <v>1364000</v>
      </c>
      <c r="O557" s="5">
        <v>0</v>
      </c>
      <c r="P557" s="5">
        <v>0</v>
      </c>
      <c r="Q557" s="5">
        <v>0</v>
      </c>
      <c r="R557" s="3">
        <f t="shared" si="304"/>
        <v>0</v>
      </c>
      <c r="S557" s="5">
        <v>0</v>
      </c>
      <c r="T557" s="5">
        <v>0</v>
      </c>
      <c r="U557" s="5">
        <v>0</v>
      </c>
      <c r="V557" s="6">
        <f t="shared" si="305"/>
        <v>5500</v>
      </c>
    </row>
    <row r="558" spans="1:22" ht="21.9" customHeight="1">
      <c r="A558" s="37" t="s">
        <v>1773</v>
      </c>
      <c r="B558" s="8" t="s">
        <v>533</v>
      </c>
      <c r="C558" s="2">
        <f t="shared" si="284"/>
        <v>1364000</v>
      </c>
      <c r="D558" s="3">
        <f t="shared" si="306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248</v>
      </c>
      <c r="N558" s="3">
        <f t="shared" si="313"/>
        <v>1364000</v>
      </c>
      <c r="O558" s="5">
        <v>0</v>
      </c>
      <c r="P558" s="5">
        <v>0</v>
      </c>
      <c r="Q558" s="5">
        <v>0</v>
      </c>
      <c r="R558" s="3">
        <f t="shared" si="304"/>
        <v>0</v>
      </c>
      <c r="S558" s="5">
        <v>0</v>
      </c>
      <c r="T558" s="5">
        <v>0</v>
      </c>
      <c r="U558" s="5">
        <v>0</v>
      </c>
      <c r="V558" s="6">
        <f t="shared" si="305"/>
        <v>5500</v>
      </c>
    </row>
    <row r="559" spans="1:22" ht="21.9" customHeight="1">
      <c r="A559" s="37" t="s">
        <v>1774</v>
      </c>
      <c r="B559" s="8" t="s">
        <v>531</v>
      </c>
      <c r="C559" s="2">
        <f>D559+L559+N559+P559+R559+S559+T559+U559</f>
        <v>2205500</v>
      </c>
      <c r="D559" s="3">
        <f>SUM(E559:J559)</f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401</v>
      </c>
      <c r="N559" s="3">
        <f>M559*5500</f>
        <v>2205500</v>
      </c>
      <c r="O559" s="5">
        <v>0</v>
      </c>
      <c r="P559" s="5">
        <v>0</v>
      </c>
      <c r="Q559" s="5">
        <v>0</v>
      </c>
      <c r="R559" s="3">
        <f>Q559*3000</f>
        <v>0</v>
      </c>
      <c r="S559" s="5">
        <v>0</v>
      </c>
      <c r="T559" s="5">
        <v>0</v>
      </c>
      <c r="U559" s="5">
        <v>0</v>
      </c>
      <c r="V559" s="6">
        <f>N559/M559</f>
        <v>5500</v>
      </c>
    </row>
    <row r="560" spans="1:22" ht="21.9" customHeight="1">
      <c r="A560" s="37" t="s">
        <v>1775</v>
      </c>
      <c r="B560" s="8" t="s">
        <v>599</v>
      </c>
      <c r="C560" s="2">
        <f>D560+L560+N560+P560+R560+S560+T560+U560</f>
        <v>4933500</v>
      </c>
      <c r="D560" s="3">
        <f>SUM(E560:J560)</f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11">
        <v>0</v>
      </c>
      <c r="L560" s="5">
        <v>0</v>
      </c>
      <c r="M560" s="5">
        <v>897</v>
      </c>
      <c r="N560" s="3">
        <f>M560*5500</f>
        <v>4933500</v>
      </c>
      <c r="O560" s="5">
        <v>0</v>
      </c>
      <c r="P560" s="5">
        <v>0</v>
      </c>
      <c r="Q560" s="5">
        <v>0</v>
      </c>
      <c r="R560" s="3">
        <f>Q560*3000</f>
        <v>0</v>
      </c>
      <c r="S560" s="5">
        <v>0</v>
      </c>
      <c r="T560" s="5">
        <v>0</v>
      </c>
      <c r="U560" s="5">
        <v>0</v>
      </c>
      <c r="V560" s="6">
        <f>N560/M560</f>
        <v>5500</v>
      </c>
    </row>
    <row r="561" spans="1:22" ht="21.9" customHeight="1">
      <c r="A561" s="37" t="s">
        <v>1776</v>
      </c>
      <c r="B561" s="23" t="s">
        <v>601</v>
      </c>
      <c r="C561" s="2">
        <f t="shared" si="284"/>
        <v>4125000</v>
      </c>
      <c r="D561" s="3">
        <f t="shared" si="306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5">
        <v>0</v>
      </c>
      <c r="M561" s="5">
        <v>750</v>
      </c>
      <c r="N561" s="3">
        <f t="shared" si="313"/>
        <v>4125000</v>
      </c>
      <c r="O561" s="5">
        <v>0</v>
      </c>
      <c r="P561" s="5">
        <v>0</v>
      </c>
      <c r="Q561" s="5">
        <v>0</v>
      </c>
      <c r="R561" s="3">
        <f t="shared" si="304"/>
        <v>0</v>
      </c>
      <c r="S561" s="5">
        <v>0</v>
      </c>
      <c r="T561" s="5">
        <v>0</v>
      </c>
      <c r="U561" s="5">
        <v>0</v>
      </c>
      <c r="V561" s="6">
        <f t="shared" si="305"/>
        <v>5500</v>
      </c>
    </row>
    <row r="562" spans="1:22" ht="21.9" customHeight="1">
      <c r="A562" s="37" t="s">
        <v>1777</v>
      </c>
      <c r="B562" s="23" t="s">
        <v>602</v>
      </c>
      <c r="C562" s="2">
        <f t="shared" si="284"/>
        <v>1221000</v>
      </c>
      <c r="D562" s="3">
        <f t="shared" si="306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5">
        <v>0</v>
      </c>
      <c r="M562" s="5">
        <v>222</v>
      </c>
      <c r="N562" s="3">
        <f t="shared" si="313"/>
        <v>1221000</v>
      </c>
      <c r="O562" s="5">
        <v>0</v>
      </c>
      <c r="P562" s="5">
        <v>0</v>
      </c>
      <c r="Q562" s="5">
        <v>0</v>
      </c>
      <c r="R562" s="3">
        <f t="shared" si="304"/>
        <v>0</v>
      </c>
      <c r="S562" s="5">
        <v>0</v>
      </c>
      <c r="T562" s="5">
        <v>0</v>
      </c>
      <c r="U562" s="5">
        <v>0</v>
      </c>
      <c r="V562" s="6">
        <f t="shared" si="305"/>
        <v>5500</v>
      </c>
    </row>
    <row r="563" spans="1:22" ht="21.9" customHeight="1">
      <c r="A563" s="37" t="s">
        <v>1778</v>
      </c>
      <c r="B563" s="23" t="s">
        <v>603</v>
      </c>
      <c r="C563" s="2">
        <f t="shared" si="284"/>
        <v>1941500</v>
      </c>
      <c r="D563" s="3">
        <f t="shared" si="306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5">
        <v>0</v>
      </c>
      <c r="M563" s="5">
        <v>353</v>
      </c>
      <c r="N563" s="3">
        <f t="shared" si="313"/>
        <v>1941500</v>
      </c>
      <c r="O563" s="5">
        <v>0</v>
      </c>
      <c r="P563" s="5">
        <v>0</v>
      </c>
      <c r="Q563" s="5">
        <v>0</v>
      </c>
      <c r="R563" s="3">
        <f t="shared" si="304"/>
        <v>0</v>
      </c>
      <c r="S563" s="5">
        <v>0</v>
      </c>
      <c r="T563" s="5">
        <v>0</v>
      </c>
      <c r="U563" s="5">
        <v>0</v>
      </c>
      <c r="V563" s="6">
        <f t="shared" si="305"/>
        <v>5500</v>
      </c>
    </row>
    <row r="564" spans="1:22" ht="21.9" customHeight="1">
      <c r="A564" s="37" t="s">
        <v>1779</v>
      </c>
      <c r="B564" s="8" t="s">
        <v>534</v>
      </c>
      <c r="C564" s="2">
        <f t="shared" si="284"/>
        <v>1995400</v>
      </c>
      <c r="D564" s="3">
        <f t="shared" si="306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362.8</v>
      </c>
      <c r="N564" s="3">
        <f t="shared" si="313"/>
        <v>1995400</v>
      </c>
      <c r="O564" s="5">
        <v>0</v>
      </c>
      <c r="P564" s="5">
        <v>0</v>
      </c>
      <c r="Q564" s="5">
        <v>0</v>
      </c>
      <c r="R564" s="3">
        <f t="shared" si="304"/>
        <v>0</v>
      </c>
      <c r="S564" s="5">
        <v>0</v>
      </c>
      <c r="T564" s="5">
        <v>0</v>
      </c>
      <c r="U564" s="5">
        <v>0</v>
      </c>
      <c r="V564" s="6">
        <f t="shared" si="305"/>
        <v>5500</v>
      </c>
    </row>
    <row r="565" spans="1:22" ht="21.9" customHeight="1">
      <c r="A565" s="37" t="s">
        <v>1780</v>
      </c>
      <c r="B565" s="8" t="s">
        <v>604</v>
      </c>
      <c r="C565" s="2">
        <f t="shared" ref="C565:C643" si="314">D565+L565+N565+P565+R565+S565+T565+U565</f>
        <v>1534500</v>
      </c>
      <c r="D565" s="3">
        <f t="shared" si="306"/>
        <v>0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11">
        <v>0</v>
      </c>
      <c r="L565" s="5">
        <v>0</v>
      </c>
      <c r="M565" s="5">
        <v>279</v>
      </c>
      <c r="N565" s="3">
        <f t="shared" si="313"/>
        <v>1534500</v>
      </c>
      <c r="O565" s="5">
        <v>0</v>
      </c>
      <c r="P565" s="5">
        <v>0</v>
      </c>
      <c r="Q565" s="5">
        <v>0</v>
      </c>
      <c r="R565" s="3">
        <f t="shared" si="304"/>
        <v>0</v>
      </c>
      <c r="S565" s="5">
        <v>0</v>
      </c>
      <c r="T565" s="5">
        <v>0</v>
      </c>
      <c r="U565" s="5">
        <v>0</v>
      </c>
      <c r="V565" s="6">
        <f t="shared" si="305"/>
        <v>5500</v>
      </c>
    </row>
    <row r="566" spans="1:22" ht="21.9" customHeight="1">
      <c r="A566" s="37" t="s">
        <v>1781</v>
      </c>
      <c r="B566" s="8" t="s">
        <v>535</v>
      </c>
      <c r="C566" s="2">
        <f t="shared" si="314"/>
        <v>1529000</v>
      </c>
      <c r="D566" s="3">
        <f t="shared" si="306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5">
        <v>0</v>
      </c>
      <c r="M566" s="5">
        <v>278</v>
      </c>
      <c r="N566" s="3">
        <f t="shared" si="313"/>
        <v>1529000</v>
      </c>
      <c r="O566" s="5">
        <v>0</v>
      </c>
      <c r="P566" s="5">
        <v>0</v>
      </c>
      <c r="Q566" s="5">
        <v>0</v>
      </c>
      <c r="R566" s="3">
        <f t="shared" si="304"/>
        <v>0</v>
      </c>
      <c r="S566" s="5">
        <v>0</v>
      </c>
      <c r="T566" s="5">
        <v>0</v>
      </c>
      <c r="U566" s="5">
        <v>0</v>
      </c>
      <c r="V566" s="6">
        <f t="shared" si="305"/>
        <v>5500</v>
      </c>
    </row>
    <row r="567" spans="1:22" ht="21.9" customHeight="1">
      <c r="A567" s="37" t="s">
        <v>1782</v>
      </c>
      <c r="B567" s="8" t="s">
        <v>605</v>
      </c>
      <c r="C567" s="2">
        <f t="shared" si="314"/>
        <v>4515500</v>
      </c>
      <c r="D567" s="3">
        <f t="shared" si="306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821</v>
      </c>
      <c r="N567" s="3">
        <f t="shared" si="313"/>
        <v>4515500</v>
      </c>
      <c r="O567" s="5">
        <v>0</v>
      </c>
      <c r="P567" s="5">
        <v>0</v>
      </c>
      <c r="Q567" s="5">
        <v>0</v>
      </c>
      <c r="R567" s="3">
        <f t="shared" si="304"/>
        <v>0</v>
      </c>
      <c r="S567" s="5">
        <v>0</v>
      </c>
      <c r="T567" s="5">
        <v>0</v>
      </c>
      <c r="U567" s="5">
        <v>0</v>
      </c>
      <c r="V567" s="6">
        <f t="shared" si="305"/>
        <v>5500</v>
      </c>
    </row>
    <row r="568" spans="1:22" ht="21.9" customHeight="1">
      <c r="A568" s="37" t="s">
        <v>1783</v>
      </c>
      <c r="B568" s="8" t="s">
        <v>606</v>
      </c>
      <c r="C568" s="2">
        <f t="shared" si="314"/>
        <v>2134000</v>
      </c>
      <c r="D568" s="3">
        <f t="shared" si="306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5">
        <v>0</v>
      </c>
      <c r="M568" s="5">
        <v>388</v>
      </c>
      <c r="N568" s="3">
        <f t="shared" si="313"/>
        <v>2134000</v>
      </c>
      <c r="O568" s="5">
        <v>0</v>
      </c>
      <c r="P568" s="5">
        <v>0</v>
      </c>
      <c r="Q568" s="5">
        <v>0</v>
      </c>
      <c r="R568" s="3">
        <f t="shared" si="304"/>
        <v>0</v>
      </c>
      <c r="S568" s="5">
        <v>0</v>
      </c>
      <c r="T568" s="5">
        <v>0</v>
      </c>
      <c r="U568" s="5">
        <v>0</v>
      </c>
      <c r="V568" s="6">
        <f t="shared" si="305"/>
        <v>5500</v>
      </c>
    </row>
    <row r="569" spans="1:22" ht="21.9" customHeight="1">
      <c r="A569" s="37" t="s">
        <v>1784</v>
      </c>
      <c r="B569" s="8" t="s">
        <v>502</v>
      </c>
      <c r="C569" s="2">
        <f t="shared" si="314"/>
        <v>5223600</v>
      </c>
      <c r="D569" s="3">
        <f t="shared" si="306"/>
        <v>5223600</v>
      </c>
      <c r="E569" s="3">
        <v>0</v>
      </c>
      <c r="F569" s="3">
        <f>800*3482.4</f>
        <v>2785920</v>
      </c>
      <c r="G569" s="3">
        <f>300*3482.4</f>
        <v>1044720</v>
      </c>
      <c r="H569" s="3">
        <f>800*0</f>
        <v>0</v>
      </c>
      <c r="I569" s="3">
        <f>400*3482.4</f>
        <v>1392960</v>
      </c>
      <c r="J569" s="3">
        <f>800*0</f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6" t="e">
        <f t="shared" si="305"/>
        <v>#DIV/0!</v>
      </c>
    </row>
    <row r="570" spans="1:22" ht="21.9" customHeight="1">
      <c r="A570" s="37" t="s">
        <v>1785</v>
      </c>
      <c r="B570" s="8" t="s">
        <v>607</v>
      </c>
      <c r="C570" s="2">
        <f t="shared" si="314"/>
        <v>1633500</v>
      </c>
      <c r="D570" s="3">
        <f t="shared" si="306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5">
        <v>0</v>
      </c>
      <c r="M570" s="5">
        <v>297</v>
      </c>
      <c r="N570" s="3">
        <f t="shared" si="313"/>
        <v>1633500</v>
      </c>
      <c r="O570" s="5">
        <v>0</v>
      </c>
      <c r="P570" s="5">
        <v>0</v>
      </c>
      <c r="Q570" s="5">
        <v>0</v>
      </c>
      <c r="R570" s="3">
        <f t="shared" si="304"/>
        <v>0</v>
      </c>
      <c r="S570" s="5">
        <v>0</v>
      </c>
      <c r="T570" s="5">
        <v>0</v>
      </c>
      <c r="U570" s="5">
        <v>0</v>
      </c>
      <c r="V570" s="6">
        <f t="shared" si="305"/>
        <v>5500</v>
      </c>
    </row>
    <row r="571" spans="1:22" ht="21.9" customHeight="1">
      <c r="A571" s="37" t="s">
        <v>1786</v>
      </c>
      <c r="B571" s="8" t="s">
        <v>608</v>
      </c>
      <c r="C571" s="2">
        <f t="shared" si="314"/>
        <v>2698300</v>
      </c>
      <c r="D571" s="3">
        <f t="shared" si="306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1">
        <v>0</v>
      </c>
      <c r="L571" s="5">
        <v>0</v>
      </c>
      <c r="M571" s="5">
        <v>490.6</v>
      </c>
      <c r="N571" s="3">
        <f t="shared" si="313"/>
        <v>2698300</v>
      </c>
      <c r="O571" s="5">
        <v>0</v>
      </c>
      <c r="P571" s="5">
        <v>0</v>
      </c>
      <c r="Q571" s="5">
        <v>0</v>
      </c>
      <c r="R571" s="3">
        <f t="shared" si="304"/>
        <v>0</v>
      </c>
      <c r="S571" s="5">
        <v>0</v>
      </c>
      <c r="T571" s="5">
        <v>0</v>
      </c>
      <c r="U571" s="5">
        <v>0</v>
      </c>
      <c r="V571" s="6">
        <f t="shared" si="305"/>
        <v>5500</v>
      </c>
    </row>
    <row r="572" spans="1:22" ht="21.9" customHeight="1">
      <c r="A572" s="37" t="s">
        <v>1787</v>
      </c>
      <c r="B572" s="8" t="s">
        <v>464</v>
      </c>
      <c r="C572" s="2">
        <f t="shared" si="314"/>
        <v>3872000</v>
      </c>
      <c r="D572" s="3">
        <f t="shared" si="306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4">
        <v>0</v>
      </c>
      <c r="L572" s="3">
        <v>0</v>
      </c>
      <c r="M572" s="3">
        <v>704</v>
      </c>
      <c r="N572" s="3">
        <f t="shared" si="313"/>
        <v>3872000</v>
      </c>
      <c r="O572" s="3">
        <v>0</v>
      </c>
      <c r="P572" s="3">
        <v>0</v>
      </c>
      <c r="Q572" s="3">
        <v>0</v>
      </c>
      <c r="R572" s="3">
        <f t="shared" si="304"/>
        <v>0</v>
      </c>
      <c r="S572" s="3">
        <v>0</v>
      </c>
      <c r="T572" s="5">
        <v>0</v>
      </c>
      <c r="U572" s="3">
        <v>0</v>
      </c>
      <c r="V572" s="6">
        <f t="shared" si="305"/>
        <v>5500</v>
      </c>
    </row>
    <row r="573" spans="1:22" ht="21.9" customHeight="1">
      <c r="A573" s="37" t="s">
        <v>1788</v>
      </c>
      <c r="B573" s="8" t="s">
        <v>609</v>
      </c>
      <c r="C573" s="2">
        <f t="shared" si="314"/>
        <v>1639000</v>
      </c>
      <c r="D573" s="3">
        <f t="shared" si="306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5">
        <v>0</v>
      </c>
      <c r="M573" s="5">
        <v>298</v>
      </c>
      <c r="N573" s="3">
        <f t="shared" si="313"/>
        <v>1639000</v>
      </c>
      <c r="O573" s="5">
        <v>0</v>
      </c>
      <c r="P573" s="5">
        <v>0</v>
      </c>
      <c r="Q573" s="5">
        <v>0</v>
      </c>
      <c r="R573" s="3">
        <f t="shared" si="304"/>
        <v>0</v>
      </c>
      <c r="S573" s="5">
        <v>0</v>
      </c>
      <c r="T573" s="5">
        <v>0</v>
      </c>
      <c r="U573" s="5">
        <v>0</v>
      </c>
      <c r="V573" s="6">
        <f t="shared" si="305"/>
        <v>5500</v>
      </c>
    </row>
    <row r="574" spans="1:22" ht="21.9" customHeight="1">
      <c r="A574" s="37" t="s">
        <v>1789</v>
      </c>
      <c r="B574" s="8" t="s">
        <v>536</v>
      </c>
      <c r="C574" s="2">
        <f t="shared" si="314"/>
        <v>3897300</v>
      </c>
      <c r="D574" s="3">
        <f t="shared" si="306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11">
        <v>0</v>
      </c>
      <c r="L574" s="5">
        <v>0</v>
      </c>
      <c r="M574" s="5">
        <v>708.6</v>
      </c>
      <c r="N574" s="3">
        <f t="shared" si="313"/>
        <v>3897300</v>
      </c>
      <c r="O574" s="5">
        <v>0</v>
      </c>
      <c r="P574" s="5">
        <v>0</v>
      </c>
      <c r="Q574" s="5">
        <v>0</v>
      </c>
      <c r="R574" s="3">
        <f t="shared" si="304"/>
        <v>0</v>
      </c>
      <c r="S574" s="5">
        <v>0</v>
      </c>
      <c r="T574" s="5">
        <v>0</v>
      </c>
      <c r="U574" s="5">
        <v>0</v>
      </c>
      <c r="V574" s="6">
        <f t="shared" si="305"/>
        <v>5500</v>
      </c>
    </row>
    <row r="575" spans="1:22" ht="21.9" customHeight="1">
      <c r="A575" s="37" t="s">
        <v>1790</v>
      </c>
      <c r="B575" s="8" t="s">
        <v>1077</v>
      </c>
      <c r="C575" s="2">
        <f t="shared" si="314"/>
        <v>12900000</v>
      </c>
      <c r="D575" s="3">
        <f t="shared" ref="D575" si="315">SUM(E575:J575)</f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11">
        <v>6</v>
      </c>
      <c r="L575" s="5">
        <f>K575*2150000</f>
        <v>12900000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6" t="e">
        <f t="shared" si="305"/>
        <v>#DIV/0!</v>
      </c>
    </row>
    <row r="576" spans="1:22" ht="21.9" customHeight="1">
      <c r="A576" s="37" t="s">
        <v>1791</v>
      </c>
      <c r="B576" s="8" t="s">
        <v>610</v>
      </c>
      <c r="C576" s="2">
        <f t="shared" si="314"/>
        <v>2524500</v>
      </c>
      <c r="D576" s="3">
        <f t="shared" si="306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5">
        <v>0</v>
      </c>
      <c r="M576" s="5">
        <v>459</v>
      </c>
      <c r="N576" s="3">
        <f t="shared" ref="N576:N591" si="316">M576*5500</f>
        <v>2524500</v>
      </c>
      <c r="O576" s="5">
        <v>0</v>
      </c>
      <c r="P576" s="5">
        <v>0</v>
      </c>
      <c r="Q576" s="5">
        <v>0</v>
      </c>
      <c r="R576" s="3">
        <f t="shared" si="304"/>
        <v>0</v>
      </c>
      <c r="S576" s="5">
        <v>0</v>
      </c>
      <c r="T576" s="5">
        <v>0</v>
      </c>
      <c r="U576" s="5">
        <v>0</v>
      </c>
      <c r="V576" s="6">
        <f t="shared" si="305"/>
        <v>5500</v>
      </c>
    </row>
    <row r="577" spans="1:22" ht="21.9" customHeight="1">
      <c r="A577" s="37" t="s">
        <v>1792</v>
      </c>
      <c r="B577" s="8" t="s">
        <v>611</v>
      </c>
      <c r="C577" s="2">
        <f t="shared" si="314"/>
        <v>4521000</v>
      </c>
      <c r="D577" s="3">
        <f t="shared" si="306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1">
        <v>0</v>
      </c>
      <c r="L577" s="5">
        <v>0</v>
      </c>
      <c r="M577" s="5">
        <v>822</v>
      </c>
      <c r="N577" s="3">
        <f t="shared" si="316"/>
        <v>4521000</v>
      </c>
      <c r="O577" s="5">
        <v>0</v>
      </c>
      <c r="P577" s="5">
        <v>0</v>
      </c>
      <c r="Q577" s="5">
        <v>0</v>
      </c>
      <c r="R577" s="3">
        <f t="shared" si="304"/>
        <v>0</v>
      </c>
      <c r="S577" s="5">
        <v>0</v>
      </c>
      <c r="T577" s="5">
        <v>0</v>
      </c>
      <c r="U577" s="5">
        <v>0</v>
      </c>
      <c r="V577" s="6">
        <f t="shared" si="305"/>
        <v>5500</v>
      </c>
    </row>
    <row r="578" spans="1:22" ht="21.9" customHeight="1">
      <c r="A578" s="37" t="s">
        <v>1793</v>
      </c>
      <c r="B578" s="8" t="s">
        <v>405</v>
      </c>
      <c r="C578" s="2">
        <f t="shared" ref="C578:C583" si="317">D578+L578+N578+P578+R578+S578+T578+U578</f>
        <v>6710190</v>
      </c>
      <c r="D578" s="3">
        <f t="shared" ref="D578:D583" si="318">SUM(E578:J578)</f>
        <v>6710190</v>
      </c>
      <c r="E578" s="3">
        <f>350*2855.4</f>
        <v>999390</v>
      </c>
      <c r="F578" s="3">
        <f>800*2855.4</f>
        <v>2284320</v>
      </c>
      <c r="G578" s="3">
        <f>300*2855.4</f>
        <v>856620</v>
      </c>
      <c r="H578" s="3">
        <f>500*2855.4</f>
        <v>1427700</v>
      </c>
      <c r="I578" s="3">
        <f>400*2855.4</f>
        <v>1142160</v>
      </c>
      <c r="J578" s="3">
        <f>800*0</f>
        <v>0</v>
      </c>
      <c r="K578" s="4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6" t="e">
        <f t="shared" ref="V578:V583" si="319">N578/M578</f>
        <v>#DIV/0!</v>
      </c>
    </row>
    <row r="579" spans="1:22" ht="21.9" customHeight="1">
      <c r="A579" s="37" t="s">
        <v>1794</v>
      </c>
      <c r="B579" s="8" t="s">
        <v>406</v>
      </c>
      <c r="C579" s="2">
        <f>D579+L579+N579+P579+R579+S579+T579+U579</f>
        <v>5433310</v>
      </c>
      <c r="D579" s="3">
        <f>SUM(E579:J579)</f>
        <v>5333310</v>
      </c>
      <c r="E579" s="3">
        <f>350*2125.1</f>
        <v>743785</v>
      </c>
      <c r="F579" s="3">
        <f>1050*2125.1</f>
        <v>2231355</v>
      </c>
      <c r="G579" s="3">
        <f>300*2125.1</f>
        <v>637530</v>
      </c>
      <c r="H579" s="3">
        <f>400*2125.1</f>
        <v>850040</v>
      </c>
      <c r="I579" s="3">
        <f>250*3482.4</f>
        <v>870600</v>
      </c>
      <c r="J579" s="3">
        <f>800*0</f>
        <v>0</v>
      </c>
      <c r="K579" s="4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100000</v>
      </c>
      <c r="V579" s="6" t="e">
        <f>N579/M579</f>
        <v>#DIV/0!</v>
      </c>
    </row>
    <row r="580" spans="1:22" ht="21.9" customHeight="1">
      <c r="A580" s="37" t="s">
        <v>1795</v>
      </c>
      <c r="B580" s="8" t="s">
        <v>382</v>
      </c>
      <c r="C580" s="2">
        <f t="shared" si="317"/>
        <v>7740720</v>
      </c>
      <c r="D580" s="3">
        <f t="shared" si="318"/>
        <v>7640720</v>
      </c>
      <c r="E580" s="3">
        <f>350*3482.4</f>
        <v>1218840</v>
      </c>
      <c r="F580" s="3">
        <f>1050*3482.4</f>
        <v>3656520</v>
      </c>
      <c r="G580" s="3">
        <f>300*3482.4</f>
        <v>1044720</v>
      </c>
      <c r="H580" s="3">
        <f>400*2125.1</f>
        <v>850040</v>
      </c>
      <c r="I580" s="3">
        <f>250*3482.4</f>
        <v>870600</v>
      </c>
      <c r="J580" s="3">
        <f>800*0</f>
        <v>0</v>
      </c>
      <c r="K580" s="4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100000</v>
      </c>
      <c r="V580" s="6" t="e">
        <f t="shared" si="319"/>
        <v>#DIV/0!</v>
      </c>
    </row>
    <row r="581" spans="1:22" ht="21.9" customHeight="1">
      <c r="A581" s="37" t="s">
        <v>1796</v>
      </c>
      <c r="B581" s="8" t="s">
        <v>426</v>
      </c>
      <c r="C581" s="2">
        <f t="shared" si="317"/>
        <v>2635000</v>
      </c>
      <c r="D581" s="3">
        <f t="shared" si="31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4">
        <v>0</v>
      </c>
      <c r="L581" s="3">
        <v>0</v>
      </c>
      <c r="M581" s="3">
        <v>370</v>
      </c>
      <c r="N581" s="3">
        <f>M581*5500</f>
        <v>2035000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600000</v>
      </c>
      <c r="V581" s="6">
        <f t="shared" si="319"/>
        <v>5500</v>
      </c>
    </row>
    <row r="582" spans="1:22" ht="21.9" customHeight="1">
      <c r="A582" s="37" t="s">
        <v>1797</v>
      </c>
      <c r="B582" s="8" t="s">
        <v>414</v>
      </c>
      <c r="C582" s="2">
        <f t="shared" si="317"/>
        <v>4398980</v>
      </c>
      <c r="D582" s="3">
        <f t="shared" si="318"/>
        <v>4198980</v>
      </c>
      <c r="E582" s="3">
        <f>350*1786.8</f>
        <v>625380</v>
      </c>
      <c r="F582" s="3">
        <f>800*1786.8</f>
        <v>1429440</v>
      </c>
      <c r="G582" s="3">
        <f>300*1786.8</f>
        <v>536040</v>
      </c>
      <c r="H582" s="3">
        <f>500*1786.8</f>
        <v>893400</v>
      </c>
      <c r="I582" s="3">
        <f>400*1786.8</f>
        <v>714720</v>
      </c>
      <c r="J582" s="3">
        <f>800*0</f>
        <v>0</v>
      </c>
      <c r="K582" s="4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200000</v>
      </c>
      <c r="V582" s="6" t="e">
        <f t="shared" si="319"/>
        <v>#DIV/0!</v>
      </c>
    </row>
    <row r="583" spans="1:22" ht="21.9" customHeight="1">
      <c r="A583" s="37" t="s">
        <v>1798</v>
      </c>
      <c r="B583" s="8" t="s">
        <v>404</v>
      </c>
      <c r="C583" s="2">
        <f t="shared" si="317"/>
        <v>300000</v>
      </c>
      <c r="D583" s="3">
        <f t="shared" si="31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4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300000</v>
      </c>
      <c r="V583" s="6" t="e">
        <f t="shared" si="319"/>
        <v>#DIV/0!</v>
      </c>
    </row>
    <row r="584" spans="1:22" ht="21.9" customHeight="1">
      <c r="A584" s="37" t="s">
        <v>1799</v>
      </c>
      <c r="B584" s="24" t="s">
        <v>1040</v>
      </c>
      <c r="C584" s="2">
        <f>D584+L584+N584+P584+R584+S584+T584+U584</f>
        <v>6369250</v>
      </c>
      <c r="D584" s="3">
        <f>SUM(E584:J584)</f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4">
        <v>0</v>
      </c>
      <c r="L584" s="3">
        <v>0</v>
      </c>
      <c r="M584" s="3">
        <v>623.5</v>
      </c>
      <c r="N584" s="3">
        <f>M584*5500</f>
        <v>3429250</v>
      </c>
      <c r="O584" s="3">
        <v>0</v>
      </c>
      <c r="P584" s="3">
        <v>0</v>
      </c>
      <c r="Q584" s="3">
        <v>980</v>
      </c>
      <c r="R584" s="5">
        <f>Q584*3000</f>
        <v>2940000</v>
      </c>
      <c r="S584" s="3">
        <v>0</v>
      </c>
      <c r="T584" s="3">
        <v>0</v>
      </c>
      <c r="U584" s="3">
        <v>0</v>
      </c>
      <c r="V584" s="6">
        <f>N584/M584</f>
        <v>5500</v>
      </c>
    </row>
    <row r="585" spans="1:22" ht="21.9" customHeight="1">
      <c r="A585" s="37" t="s">
        <v>1800</v>
      </c>
      <c r="B585" s="23" t="s">
        <v>537</v>
      </c>
      <c r="C585" s="2">
        <f t="shared" si="314"/>
        <v>10671934.35</v>
      </c>
      <c r="D585" s="3">
        <f t="shared" si="306"/>
        <v>2652915</v>
      </c>
      <c r="E585" s="3">
        <f>350*1128.9</f>
        <v>395115.00000000006</v>
      </c>
      <c r="F585" s="3">
        <f>1050*1128.9</f>
        <v>1185345</v>
      </c>
      <c r="G585" s="3">
        <f>300*1128.9</f>
        <v>338670</v>
      </c>
      <c r="H585" s="3">
        <f>400*1128.9</f>
        <v>451560.00000000006</v>
      </c>
      <c r="I585" s="3">
        <f>250*1128.9</f>
        <v>282225</v>
      </c>
      <c r="J585" s="3">
        <v>0</v>
      </c>
      <c r="K585" s="11">
        <v>0</v>
      </c>
      <c r="L585" s="5">
        <v>0</v>
      </c>
      <c r="M585" s="5">
        <v>684.8</v>
      </c>
      <c r="N585" s="3">
        <f t="shared" si="316"/>
        <v>3766399.9999999995</v>
      </c>
      <c r="O585" s="5">
        <v>0</v>
      </c>
      <c r="P585" s="5">
        <v>0</v>
      </c>
      <c r="Q585" s="5">
        <v>1350</v>
      </c>
      <c r="R585" s="3">
        <f t="shared" si="304"/>
        <v>4050000</v>
      </c>
      <c r="S585" s="5">
        <v>0</v>
      </c>
      <c r="T585" s="5">
        <v>0</v>
      </c>
      <c r="U585" s="5">
        <v>202619.35</v>
      </c>
      <c r="V585" s="6">
        <f t="shared" si="305"/>
        <v>5500</v>
      </c>
    </row>
    <row r="586" spans="1:22" ht="21.9" customHeight="1">
      <c r="A586" s="37" t="s">
        <v>1801</v>
      </c>
      <c r="B586" s="23" t="s">
        <v>612</v>
      </c>
      <c r="C586" s="2">
        <f t="shared" si="314"/>
        <v>4015000</v>
      </c>
      <c r="D586" s="3">
        <f t="shared" si="306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11">
        <v>0</v>
      </c>
      <c r="L586" s="5">
        <v>0</v>
      </c>
      <c r="M586" s="5">
        <v>730</v>
      </c>
      <c r="N586" s="3">
        <f t="shared" si="316"/>
        <v>4015000</v>
      </c>
      <c r="O586" s="5">
        <v>0</v>
      </c>
      <c r="P586" s="5">
        <v>0</v>
      </c>
      <c r="Q586" s="5">
        <v>0</v>
      </c>
      <c r="R586" s="3">
        <f t="shared" si="304"/>
        <v>0</v>
      </c>
      <c r="S586" s="5">
        <v>0</v>
      </c>
      <c r="T586" s="5">
        <v>0</v>
      </c>
      <c r="U586" s="5">
        <v>0</v>
      </c>
      <c r="V586" s="6">
        <f t="shared" si="305"/>
        <v>5500</v>
      </c>
    </row>
    <row r="587" spans="1:22" ht="21.9" customHeight="1">
      <c r="A587" s="37" t="s">
        <v>1802</v>
      </c>
      <c r="B587" s="8" t="s">
        <v>538</v>
      </c>
      <c r="C587" s="2">
        <f t="shared" si="314"/>
        <v>2494800</v>
      </c>
      <c r="D587" s="3">
        <f t="shared" si="306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11">
        <v>0</v>
      </c>
      <c r="L587" s="5">
        <v>0</v>
      </c>
      <c r="M587" s="5">
        <v>453.6</v>
      </c>
      <c r="N587" s="3">
        <f t="shared" si="316"/>
        <v>2494800</v>
      </c>
      <c r="O587" s="5">
        <v>0</v>
      </c>
      <c r="P587" s="5">
        <v>0</v>
      </c>
      <c r="Q587" s="5">
        <v>0</v>
      </c>
      <c r="R587" s="3">
        <f t="shared" si="304"/>
        <v>0</v>
      </c>
      <c r="S587" s="5">
        <v>0</v>
      </c>
      <c r="T587" s="5">
        <v>0</v>
      </c>
      <c r="U587" s="5">
        <v>0</v>
      </c>
      <c r="V587" s="6">
        <f t="shared" si="305"/>
        <v>5500</v>
      </c>
    </row>
    <row r="588" spans="1:22" ht="21.9" customHeight="1">
      <c r="A588" s="37" t="s">
        <v>1803</v>
      </c>
      <c r="B588" s="8" t="s">
        <v>539</v>
      </c>
      <c r="C588" s="2">
        <f t="shared" si="314"/>
        <v>2494800</v>
      </c>
      <c r="D588" s="3">
        <f t="shared" si="306"/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11">
        <v>0</v>
      </c>
      <c r="L588" s="5">
        <v>0</v>
      </c>
      <c r="M588" s="5">
        <v>453.6</v>
      </c>
      <c r="N588" s="3">
        <f t="shared" si="316"/>
        <v>2494800</v>
      </c>
      <c r="O588" s="5">
        <v>0</v>
      </c>
      <c r="P588" s="5">
        <v>0</v>
      </c>
      <c r="Q588" s="5">
        <v>0</v>
      </c>
      <c r="R588" s="3">
        <f t="shared" si="304"/>
        <v>0</v>
      </c>
      <c r="S588" s="5">
        <v>0</v>
      </c>
      <c r="T588" s="5">
        <v>0</v>
      </c>
      <c r="U588" s="5">
        <v>0</v>
      </c>
      <c r="V588" s="6">
        <f t="shared" si="305"/>
        <v>5500</v>
      </c>
    </row>
    <row r="589" spans="1:22" ht="21.9" customHeight="1">
      <c r="A589" s="37" t="s">
        <v>1804</v>
      </c>
      <c r="B589" s="8" t="s">
        <v>540</v>
      </c>
      <c r="C589" s="2">
        <f t="shared" si="314"/>
        <v>1518330</v>
      </c>
      <c r="D589" s="3">
        <f t="shared" si="306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276.06</v>
      </c>
      <c r="N589" s="3">
        <f t="shared" si="316"/>
        <v>1518330</v>
      </c>
      <c r="O589" s="5">
        <v>0</v>
      </c>
      <c r="P589" s="5">
        <v>0</v>
      </c>
      <c r="Q589" s="5">
        <v>0</v>
      </c>
      <c r="R589" s="3">
        <f t="shared" si="304"/>
        <v>0</v>
      </c>
      <c r="S589" s="5">
        <v>0</v>
      </c>
      <c r="T589" s="5">
        <v>0</v>
      </c>
      <c r="U589" s="5">
        <v>0</v>
      </c>
      <c r="V589" s="6">
        <f t="shared" si="305"/>
        <v>5500</v>
      </c>
    </row>
    <row r="590" spans="1:22" ht="21.9" customHeight="1">
      <c r="A590" s="37" t="s">
        <v>1805</v>
      </c>
      <c r="B590" s="8" t="s">
        <v>614</v>
      </c>
      <c r="C590" s="2">
        <f t="shared" si="314"/>
        <v>1545170</v>
      </c>
      <c r="D590" s="3">
        <f t="shared" si="306"/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11">
        <v>0</v>
      </c>
      <c r="L590" s="5">
        <v>0</v>
      </c>
      <c r="M590" s="5">
        <v>280.94</v>
      </c>
      <c r="N590" s="3">
        <f t="shared" si="316"/>
        <v>1545170</v>
      </c>
      <c r="O590" s="5">
        <v>0</v>
      </c>
      <c r="P590" s="5">
        <v>0</v>
      </c>
      <c r="Q590" s="5">
        <v>0</v>
      </c>
      <c r="R590" s="3">
        <f t="shared" si="304"/>
        <v>0</v>
      </c>
      <c r="S590" s="5">
        <v>0</v>
      </c>
      <c r="T590" s="5">
        <v>0</v>
      </c>
      <c r="U590" s="5">
        <v>0</v>
      </c>
      <c r="V590" s="6">
        <f t="shared" si="305"/>
        <v>5500</v>
      </c>
    </row>
    <row r="591" spans="1:22" ht="21.9" customHeight="1">
      <c r="A591" s="37" t="s">
        <v>1806</v>
      </c>
      <c r="B591" s="8" t="s">
        <v>615</v>
      </c>
      <c r="C591" s="2">
        <f t="shared" si="314"/>
        <v>1630199.9999999998</v>
      </c>
      <c r="D591" s="3">
        <f t="shared" si="306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11">
        <v>0</v>
      </c>
      <c r="L591" s="5">
        <v>0</v>
      </c>
      <c r="M591" s="5">
        <v>296.39999999999998</v>
      </c>
      <c r="N591" s="3">
        <f t="shared" si="316"/>
        <v>1630199.9999999998</v>
      </c>
      <c r="O591" s="5">
        <v>0</v>
      </c>
      <c r="P591" s="5">
        <v>0</v>
      </c>
      <c r="Q591" s="5">
        <v>0</v>
      </c>
      <c r="R591" s="3">
        <f t="shared" si="304"/>
        <v>0</v>
      </c>
      <c r="S591" s="5">
        <v>0</v>
      </c>
      <c r="T591" s="5">
        <v>0</v>
      </c>
      <c r="U591" s="5">
        <v>0</v>
      </c>
      <c r="V591" s="6">
        <f t="shared" si="305"/>
        <v>5500</v>
      </c>
    </row>
    <row r="592" spans="1:22" ht="21.9" customHeight="1">
      <c r="A592" s="37" t="s">
        <v>1807</v>
      </c>
      <c r="B592" s="8" t="s">
        <v>613</v>
      </c>
      <c r="C592" s="2">
        <f t="shared" si="314"/>
        <v>3809886.4599999995</v>
      </c>
      <c r="D592" s="3">
        <f t="shared" si="306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5">
        <v>0</v>
      </c>
      <c r="M592" s="5">
        <v>1033.6099999999999</v>
      </c>
      <c r="N592" s="3">
        <f>M592*3686</f>
        <v>3809886.4599999995</v>
      </c>
      <c r="O592" s="5">
        <v>0</v>
      </c>
      <c r="P592" s="5">
        <v>0</v>
      </c>
      <c r="Q592" s="5">
        <v>0</v>
      </c>
      <c r="R592" s="3">
        <f t="shared" si="304"/>
        <v>0</v>
      </c>
      <c r="S592" s="5">
        <v>0</v>
      </c>
      <c r="T592" s="5">
        <v>0</v>
      </c>
      <c r="U592" s="5">
        <v>0</v>
      </c>
      <c r="V592" s="6">
        <f t="shared" si="305"/>
        <v>3686</v>
      </c>
    </row>
    <row r="593" spans="1:22" ht="21.9" customHeight="1">
      <c r="A593" s="37" t="s">
        <v>1808</v>
      </c>
      <c r="B593" s="8" t="s">
        <v>504</v>
      </c>
      <c r="C593" s="2">
        <f>D593+L593+N593+P593+R593+S593+T593+U593</f>
        <v>4476155</v>
      </c>
      <c r="D593" s="3">
        <f>SUM(E593:J593)</f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472.2</v>
      </c>
      <c r="N593" s="3">
        <f>M593*5500</f>
        <v>2597100</v>
      </c>
      <c r="O593" s="3">
        <v>0</v>
      </c>
      <c r="P593" s="3">
        <v>0</v>
      </c>
      <c r="Q593" s="3">
        <v>491</v>
      </c>
      <c r="R593" s="3">
        <v>1279055</v>
      </c>
      <c r="S593" s="3">
        <v>0</v>
      </c>
      <c r="T593" s="3">
        <v>0</v>
      </c>
      <c r="U593" s="3">
        <v>600000</v>
      </c>
      <c r="V593" s="6">
        <f>N593/M593</f>
        <v>5500</v>
      </c>
    </row>
    <row r="594" spans="1:22" ht="21.9" customHeight="1">
      <c r="A594" s="37" t="s">
        <v>1809</v>
      </c>
      <c r="B594" s="8" t="s">
        <v>505</v>
      </c>
      <c r="C594" s="2">
        <f>D594+L594+N594+P594+R594+S594+T594+U594</f>
        <v>2022000</v>
      </c>
      <c r="D594" s="3">
        <f>SUM(E594:J594)</f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4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474</v>
      </c>
      <c r="R594" s="3">
        <f>Q594*3000</f>
        <v>1422000</v>
      </c>
      <c r="S594" s="3">
        <v>0</v>
      </c>
      <c r="T594" s="3">
        <v>0</v>
      </c>
      <c r="U594" s="3">
        <v>600000</v>
      </c>
      <c r="V594" s="6" t="e">
        <f>N594/M594</f>
        <v>#DIV/0!</v>
      </c>
    </row>
    <row r="595" spans="1:22" ht="21.9" customHeight="1">
      <c r="A595" s="37" t="s">
        <v>1810</v>
      </c>
      <c r="B595" s="24" t="s">
        <v>1044</v>
      </c>
      <c r="C595" s="2">
        <f>D595+L595+N595+P595+R595+S595+T595+U595</f>
        <v>731420</v>
      </c>
      <c r="D595" s="3">
        <f>SUM(E595:J595)</f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4">
        <v>0</v>
      </c>
      <c r="L595" s="3">
        <v>0</v>
      </c>
      <c r="M595" s="3">
        <v>0</v>
      </c>
      <c r="N595" s="3">
        <v>0</v>
      </c>
      <c r="O595" s="3">
        <v>110.2</v>
      </c>
      <c r="P595" s="3">
        <v>231420</v>
      </c>
      <c r="Q595" s="3">
        <v>0</v>
      </c>
      <c r="R595" s="3">
        <v>0</v>
      </c>
      <c r="S595" s="3">
        <v>0</v>
      </c>
      <c r="T595" s="3">
        <v>0</v>
      </c>
      <c r="U595" s="3">
        <v>500000</v>
      </c>
      <c r="V595" s="6" t="e">
        <f>N595/M595</f>
        <v>#DIV/0!</v>
      </c>
    </row>
    <row r="596" spans="1:22" ht="21.9" customHeight="1">
      <c r="A596" s="37" t="s">
        <v>1811</v>
      </c>
      <c r="B596" s="8" t="s">
        <v>395</v>
      </c>
      <c r="C596" s="2">
        <f>D596+L596+N596+P596+R596+S596+T596+U596</f>
        <v>3467080</v>
      </c>
      <c r="D596" s="3">
        <f>SUM(E596:J596)</f>
        <v>3367080</v>
      </c>
      <c r="E596" s="3">
        <f>350*1432.8</f>
        <v>501480</v>
      </c>
      <c r="F596" s="3">
        <f>1050*1432.8</f>
        <v>1504440</v>
      </c>
      <c r="G596" s="3">
        <f>300*1432.8</f>
        <v>429840</v>
      </c>
      <c r="H596" s="3">
        <f>400*1432.8</f>
        <v>573120</v>
      </c>
      <c r="I596" s="3">
        <f>250*1432.8</f>
        <v>358200</v>
      </c>
      <c r="J596" s="3">
        <f>800*0</f>
        <v>0</v>
      </c>
      <c r="K596" s="4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100000</v>
      </c>
      <c r="V596" s="6" t="e">
        <f>N596/M596</f>
        <v>#DIV/0!</v>
      </c>
    </row>
    <row r="597" spans="1:22" ht="21.9" customHeight="1">
      <c r="A597" s="37" t="s">
        <v>1812</v>
      </c>
      <c r="B597" s="8" t="s">
        <v>616</v>
      </c>
      <c r="C597" s="2">
        <f t="shared" ref="C597:C611" si="320">D597+L597+N597+P597+R597+S597+T597+U597</f>
        <v>1633500</v>
      </c>
      <c r="D597" s="3">
        <f t="shared" ref="D597:D611" si="321">SUM(E597:J597)</f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11">
        <v>0</v>
      </c>
      <c r="L597" s="5">
        <v>0</v>
      </c>
      <c r="M597" s="5">
        <v>297</v>
      </c>
      <c r="N597" s="3">
        <f t="shared" ref="N597:N599" si="322">M597*5500</f>
        <v>1633500</v>
      </c>
      <c r="O597" s="5">
        <v>0</v>
      </c>
      <c r="P597" s="5">
        <v>0</v>
      </c>
      <c r="Q597" s="5">
        <v>0</v>
      </c>
      <c r="R597" s="3">
        <f>Q597*3000</f>
        <v>0</v>
      </c>
      <c r="S597" s="5">
        <v>0</v>
      </c>
      <c r="T597" s="5">
        <v>0</v>
      </c>
      <c r="U597" s="5">
        <v>0</v>
      </c>
      <c r="V597" s="6">
        <f t="shared" ref="V597:V611" si="323">N597/M597</f>
        <v>5500</v>
      </c>
    </row>
    <row r="598" spans="1:22" ht="21.9" customHeight="1">
      <c r="A598" s="37" t="s">
        <v>1813</v>
      </c>
      <c r="B598" s="8" t="s">
        <v>617</v>
      </c>
      <c r="C598" s="2">
        <f t="shared" si="320"/>
        <v>300000</v>
      </c>
      <c r="D598" s="3">
        <f t="shared" si="321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0</v>
      </c>
      <c r="N598" s="3">
        <f t="shared" si="322"/>
        <v>0</v>
      </c>
      <c r="O598" s="5">
        <v>0</v>
      </c>
      <c r="P598" s="5">
        <v>0</v>
      </c>
      <c r="Q598" s="5">
        <v>0</v>
      </c>
      <c r="R598" s="3">
        <f>Q598*3000</f>
        <v>0</v>
      </c>
      <c r="S598" s="5">
        <v>0</v>
      </c>
      <c r="T598" s="5">
        <v>0</v>
      </c>
      <c r="U598" s="5">
        <v>300000</v>
      </c>
      <c r="V598" s="6" t="e">
        <f t="shared" si="323"/>
        <v>#DIV/0!</v>
      </c>
    </row>
    <row r="599" spans="1:22" ht="21.9" customHeight="1">
      <c r="A599" s="37" t="s">
        <v>1814</v>
      </c>
      <c r="B599" s="8" t="s">
        <v>618</v>
      </c>
      <c r="C599" s="2">
        <f t="shared" si="320"/>
        <v>300000</v>
      </c>
      <c r="D599" s="3">
        <f t="shared" si="321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5">
        <v>0</v>
      </c>
      <c r="M599" s="5">
        <v>0</v>
      </c>
      <c r="N599" s="3">
        <f t="shared" si="322"/>
        <v>0</v>
      </c>
      <c r="O599" s="5">
        <v>0</v>
      </c>
      <c r="P599" s="5">
        <v>0</v>
      </c>
      <c r="Q599" s="5">
        <v>0</v>
      </c>
      <c r="R599" s="3">
        <f>Q599*3000</f>
        <v>0</v>
      </c>
      <c r="S599" s="5">
        <v>0</v>
      </c>
      <c r="T599" s="5">
        <v>0</v>
      </c>
      <c r="U599" s="5">
        <v>300000</v>
      </c>
      <c r="V599" s="6" t="e">
        <f t="shared" si="323"/>
        <v>#DIV/0!</v>
      </c>
    </row>
    <row r="600" spans="1:22" ht="21.9" customHeight="1">
      <c r="A600" s="37" t="s">
        <v>1815</v>
      </c>
      <c r="B600" s="24" t="s">
        <v>1078</v>
      </c>
      <c r="C600" s="2">
        <f t="shared" si="320"/>
        <v>4300000</v>
      </c>
      <c r="D600" s="3">
        <f t="shared" si="321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4">
        <v>2</v>
      </c>
      <c r="L600" s="3">
        <f>K600*2150000</f>
        <v>4300000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6" t="e">
        <f t="shared" si="323"/>
        <v>#DIV/0!</v>
      </c>
    </row>
    <row r="601" spans="1:22" ht="21.9" customHeight="1">
      <c r="A601" s="37" t="s">
        <v>1816</v>
      </c>
      <c r="B601" s="24" t="s">
        <v>1053</v>
      </c>
      <c r="C601" s="2">
        <f>D601+L601+N601+P601+R601+S601+T601+U601</f>
        <v>5326697.04</v>
      </c>
      <c r="D601" s="3">
        <f>SUM(E601:J601)</f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456.13</v>
      </c>
      <c r="N601" s="3">
        <v>2750175.12</v>
      </c>
      <c r="O601" s="3">
        <v>0</v>
      </c>
      <c r="P601" s="3">
        <v>0</v>
      </c>
      <c r="Q601" s="3">
        <v>1359</v>
      </c>
      <c r="R601" s="3">
        <v>2516238.71</v>
      </c>
      <c r="S601" s="3">
        <v>60283.21</v>
      </c>
      <c r="T601" s="3">
        <v>0</v>
      </c>
      <c r="U601" s="3">
        <v>0</v>
      </c>
      <c r="V601" s="6">
        <f>N601/M601</f>
        <v>6029.3668910179122</v>
      </c>
    </row>
    <row r="602" spans="1:22" ht="21.9" customHeight="1">
      <c r="A602" s="37" t="s">
        <v>1817</v>
      </c>
      <c r="B602" s="8" t="s">
        <v>1026</v>
      </c>
      <c r="C602" s="2">
        <f t="shared" si="320"/>
        <v>20742900</v>
      </c>
      <c r="D602" s="3">
        <f t="shared" si="321"/>
        <v>9627480</v>
      </c>
      <c r="E602" s="3">
        <f>350*4096.8</f>
        <v>1433880</v>
      </c>
      <c r="F602" s="3">
        <f>1050*4096.8</f>
        <v>4301640</v>
      </c>
      <c r="G602" s="3">
        <f>300*4096.8</f>
        <v>1229040</v>
      </c>
      <c r="H602" s="3">
        <f>400*4096.8</f>
        <v>1638720</v>
      </c>
      <c r="I602" s="3">
        <f>250*4096.8</f>
        <v>1024200</v>
      </c>
      <c r="J602" s="3">
        <v>0</v>
      </c>
      <c r="K602" s="11">
        <v>0</v>
      </c>
      <c r="L602" s="5">
        <v>0</v>
      </c>
      <c r="M602" s="5">
        <v>970</v>
      </c>
      <c r="N602" s="3">
        <f>M602*3686</f>
        <v>3575420</v>
      </c>
      <c r="O602" s="5">
        <v>0</v>
      </c>
      <c r="P602" s="5">
        <v>0</v>
      </c>
      <c r="Q602" s="5">
        <v>2480</v>
      </c>
      <c r="R602" s="3">
        <f t="shared" ref="R602:R607" si="324">Q602*3000</f>
        <v>7440000</v>
      </c>
      <c r="S602" s="5">
        <v>0</v>
      </c>
      <c r="T602" s="5">
        <v>0</v>
      </c>
      <c r="U602" s="5">
        <v>100000</v>
      </c>
      <c r="V602" s="6">
        <f t="shared" si="323"/>
        <v>3686</v>
      </c>
    </row>
    <row r="603" spans="1:22" ht="21.9" customHeight="1">
      <c r="A603" s="37" t="s">
        <v>1818</v>
      </c>
      <c r="B603" s="24" t="s">
        <v>1038</v>
      </c>
      <c r="C603" s="2">
        <f>D603+L603+N603+P603+R603+S603+T603+U603</f>
        <v>4541301.41</v>
      </c>
      <c r="D603" s="3">
        <f>SUM(E603:J603)</f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741</v>
      </c>
      <c r="N603" s="3">
        <f>M603*5500</f>
        <v>4075500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465801.41</v>
      </c>
      <c r="V603" s="6">
        <f>N603/M603</f>
        <v>5500</v>
      </c>
    </row>
    <row r="604" spans="1:22" ht="21.9" customHeight="1">
      <c r="A604" s="37" t="s">
        <v>1819</v>
      </c>
      <c r="B604" s="8" t="s">
        <v>619</v>
      </c>
      <c r="C604" s="2">
        <f t="shared" si="320"/>
        <v>3660600.0000000005</v>
      </c>
      <c r="D604" s="3">
        <f t="shared" si="321"/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11">
        <v>0</v>
      </c>
      <c r="L604" s="5">
        <v>0</v>
      </c>
      <c r="M604" s="5">
        <v>629.20000000000005</v>
      </c>
      <c r="N604" s="3">
        <f t="shared" ref="N604:N611" si="325">M604*5500</f>
        <v>3460600.0000000005</v>
      </c>
      <c r="O604" s="5">
        <v>0</v>
      </c>
      <c r="P604" s="5">
        <v>0</v>
      </c>
      <c r="Q604" s="5">
        <v>0</v>
      </c>
      <c r="R604" s="3">
        <f t="shared" si="324"/>
        <v>0</v>
      </c>
      <c r="S604" s="5">
        <v>0</v>
      </c>
      <c r="T604" s="5">
        <v>0</v>
      </c>
      <c r="U604" s="5">
        <v>200000</v>
      </c>
      <c r="V604" s="6">
        <f t="shared" si="323"/>
        <v>5500</v>
      </c>
    </row>
    <row r="605" spans="1:22" ht="21.9" customHeight="1">
      <c r="A605" s="37" t="s">
        <v>1820</v>
      </c>
      <c r="B605" s="8" t="s">
        <v>622</v>
      </c>
      <c r="C605" s="2">
        <f>D605+L605+N605+P605+R605+S605+T605+U605</f>
        <v>11550000</v>
      </c>
      <c r="D605" s="3">
        <f>SUM(E605:J605)</f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5">
        <v>0</v>
      </c>
      <c r="M605" s="5">
        <v>2100</v>
      </c>
      <c r="N605" s="3">
        <f>M605*5500</f>
        <v>11550000</v>
      </c>
      <c r="O605" s="5">
        <v>0</v>
      </c>
      <c r="P605" s="5">
        <v>0</v>
      </c>
      <c r="Q605" s="5">
        <v>0</v>
      </c>
      <c r="R605" s="3">
        <f>Q605*3000</f>
        <v>0</v>
      </c>
      <c r="S605" s="5">
        <v>0</v>
      </c>
      <c r="T605" s="5">
        <v>0</v>
      </c>
      <c r="U605" s="5">
        <v>0</v>
      </c>
      <c r="V605" s="6">
        <f>N605/M605</f>
        <v>5500</v>
      </c>
    </row>
    <row r="606" spans="1:22" ht="21.9" customHeight="1">
      <c r="A606" s="37" t="s">
        <v>1821</v>
      </c>
      <c r="B606" s="8" t="s">
        <v>620</v>
      </c>
      <c r="C606" s="2">
        <f t="shared" si="320"/>
        <v>3140500</v>
      </c>
      <c r="D606" s="3">
        <f t="shared" si="321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5">
        <v>0</v>
      </c>
      <c r="M606" s="5">
        <v>571</v>
      </c>
      <c r="N606" s="3">
        <f t="shared" si="325"/>
        <v>3140500</v>
      </c>
      <c r="O606" s="5">
        <v>0</v>
      </c>
      <c r="P606" s="5">
        <v>0</v>
      </c>
      <c r="Q606" s="5">
        <v>0</v>
      </c>
      <c r="R606" s="3">
        <f t="shared" si="324"/>
        <v>0</v>
      </c>
      <c r="S606" s="5">
        <v>0</v>
      </c>
      <c r="T606" s="5">
        <v>0</v>
      </c>
      <c r="U606" s="5">
        <v>0</v>
      </c>
      <c r="V606" s="6">
        <f t="shared" si="323"/>
        <v>5500</v>
      </c>
    </row>
    <row r="607" spans="1:22" ht="21.9" customHeight="1">
      <c r="A607" s="37" t="s">
        <v>1822</v>
      </c>
      <c r="B607" s="8" t="s">
        <v>621</v>
      </c>
      <c r="C607" s="2">
        <f t="shared" si="320"/>
        <v>2645500</v>
      </c>
      <c r="D607" s="3">
        <f t="shared" si="321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1">
        <v>0</v>
      </c>
      <c r="L607" s="5">
        <v>0</v>
      </c>
      <c r="M607" s="5">
        <v>481</v>
      </c>
      <c r="N607" s="3">
        <f t="shared" si="325"/>
        <v>2645500</v>
      </c>
      <c r="O607" s="5">
        <v>0</v>
      </c>
      <c r="P607" s="5">
        <v>0</v>
      </c>
      <c r="Q607" s="5">
        <v>0</v>
      </c>
      <c r="R607" s="3">
        <f t="shared" si="324"/>
        <v>0</v>
      </c>
      <c r="S607" s="5">
        <v>0</v>
      </c>
      <c r="T607" s="5">
        <v>0</v>
      </c>
      <c r="U607" s="5">
        <v>0</v>
      </c>
      <c r="V607" s="6">
        <f t="shared" si="323"/>
        <v>5500</v>
      </c>
    </row>
    <row r="608" spans="1:22" ht="21.9" customHeight="1">
      <c r="A608" s="37" t="s">
        <v>1823</v>
      </c>
      <c r="B608" s="8" t="s">
        <v>822</v>
      </c>
      <c r="C608" s="2">
        <f t="shared" si="320"/>
        <v>25785119.82</v>
      </c>
      <c r="D608" s="3">
        <f t="shared" si="321"/>
        <v>12969180</v>
      </c>
      <c r="E608" s="3">
        <f>350*5518.8</f>
        <v>1931580</v>
      </c>
      <c r="F608" s="3">
        <f>800*5518.8</f>
        <v>4415040</v>
      </c>
      <c r="G608" s="3">
        <f>300*5518.8</f>
        <v>1655640</v>
      </c>
      <c r="H608" s="3">
        <f>500*5518.8</f>
        <v>2759400</v>
      </c>
      <c r="I608" s="3">
        <f>400*5518.8</f>
        <v>2207520</v>
      </c>
      <c r="J608" s="3">
        <f>350*0</f>
        <v>0</v>
      </c>
      <c r="K608" s="4">
        <v>0</v>
      </c>
      <c r="L608" s="3">
        <v>0</v>
      </c>
      <c r="M608" s="5">
        <v>613.20000000000005</v>
      </c>
      <c r="N608" s="5">
        <v>2315458.5299999998</v>
      </c>
      <c r="O608" s="3">
        <v>819.8</v>
      </c>
      <c r="P608" s="3">
        <v>1125667.3799999999</v>
      </c>
      <c r="Q608" s="3">
        <v>3078</v>
      </c>
      <c r="R608" s="3">
        <v>9174813.9100000001</v>
      </c>
      <c r="S608" s="3">
        <v>0</v>
      </c>
      <c r="T608" s="3">
        <v>0</v>
      </c>
      <c r="U608" s="3">
        <v>200000</v>
      </c>
      <c r="V608" s="6">
        <f t="shared" si="323"/>
        <v>3776.0249999999992</v>
      </c>
    </row>
    <row r="609" spans="1:22" ht="21.9" customHeight="1">
      <c r="A609" s="37" t="s">
        <v>1824</v>
      </c>
      <c r="B609" s="8" t="s">
        <v>376</v>
      </c>
      <c r="C609" s="2">
        <f t="shared" si="320"/>
        <v>300000</v>
      </c>
      <c r="D609" s="3">
        <f t="shared" si="321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4">
        <v>0</v>
      </c>
      <c r="L609" s="3">
        <v>0</v>
      </c>
      <c r="M609" s="3">
        <v>0</v>
      </c>
      <c r="N609" s="3">
        <f t="shared" si="325"/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300000</v>
      </c>
      <c r="V609" s="6" t="e">
        <f t="shared" si="323"/>
        <v>#DIV/0!</v>
      </c>
    </row>
    <row r="610" spans="1:22" ht="21.9" customHeight="1">
      <c r="A610" s="37" t="s">
        <v>1825</v>
      </c>
      <c r="B610" s="8" t="s">
        <v>623</v>
      </c>
      <c r="C610" s="2">
        <f t="shared" si="320"/>
        <v>3029000</v>
      </c>
      <c r="D610" s="3">
        <f t="shared" si="321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278</v>
      </c>
      <c r="N610" s="3">
        <f t="shared" si="325"/>
        <v>1529000</v>
      </c>
      <c r="O610" s="5">
        <v>0</v>
      </c>
      <c r="P610" s="5">
        <v>0</v>
      </c>
      <c r="Q610" s="5">
        <v>500</v>
      </c>
      <c r="R610" s="3">
        <f>Q610*3000</f>
        <v>1500000</v>
      </c>
      <c r="S610" s="5">
        <v>0</v>
      </c>
      <c r="T610" s="5">
        <v>0</v>
      </c>
      <c r="U610" s="5">
        <v>0</v>
      </c>
      <c r="V610" s="6">
        <f t="shared" si="323"/>
        <v>5500</v>
      </c>
    </row>
    <row r="611" spans="1:22" ht="21.9" customHeight="1">
      <c r="A611" s="37" t="s">
        <v>1826</v>
      </c>
      <c r="B611" s="23" t="s">
        <v>624</v>
      </c>
      <c r="C611" s="2">
        <f t="shared" si="320"/>
        <v>1534500</v>
      </c>
      <c r="D611" s="3">
        <f t="shared" si="321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0</v>
      </c>
      <c r="L611" s="5">
        <v>0</v>
      </c>
      <c r="M611" s="5">
        <v>279</v>
      </c>
      <c r="N611" s="3">
        <f t="shared" si="325"/>
        <v>1534500</v>
      </c>
      <c r="O611" s="5">
        <v>0</v>
      </c>
      <c r="P611" s="5">
        <v>0</v>
      </c>
      <c r="Q611" s="5">
        <v>0</v>
      </c>
      <c r="R611" s="3">
        <f>Q611*3000</f>
        <v>0</v>
      </c>
      <c r="S611" s="5">
        <v>0</v>
      </c>
      <c r="T611" s="5">
        <v>0</v>
      </c>
      <c r="U611" s="5">
        <v>0</v>
      </c>
      <c r="V611" s="6">
        <f t="shared" si="323"/>
        <v>5500</v>
      </c>
    </row>
    <row r="612" spans="1:22" ht="21.9" customHeight="1">
      <c r="A612" s="37" t="s">
        <v>1827</v>
      </c>
      <c r="B612" s="8" t="s">
        <v>1197</v>
      </c>
      <c r="C612" s="2">
        <f>D612+L612+N612+P612+R612+S612+T612+U612</f>
        <v>13400000</v>
      </c>
      <c r="D612" s="3">
        <f>SUM(E612:J612)</f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6</v>
      </c>
      <c r="L612" s="5">
        <f>K612*2150000</f>
        <v>12900000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3">
        <f>Q612*3000</f>
        <v>0</v>
      </c>
      <c r="S612" s="5">
        <v>0</v>
      </c>
      <c r="T612" s="5">
        <v>0</v>
      </c>
      <c r="U612" s="5">
        <v>500000</v>
      </c>
      <c r="V612" s="6" t="e">
        <f>N612/M612</f>
        <v>#DIV/0!</v>
      </c>
    </row>
    <row r="613" spans="1:22" ht="21.9" customHeight="1">
      <c r="A613" s="37" t="s">
        <v>1828</v>
      </c>
      <c r="B613" s="8" t="s">
        <v>541</v>
      </c>
      <c r="C613" s="2">
        <f t="shared" si="314"/>
        <v>300000</v>
      </c>
      <c r="D613" s="3">
        <f t="shared" ref="D613:D684" si="326">SUM(E613:J613)</f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0</v>
      </c>
      <c r="N613" s="3">
        <v>0</v>
      </c>
      <c r="O613" s="5">
        <v>0</v>
      </c>
      <c r="P613" s="5">
        <v>0</v>
      </c>
      <c r="Q613" s="5">
        <v>0</v>
      </c>
      <c r="R613" s="3">
        <f t="shared" ref="R613:R685" si="327">Q613*3000</f>
        <v>0</v>
      </c>
      <c r="S613" s="5">
        <v>0</v>
      </c>
      <c r="T613" s="5">
        <v>0</v>
      </c>
      <c r="U613" s="5">
        <v>300000</v>
      </c>
      <c r="V613" s="6" t="e">
        <f t="shared" ref="V613:V685" si="328">N613/M613</f>
        <v>#DIV/0!</v>
      </c>
    </row>
    <row r="614" spans="1:22" ht="21.9" customHeight="1">
      <c r="A614" s="37" t="s">
        <v>1829</v>
      </c>
      <c r="B614" s="8" t="s">
        <v>625</v>
      </c>
      <c r="C614" s="2">
        <f t="shared" si="314"/>
        <v>1463000</v>
      </c>
      <c r="D614" s="3">
        <f t="shared" si="326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266</v>
      </c>
      <c r="N614" s="3">
        <f t="shared" ref="N614:N615" si="329">M614*5500</f>
        <v>1463000</v>
      </c>
      <c r="O614" s="5">
        <v>0</v>
      </c>
      <c r="P614" s="5">
        <v>0</v>
      </c>
      <c r="Q614" s="5">
        <v>0</v>
      </c>
      <c r="R614" s="3">
        <f t="shared" si="327"/>
        <v>0</v>
      </c>
      <c r="S614" s="5">
        <v>0</v>
      </c>
      <c r="T614" s="5">
        <v>0</v>
      </c>
      <c r="U614" s="5">
        <v>0</v>
      </c>
      <c r="V614" s="6">
        <f t="shared" si="328"/>
        <v>5500</v>
      </c>
    </row>
    <row r="615" spans="1:22" ht="21.9" customHeight="1">
      <c r="A615" s="37" t="s">
        <v>1830</v>
      </c>
      <c r="B615" s="23" t="s">
        <v>542</v>
      </c>
      <c r="C615" s="2">
        <f t="shared" si="314"/>
        <v>300000</v>
      </c>
      <c r="D615" s="3">
        <f t="shared" si="326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0</v>
      </c>
      <c r="N615" s="3">
        <f t="shared" si="329"/>
        <v>0</v>
      </c>
      <c r="O615" s="5">
        <v>0</v>
      </c>
      <c r="P615" s="5">
        <v>0</v>
      </c>
      <c r="Q615" s="5">
        <v>0</v>
      </c>
      <c r="R615" s="3">
        <f t="shared" si="327"/>
        <v>0</v>
      </c>
      <c r="S615" s="5">
        <v>0</v>
      </c>
      <c r="T615" s="5">
        <v>0</v>
      </c>
      <c r="U615" s="5">
        <v>300000</v>
      </c>
      <c r="V615" s="6" t="e">
        <f t="shared" si="328"/>
        <v>#DIV/0!</v>
      </c>
    </row>
    <row r="616" spans="1:22" ht="21.9" customHeight="1">
      <c r="A616" s="37" t="s">
        <v>1831</v>
      </c>
      <c r="B616" s="8" t="s">
        <v>627</v>
      </c>
      <c r="C616" s="2">
        <f t="shared" si="314"/>
        <v>3670149.9999999995</v>
      </c>
      <c r="D616" s="3">
        <f t="shared" si="326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667.3</v>
      </c>
      <c r="N616" s="3">
        <f t="shared" ref="N616:N623" si="330">M616*5500</f>
        <v>3670149.9999999995</v>
      </c>
      <c r="O616" s="5">
        <v>0</v>
      </c>
      <c r="P616" s="5">
        <v>0</v>
      </c>
      <c r="Q616" s="5">
        <v>0</v>
      </c>
      <c r="R616" s="3">
        <f t="shared" si="327"/>
        <v>0</v>
      </c>
      <c r="S616" s="5">
        <v>0</v>
      </c>
      <c r="T616" s="5">
        <v>0</v>
      </c>
      <c r="U616" s="5">
        <v>0</v>
      </c>
      <c r="V616" s="6">
        <f t="shared" si="328"/>
        <v>5500</v>
      </c>
    </row>
    <row r="617" spans="1:22" ht="21.9" customHeight="1">
      <c r="A617" s="37" t="s">
        <v>1832</v>
      </c>
      <c r="B617" s="8" t="s">
        <v>543</v>
      </c>
      <c r="C617" s="2">
        <f t="shared" si="314"/>
        <v>700000</v>
      </c>
      <c r="D617" s="3">
        <f t="shared" si="326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0</v>
      </c>
      <c r="N617" s="3">
        <v>0</v>
      </c>
      <c r="O617" s="5">
        <v>0</v>
      </c>
      <c r="P617" s="5">
        <v>0</v>
      </c>
      <c r="Q617" s="5">
        <v>0</v>
      </c>
      <c r="R617" s="3">
        <f t="shared" si="327"/>
        <v>0</v>
      </c>
      <c r="S617" s="5">
        <v>500000</v>
      </c>
      <c r="T617" s="5">
        <v>0</v>
      </c>
      <c r="U617" s="5">
        <v>200000</v>
      </c>
      <c r="V617" s="6" t="e">
        <f t="shared" si="328"/>
        <v>#DIV/0!</v>
      </c>
    </row>
    <row r="618" spans="1:22" ht="21.9" customHeight="1">
      <c r="A618" s="37" t="s">
        <v>1833</v>
      </c>
      <c r="B618" s="8" t="s">
        <v>626</v>
      </c>
      <c r="C618" s="2">
        <f t="shared" si="314"/>
        <v>3668500</v>
      </c>
      <c r="D618" s="3">
        <f t="shared" si="326"/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5">
        <v>0</v>
      </c>
      <c r="M618" s="5">
        <v>667</v>
      </c>
      <c r="N618" s="3">
        <f t="shared" si="330"/>
        <v>3668500</v>
      </c>
      <c r="O618" s="5">
        <v>0</v>
      </c>
      <c r="P618" s="5">
        <v>0</v>
      </c>
      <c r="Q618" s="5">
        <v>0</v>
      </c>
      <c r="R618" s="3">
        <f t="shared" si="327"/>
        <v>0</v>
      </c>
      <c r="S618" s="5">
        <v>0</v>
      </c>
      <c r="T618" s="5">
        <v>0</v>
      </c>
      <c r="U618" s="5">
        <v>0</v>
      </c>
      <c r="V618" s="6">
        <f t="shared" si="328"/>
        <v>5500</v>
      </c>
    </row>
    <row r="619" spans="1:22" ht="21.9" customHeight="1">
      <c r="A619" s="37" t="s">
        <v>1834</v>
      </c>
      <c r="B619" s="8" t="s">
        <v>628</v>
      </c>
      <c r="C619" s="2">
        <f t="shared" si="314"/>
        <v>9881141</v>
      </c>
      <c r="D619" s="3">
        <f t="shared" si="326"/>
        <v>3753091</v>
      </c>
      <c r="E619" s="3">
        <f>350*1597.06</f>
        <v>558971</v>
      </c>
      <c r="F619" s="3">
        <f>1050*1597.06</f>
        <v>1676913</v>
      </c>
      <c r="G619" s="3">
        <f>300*1597.06</f>
        <v>479118</v>
      </c>
      <c r="H619" s="3">
        <f>400*1597.06</f>
        <v>638824</v>
      </c>
      <c r="I619" s="3">
        <f>250*1597.06</f>
        <v>399265</v>
      </c>
      <c r="J619" s="3">
        <v>0</v>
      </c>
      <c r="K619" s="11">
        <v>0</v>
      </c>
      <c r="L619" s="5">
        <v>0</v>
      </c>
      <c r="M619" s="5">
        <v>475.5</v>
      </c>
      <c r="N619" s="3">
        <f t="shared" si="330"/>
        <v>2615250</v>
      </c>
      <c r="O619" s="5">
        <v>0</v>
      </c>
      <c r="P619" s="5">
        <v>0</v>
      </c>
      <c r="Q619" s="5">
        <v>1137.5999999999999</v>
      </c>
      <c r="R619" s="3">
        <f t="shared" si="327"/>
        <v>3412799.9999999995</v>
      </c>
      <c r="S619" s="5">
        <v>0</v>
      </c>
      <c r="T619" s="5">
        <v>0</v>
      </c>
      <c r="U619" s="5">
        <v>100000</v>
      </c>
      <c r="V619" s="6">
        <f t="shared" si="328"/>
        <v>5500</v>
      </c>
    </row>
    <row r="620" spans="1:22" ht="21.9" customHeight="1">
      <c r="A620" s="37" t="s">
        <v>1835</v>
      </c>
      <c r="B620" s="8" t="s">
        <v>544</v>
      </c>
      <c r="C620" s="2">
        <f t="shared" si="314"/>
        <v>1496000</v>
      </c>
      <c r="D620" s="3">
        <f t="shared" si="326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5">
        <v>0</v>
      </c>
      <c r="M620" s="5">
        <v>272</v>
      </c>
      <c r="N620" s="3">
        <f t="shared" si="330"/>
        <v>1496000</v>
      </c>
      <c r="O620" s="5">
        <v>0</v>
      </c>
      <c r="P620" s="5">
        <v>0</v>
      </c>
      <c r="Q620" s="5">
        <v>0</v>
      </c>
      <c r="R620" s="3">
        <f t="shared" si="327"/>
        <v>0</v>
      </c>
      <c r="S620" s="5">
        <v>0</v>
      </c>
      <c r="T620" s="5">
        <v>0</v>
      </c>
      <c r="U620" s="5">
        <v>0</v>
      </c>
      <c r="V620" s="6">
        <f t="shared" si="328"/>
        <v>5500</v>
      </c>
    </row>
    <row r="621" spans="1:22" ht="21.9" customHeight="1">
      <c r="A621" s="37" t="s">
        <v>1836</v>
      </c>
      <c r="B621" s="8" t="s">
        <v>545</v>
      </c>
      <c r="C621" s="2">
        <f t="shared" si="314"/>
        <v>1496000</v>
      </c>
      <c r="D621" s="3">
        <f t="shared" si="326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5">
        <v>0</v>
      </c>
      <c r="M621" s="5">
        <v>272</v>
      </c>
      <c r="N621" s="3">
        <f t="shared" si="330"/>
        <v>1496000</v>
      </c>
      <c r="O621" s="5">
        <v>0</v>
      </c>
      <c r="P621" s="5">
        <v>0</v>
      </c>
      <c r="Q621" s="5">
        <v>0</v>
      </c>
      <c r="R621" s="3">
        <f t="shared" si="327"/>
        <v>0</v>
      </c>
      <c r="S621" s="5">
        <v>0</v>
      </c>
      <c r="T621" s="5">
        <v>0</v>
      </c>
      <c r="U621" s="5">
        <v>0</v>
      </c>
      <c r="V621" s="6">
        <f t="shared" si="328"/>
        <v>5500</v>
      </c>
    </row>
    <row r="622" spans="1:22" ht="21.9" customHeight="1">
      <c r="A622" s="37" t="s">
        <v>1837</v>
      </c>
      <c r="B622" s="8" t="s">
        <v>629</v>
      </c>
      <c r="C622" s="2">
        <f t="shared" si="314"/>
        <v>1485000</v>
      </c>
      <c r="D622" s="3">
        <f t="shared" si="326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5">
        <v>0</v>
      </c>
      <c r="M622" s="5">
        <v>270</v>
      </c>
      <c r="N622" s="3">
        <f t="shared" si="330"/>
        <v>1485000</v>
      </c>
      <c r="O622" s="5">
        <v>0</v>
      </c>
      <c r="P622" s="5">
        <v>0</v>
      </c>
      <c r="Q622" s="5">
        <v>0</v>
      </c>
      <c r="R622" s="3">
        <f t="shared" si="327"/>
        <v>0</v>
      </c>
      <c r="S622" s="5">
        <v>0</v>
      </c>
      <c r="T622" s="5">
        <v>0</v>
      </c>
      <c r="U622" s="5">
        <v>0</v>
      </c>
      <c r="V622" s="6">
        <f t="shared" si="328"/>
        <v>5500</v>
      </c>
    </row>
    <row r="623" spans="1:22" ht="21.9" customHeight="1">
      <c r="A623" s="37" t="s">
        <v>1838</v>
      </c>
      <c r="B623" s="8" t="s">
        <v>630</v>
      </c>
      <c r="C623" s="2">
        <f t="shared" si="314"/>
        <v>1479500</v>
      </c>
      <c r="D623" s="3">
        <f t="shared" si="326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5">
        <v>0</v>
      </c>
      <c r="M623" s="5">
        <v>269</v>
      </c>
      <c r="N623" s="3">
        <f t="shared" si="330"/>
        <v>1479500</v>
      </c>
      <c r="O623" s="5">
        <v>0</v>
      </c>
      <c r="P623" s="5">
        <v>0</v>
      </c>
      <c r="Q623" s="5">
        <v>0</v>
      </c>
      <c r="R623" s="3">
        <f t="shared" si="327"/>
        <v>0</v>
      </c>
      <c r="S623" s="5">
        <v>0</v>
      </c>
      <c r="T623" s="5">
        <v>0</v>
      </c>
      <c r="U623" s="5">
        <v>0</v>
      </c>
      <c r="V623" s="6">
        <f t="shared" si="328"/>
        <v>5500</v>
      </c>
    </row>
    <row r="624" spans="1:22" ht="21.9" customHeight="1">
      <c r="A624" s="37" t="s">
        <v>1839</v>
      </c>
      <c r="B624" s="8" t="s">
        <v>631</v>
      </c>
      <c r="C624" s="2">
        <f t="shared" si="314"/>
        <v>300000</v>
      </c>
      <c r="D624" s="3">
        <f t="shared" si="326"/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f>350*0</f>
        <v>0</v>
      </c>
      <c r="K624" s="11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3">
        <f t="shared" si="327"/>
        <v>0</v>
      </c>
      <c r="S624" s="5">
        <v>0</v>
      </c>
      <c r="T624" s="5">
        <v>0</v>
      </c>
      <c r="U624" s="5">
        <v>300000</v>
      </c>
      <c r="V624" s="6" t="e">
        <f t="shared" si="328"/>
        <v>#DIV/0!</v>
      </c>
    </row>
    <row r="625" spans="1:22" ht="21.9" customHeight="1">
      <c r="A625" s="37" t="s">
        <v>1840</v>
      </c>
      <c r="B625" s="8" t="s">
        <v>632</v>
      </c>
      <c r="C625" s="2">
        <f t="shared" si="314"/>
        <v>1584000</v>
      </c>
      <c r="D625" s="3">
        <f t="shared" si="326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288</v>
      </c>
      <c r="N625" s="3">
        <f t="shared" ref="N625" si="331">M625*5500</f>
        <v>1584000</v>
      </c>
      <c r="O625" s="5">
        <v>0</v>
      </c>
      <c r="P625" s="5">
        <v>0</v>
      </c>
      <c r="Q625" s="5">
        <v>0</v>
      </c>
      <c r="R625" s="3">
        <f t="shared" si="327"/>
        <v>0</v>
      </c>
      <c r="S625" s="5">
        <v>0</v>
      </c>
      <c r="T625" s="5">
        <v>0</v>
      </c>
      <c r="U625" s="5">
        <v>0</v>
      </c>
      <c r="V625" s="6">
        <f t="shared" si="328"/>
        <v>5500</v>
      </c>
    </row>
    <row r="626" spans="1:22" ht="21.9" customHeight="1">
      <c r="A626" s="37" t="s">
        <v>1841</v>
      </c>
      <c r="B626" s="8" t="s">
        <v>633</v>
      </c>
      <c r="C626" s="2">
        <f t="shared" si="314"/>
        <v>1507000</v>
      </c>
      <c r="D626" s="3">
        <f t="shared" si="326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5">
        <v>0</v>
      </c>
      <c r="M626" s="5">
        <v>274</v>
      </c>
      <c r="N626" s="3">
        <f t="shared" ref="N626:N645" si="332">M626*5500</f>
        <v>1507000</v>
      </c>
      <c r="O626" s="5">
        <v>0</v>
      </c>
      <c r="P626" s="5">
        <v>0</v>
      </c>
      <c r="Q626" s="5">
        <v>0</v>
      </c>
      <c r="R626" s="3">
        <f t="shared" si="327"/>
        <v>0</v>
      </c>
      <c r="S626" s="5">
        <v>0</v>
      </c>
      <c r="T626" s="5">
        <v>0</v>
      </c>
      <c r="U626" s="5">
        <v>0</v>
      </c>
      <c r="V626" s="6">
        <f t="shared" si="328"/>
        <v>5500</v>
      </c>
    </row>
    <row r="627" spans="1:22" ht="21.9" customHeight="1">
      <c r="A627" s="37" t="s">
        <v>1842</v>
      </c>
      <c r="B627" s="8" t="s">
        <v>634</v>
      </c>
      <c r="C627" s="2">
        <f t="shared" si="314"/>
        <v>1562000</v>
      </c>
      <c r="D627" s="3">
        <f t="shared" si="326"/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11">
        <v>0</v>
      </c>
      <c r="L627" s="5">
        <v>0</v>
      </c>
      <c r="M627" s="5">
        <v>284</v>
      </c>
      <c r="N627" s="3">
        <f t="shared" si="332"/>
        <v>1562000</v>
      </c>
      <c r="O627" s="5">
        <v>0</v>
      </c>
      <c r="P627" s="5">
        <v>0</v>
      </c>
      <c r="Q627" s="5">
        <v>0</v>
      </c>
      <c r="R627" s="3">
        <f t="shared" si="327"/>
        <v>0</v>
      </c>
      <c r="S627" s="5">
        <v>0</v>
      </c>
      <c r="T627" s="5">
        <v>0</v>
      </c>
      <c r="U627" s="5">
        <v>0</v>
      </c>
      <c r="V627" s="6">
        <f t="shared" si="328"/>
        <v>5500</v>
      </c>
    </row>
    <row r="628" spans="1:22" ht="21.9" customHeight="1">
      <c r="A628" s="37" t="s">
        <v>1843</v>
      </c>
      <c r="B628" s="8" t="s">
        <v>635</v>
      </c>
      <c r="C628" s="2">
        <f t="shared" si="314"/>
        <v>3351149.9999999995</v>
      </c>
      <c r="D628" s="3">
        <f t="shared" si="326"/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11">
        <v>0</v>
      </c>
      <c r="L628" s="5">
        <v>0</v>
      </c>
      <c r="M628" s="5">
        <v>609.29999999999995</v>
      </c>
      <c r="N628" s="3">
        <f t="shared" si="332"/>
        <v>3351149.9999999995</v>
      </c>
      <c r="O628" s="5">
        <v>0</v>
      </c>
      <c r="P628" s="5">
        <v>0</v>
      </c>
      <c r="Q628" s="5">
        <v>0</v>
      </c>
      <c r="R628" s="3">
        <f t="shared" si="327"/>
        <v>0</v>
      </c>
      <c r="S628" s="5">
        <v>0</v>
      </c>
      <c r="T628" s="5">
        <v>0</v>
      </c>
      <c r="U628" s="5">
        <v>0</v>
      </c>
      <c r="V628" s="6">
        <f t="shared" si="328"/>
        <v>5500</v>
      </c>
    </row>
    <row r="629" spans="1:22" ht="21.9" customHeight="1">
      <c r="A629" s="37" t="s">
        <v>1844</v>
      </c>
      <c r="B629" s="24" t="s">
        <v>1037</v>
      </c>
      <c r="C629" s="2">
        <f>D629+L629+N629+P629+R629+S629+T629+U629</f>
        <v>2150913.14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312.19</v>
      </c>
      <c r="N629" s="3">
        <f>M629*5500</f>
        <v>1717045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433868.14</v>
      </c>
      <c r="V629" s="6">
        <f>N629/M629</f>
        <v>5500</v>
      </c>
    </row>
    <row r="630" spans="1:22" ht="21.9" customHeight="1">
      <c r="A630" s="37" t="s">
        <v>1845</v>
      </c>
      <c r="B630" s="8" t="s">
        <v>636</v>
      </c>
      <c r="C630" s="2">
        <f t="shared" si="314"/>
        <v>1705000</v>
      </c>
      <c r="D630" s="3">
        <f t="shared" si="326"/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11">
        <v>0</v>
      </c>
      <c r="L630" s="5">
        <v>0</v>
      </c>
      <c r="M630" s="5">
        <v>310</v>
      </c>
      <c r="N630" s="3">
        <f t="shared" si="332"/>
        <v>1705000</v>
      </c>
      <c r="O630" s="5">
        <v>0</v>
      </c>
      <c r="P630" s="5">
        <v>0</v>
      </c>
      <c r="Q630" s="5">
        <v>0</v>
      </c>
      <c r="R630" s="3">
        <f t="shared" si="327"/>
        <v>0</v>
      </c>
      <c r="S630" s="5">
        <v>0</v>
      </c>
      <c r="T630" s="5">
        <v>0</v>
      </c>
      <c r="U630" s="5">
        <v>0</v>
      </c>
      <c r="V630" s="6">
        <f t="shared" si="328"/>
        <v>5500</v>
      </c>
    </row>
    <row r="631" spans="1:22" ht="21.9" customHeight="1">
      <c r="A631" s="37" t="s">
        <v>1846</v>
      </c>
      <c r="B631" s="8" t="s">
        <v>546</v>
      </c>
      <c r="C631" s="2">
        <f t="shared" si="314"/>
        <v>1699500</v>
      </c>
      <c r="D631" s="3">
        <f t="shared" si="326"/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11">
        <v>0</v>
      </c>
      <c r="L631" s="5">
        <v>0</v>
      </c>
      <c r="M631" s="5">
        <v>309</v>
      </c>
      <c r="N631" s="3">
        <f t="shared" si="332"/>
        <v>1699500</v>
      </c>
      <c r="O631" s="5">
        <v>0</v>
      </c>
      <c r="P631" s="5">
        <v>0</v>
      </c>
      <c r="Q631" s="5">
        <v>0</v>
      </c>
      <c r="R631" s="3">
        <f t="shared" si="327"/>
        <v>0</v>
      </c>
      <c r="S631" s="5">
        <v>0</v>
      </c>
      <c r="T631" s="5">
        <v>0</v>
      </c>
      <c r="U631" s="5">
        <v>0</v>
      </c>
      <c r="V631" s="6">
        <f t="shared" si="328"/>
        <v>5500</v>
      </c>
    </row>
    <row r="632" spans="1:22" ht="21.9" customHeight="1">
      <c r="A632" s="37" t="s">
        <v>1847</v>
      </c>
      <c r="B632" s="8" t="s">
        <v>637</v>
      </c>
      <c r="C632" s="2">
        <f t="shared" si="314"/>
        <v>1628000</v>
      </c>
      <c r="D632" s="3">
        <f t="shared" si="326"/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11">
        <v>0</v>
      </c>
      <c r="L632" s="5">
        <v>0</v>
      </c>
      <c r="M632" s="5">
        <v>296</v>
      </c>
      <c r="N632" s="3">
        <f t="shared" si="332"/>
        <v>1628000</v>
      </c>
      <c r="O632" s="5">
        <v>0</v>
      </c>
      <c r="P632" s="5">
        <v>0</v>
      </c>
      <c r="Q632" s="5">
        <v>0</v>
      </c>
      <c r="R632" s="3">
        <f t="shared" si="327"/>
        <v>0</v>
      </c>
      <c r="S632" s="5">
        <v>0</v>
      </c>
      <c r="T632" s="5">
        <v>0</v>
      </c>
      <c r="U632" s="5">
        <v>0</v>
      </c>
      <c r="V632" s="6">
        <f t="shared" si="328"/>
        <v>5500</v>
      </c>
    </row>
    <row r="633" spans="1:22" ht="21.9" customHeight="1">
      <c r="A633" s="37" t="s">
        <v>1848</v>
      </c>
      <c r="B633" s="8" t="s">
        <v>638</v>
      </c>
      <c r="C633" s="2">
        <f t="shared" si="314"/>
        <v>1435500</v>
      </c>
      <c r="D633" s="3">
        <f t="shared" si="326"/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11">
        <v>0</v>
      </c>
      <c r="L633" s="5">
        <v>0</v>
      </c>
      <c r="M633" s="5">
        <v>261</v>
      </c>
      <c r="N633" s="3">
        <f t="shared" si="332"/>
        <v>1435500</v>
      </c>
      <c r="O633" s="5">
        <v>0</v>
      </c>
      <c r="P633" s="5">
        <v>0</v>
      </c>
      <c r="Q633" s="5">
        <v>0</v>
      </c>
      <c r="R633" s="3">
        <f t="shared" si="327"/>
        <v>0</v>
      </c>
      <c r="S633" s="5">
        <v>0</v>
      </c>
      <c r="T633" s="5">
        <v>0</v>
      </c>
      <c r="U633" s="5">
        <v>0</v>
      </c>
      <c r="V633" s="6">
        <f t="shared" si="328"/>
        <v>5500</v>
      </c>
    </row>
    <row r="634" spans="1:22" ht="21.9" customHeight="1">
      <c r="A634" s="37" t="s">
        <v>1849</v>
      </c>
      <c r="B634" s="8" t="s">
        <v>452</v>
      </c>
      <c r="C634" s="2">
        <f t="shared" si="314"/>
        <v>4348264.43</v>
      </c>
      <c r="D634" s="3">
        <f t="shared" ref="D634" si="333">SUM(E634:J634)</f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717</v>
      </c>
      <c r="N634" s="3">
        <v>4348264.43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6">
        <f t="shared" si="328"/>
        <v>6064.5250069735002</v>
      </c>
    </row>
    <row r="635" spans="1:22" ht="21.9" customHeight="1">
      <c r="A635" s="37" t="s">
        <v>1850</v>
      </c>
      <c r="B635" s="24" t="s">
        <v>1047</v>
      </c>
      <c r="C635" s="2">
        <f>D635+L635+N635+P635+R635+S635+T635+U635</f>
        <v>4295000</v>
      </c>
      <c r="D635" s="3">
        <f>SUM(E635:J635)</f>
        <v>0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4">
        <v>0</v>
      </c>
      <c r="L635" s="3">
        <v>0</v>
      </c>
      <c r="M635" s="3">
        <v>690</v>
      </c>
      <c r="N635" s="3">
        <f>M635*5500</f>
        <v>3795000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500000</v>
      </c>
      <c r="V635" s="6">
        <f>N635/M635</f>
        <v>5500</v>
      </c>
    </row>
    <row r="636" spans="1:22" ht="21.9" customHeight="1">
      <c r="A636" s="37" t="s">
        <v>1851</v>
      </c>
      <c r="B636" s="8" t="s">
        <v>641</v>
      </c>
      <c r="C636" s="2">
        <f>D636+L636+N636+P636+R636+S636+T636+U636</f>
        <v>3771899.9999999995</v>
      </c>
      <c r="D636" s="3">
        <f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11">
        <v>0</v>
      </c>
      <c r="L636" s="5">
        <v>0</v>
      </c>
      <c r="M636" s="5">
        <v>685.8</v>
      </c>
      <c r="N636" s="3">
        <f>M636*5500</f>
        <v>3771899.9999999995</v>
      </c>
      <c r="O636" s="5">
        <v>0</v>
      </c>
      <c r="P636" s="5">
        <v>0</v>
      </c>
      <c r="Q636" s="5">
        <v>0</v>
      </c>
      <c r="R636" s="3">
        <f>Q636*3000</f>
        <v>0</v>
      </c>
      <c r="S636" s="5">
        <v>0</v>
      </c>
      <c r="T636" s="5">
        <v>0</v>
      </c>
      <c r="U636" s="5">
        <v>0</v>
      </c>
      <c r="V636" s="6">
        <f>N636/M636</f>
        <v>5500</v>
      </c>
    </row>
    <row r="637" spans="1:22" ht="21.9" customHeight="1">
      <c r="A637" s="37" t="s">
        <v>1852</v>
      </c>
      <c r="B637" s="8" t="s">
        <v>639</v>
      </c>
      <c r="C637" s="2">
        <f t="shared" si="314"/>
        <v>1575199.9999999998</v>
      </c>
      <c r="D637" s="3">
        <f t="shared" si="326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11">
        <v>0</v>
      </c>
      <c r="L637" s="5">
        <v>0</v>
      </c>
      <c r="M637" s="5">
        <v>286.39999999999998</v>
      </c>
      <c r="N637" s="3">
        <f t="shared" si="332"/>
        <v>1575199.9999999998</v>
      </c>
      <c r="O637" s="5">
        <v>0</v>
      </c>
      <c r="P637" s="5">
        <v>0</v>
      </c>
      <c r="Q637" s="5">
        <v>0</v>
      </c>
      <c r="R637" s="3">
        <f t="shared" si="327"/>
        <v>0</v>
      </c>
      <c r="S637" s="5">
        <v>0</v>
      </c>
      <c r="T637" s="5">
        <v>0</v>
      </c>
      <c r="U637" s="5">
        <v>0</v>
      </c>
      <c r="V637" s="6">
        <f t="shared" si="328"/>
        <v>5500</v>
      </c>
    </row>
    <row r="638" spans="1:22" ht="21.9" customHeight="1">
      <c r="A638" s="37" t="s">
        <v>1853</v>
      </c>
      <c r="B638" s="8" t="s">
        <v>640</v>
      </c>
      <c r="C638" s="2">
        <f t="shared" si="314"/>
        <v>2882000</v>
      </c>
      <c r="D638" s="3">
        <f t="shared" si="326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11">
        <v>0</v>
      </c>
      <c r="L638" s="5">
        <v>0</v>
      </c>
      <c r="M638" s="5">
        <v>524</v>
      </c>
      <c r="N638" s="3">
        <f t="shared" si="332"/>
        <v>2882000</v>
      </c>
      <c r="O638" s="5">
        <v>0</v>
      </c>
      <c r="P638" s="5">
        <v>0</v>
      </c>
      <c r="Q638" s="5">
        <v>0</v>
      </c>
      <c r="R638" s="3">
        <f t="shared" si="327"/>
        <v>0</v>
      </c>
      <c r="S638" s="5">
        <v>0</v>
      </c>
      <c r="T638" s="5">
        <v>0</v>
      </c>
      <c r="U638" s="5">
        <v>0</v>
      </c>
      <c r="V638" s="6">
        <f t="shared" si="328"/>
        <v>5500</v>
      </c>
    </row>
    <row r="639" spans="1:22" ht="21.9" customHeight="1">
      <c r="A639" s="37" t="s">
        <v>1854</v>
      </c>
      <c r="B639" s="8" t="s">
        <v>547</v>
      </c>
      <c r="C639" s="2">
        <f t="shared" si="314"/>
        <v>1949750</v>
      </c>
      <c r="D639" s="3">
        <f t="shared" si="326"/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11">
        <v>0</v>
      </c>
      <c r="L639" s="5">
        <v>0</v>
      </c>
      <c r="M639" s="5">
        <v>354.5</v>
      </c>
      <c r="N639" s="3">
        <f t="shared" si="332"/>
        <v>1949750</v>
      </c>
      <c r="O639" s="5">
        <v>0</v>
      </c>
      <c r="P639" s="5">
        <v>0</v>
      </c>
      <c r="Q639" s="5">
        <v>0</v>
      </c>
      <c r="R639" s="3">
        <f t="shared" si="327"/>
        <v>0</v>
      </c>
      <c r="S639" s="5">
        <v>0</v>
      </c>
      <c r="T639" s="5">
        <v>0</v>
      </c>
      <c r="U639" s="5">
        <v>0</v>
      </c>
      <c r="V639" s="6">
        <f t="shared" si="328"/>
        <v>5500</v>
      </c>
    </row>
    <row r="640" spans="1:22" ht="21.9" customHeight="1">
      <c r="A640" s="37" t="s">
        <v>1855</v>
      </c>
      <c r="B640" s="8" t="s">
        <v>642</v>
      </c>
      <c r="C640" s="2">
        <f t="shared" si="314"/>
        <v>3410000</v>
      </c>
      <c r="D640" s="3">
        <f t="shared" si="326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11">
        <v>0</v>
      </c>
      <c r="L640" s="5">
        <v>0</v>
      </c>
      <c r="M640" s="5">
        <v>620</v>
      </c>
      <c r="N640" s="3">
        <f t="shared" si="332"/>
        <v>3410000</v>
      </c>
      <c r="O640" s="5">
        <v>0</v>
      </c>
      <c r="P640" s="5">
        <v>0</v>
      </c>
      <c r="Q640" s="5">
        <v>0</v>
      </c>
      <c r="R640" s="3">
        <f t="shared" si="327"/>
        <v>0</v>
      </c>
      <c r="S640" s="5">
        <v>0</v>
      </c>
      <c r="T640" s="5">
        <v>0</v>
      </c>
      <c r="U640" s="5">
        <v>0</v>
      </c>
      <c r="V640" s="6">
        <f t="shared" si="328"/>
        <v>5500</v>
      </c>
    </row>
    <row r="641" spans="1:22" ht="21.9" customHeight="1">
      <c r="A641" s="37" t="s">
        <v>1856</v>
      </c>
      <c r="B641" s="8" t="s">
        <v>643</v>
      </c>
      <c r="C641" s="2">
        <f t="shared" si="314"/>
        <v>300000</v>
      </c>
      <c r="D641" s="3">
        <f t="shared" si="326"/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11">
        <v>0</v>
      </c>
      <c r="L641" s="5">
        <v>0</v>
      </c>
      <c r="M641" s="5">
        <v>0</v>
      </c>
      <c r="N641" s="3">
        <f t="shared" si="332"/>
        <v>0</v>
      </c>
      <c r="O641" s="5">
        <v>0</v>
      </c>
      <c r="P641" s="5">
        <v>0</v>
      </c>
      <c r="Q641" s="5">
        <v>0</v>
      </c>
      <c r="R641" s="3">
        <f t="shared" si="327"/>
        <v>0</v>
      </c>
      <c r="S641" s="5">
        <v>0</v>
      </c>
      <c r="T641" s="5">
        <v>0</v>
      </c>
      <c r="U641" s="5">
        <v>300000</v>
      </c>
      <c r="V641" s="6" t="e">
        <f t="shared" si="328"/>
        <v>#DIV/0!</v>
      </c>
    </row>
    <row r="642" spans="1:22" ht="21.9" customHeight="1">
      <c r="A642" s="37" t="s">
        <v>1857</v>
      </c>
      <c r="B642" s="8" t="s">
        <v>433</v>
      </c>
      <c r="C642" s="2">
        <f t="shared" si="314"/>
        <v>6850425</v>
      </c>
      <c r="D642" s="3">
        <f t="shared" si="326"/>
        <v>2010425</v>
      </c>
      <c r="E642" s="3">
        <f>350*855.5</f>
        <v>299425</v>
      </c>
      <c r="F642" s="3">
        <f>1050*855.5</f>
        <v>898275</v>
      </c>
      <c r="G642" s="3">
        <f>300*855.5</f>
        <v>256650</v>
      </c>
      <c r="H642" s="3">
        <f>400*855.5</f>
        <v>342200</v>
      </c>
      <c r="I642" s="3">
        <f>250*855.5</f>
        <v>213875</v>
      </c>
      <c r="J642" s="3">
        <v>0</v>
      </c>
      <c r="K642" s="4">
        <v>0</v>
      </c>
      <c r="L642" s="3">
        <v>0</v>
      </c>
      <c r="M642" s="3">
        <v>480</v>
      </c>
      <c r="N642" s="3">
        <f t="shared" si="332"/>
        <v>2640000</v>
      </c>
      <c r="O642" s="3">
        <v>0</v>
      </c>
      <c r="P642" s="3">
        <v>0</v>
      </c>
      <c r="Q642" s="3">
        <v>700</v>
      </c>
      <c r="R642" s="3">
        <f t="shared" si="327"/>
        <v>2100000</v>
      </c>
      <c r="S642" s="3">
        <v>0</v>
      </c>
      <c r="T642" s="5">
        <v>0</v>
      </c>
      <c r="U642" s="3">
        <v>100000</v>
      </c>
      <c r="V642" s="6">
        <f t="shared" si="328"/>
        <v>5500</v>
      </c>
    </row>
    <row r="643" spans="1:22" ht="21.9" customHeight="1">
      <c r="A643" s="37" t="s">
        <v>1858</v>
      </c>
      <c r="B643" s="8" t="s">
        <v>548</v>
      </c>
      <c r="C643" s="2">
        <f t="shared" si="314"/>
        <v>3080000</v>
      </c>
      <c r="D643" s="3">
        <f t="shared" si="326"/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11">
        <v>0</v>
      </c>
      <c r="L643" s="5">
        <v>0</v>
      </c>
      <c r="M643" s="5">
        <v>560</v>
      </c>
      <c r="N643" s="3">
        <f t="shared" si="332"/>
        <v>3080000</v>
      </c>
      <c r="O643" s="5">
        <v>0</v>
      </c>
      <c r="P643" s="5">
        <v>0</v>
      </c>
      <c r="Q643" s="5">
        <v>0</v>
      </c>
      <c r="R643" s="3">
        <f t="shared" si="327"/>
        <v>0</v>
      </c>
      <c r="S643" s="5">
        <v>0</v>
      </c>
      <c r="T643" s="5">
        <v>0</v>
      </c>
      <c r="U643" s="5">
        <v>0</v>
      </c>
      <c r="V643" s="6">
        <f t="shared" si="328"/>
        <v>5500</v>
      </c>
    </row>
    <row r="644" spans="1:22" ht="21.9" customHeight="1">
      <c r="A644" s="37" t="s">
        <v>1859</v>
      </c>
      <c r="B644" s="23" t="s">
        <v>549</v>
      </c>
      <c r="C644" s="2">
        <f t="shared" ref="C644:C713" si="334">D644+L644+N644+P644+R644+S644+T644+U644</f>
        <v>3905000</v>
      </c>
      <c r="D644" s="3">
        <f t="shared" si="326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11">
        <v>0</v>
      </c>
      <c r="L644" s="5">
        <v>0</v>
      </c>
      <c r="M644" s="5">
        <v>710</v>
      </c>
      <c r="N644" s="3">
        <f t="shared" si="332"/>
        <v>3905000</v>
      </c>
      <c r="O644" s="5">
        <v>0</v>
      </c>
      <c r="P644" s="5">
        <v>0</v>
      </c>
      <c r="Q644" s="5">
        <v>0</v>
      </c>
      <c r="R644" s="3">
        <f t="shared" si="327"/>
        <v>0</v>
      </c>
      <c r="S644" s="5">
        <v>0</v>
      </c>
      <c r="T644" s="5">
        <v>0</v>
      </c>
      <c r="U644" s="5">
        <v>0</v>
      </c>
      <c r="V644" s="6">
        <f t="shared" si="328"/>
        <v>5500</v>
      </c>
    </row>
    <row r="645" spans="1:22" ht="21.9" customHeight="1">
      <c r="A645" s="37" t="s">
        <v>1860</v>
      </c>
      <c r="B645" s="23" t="s">
        <v>550</v>
      </c>
      <c r="C645" s="2">
        <f t="shared" si="334"/>
        <v>3877500</v>
      </c>
      <c r="D645" s="3">
        <f t="shared" si="326"/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11">
        <v>0</v>
      </c>
      <c r="L645" s="5">
        <v>0</v>
      </c>
      <c r="M645" s="5">
        <v>705</v>
      </c>
      <c r="N645" s="3">
        <f t="shared" si="332"/>
        <v>3877500</v>
      </c>
      <c r="O645" s="5">
        <v>0</v>
      </c>
      <c r="P645" s="5">
        <v>0</v>
      </c>
      <c r="Q645" s="5">
        <v>0</v>
      </c>
      <c r="R645" s="3">
        <f t="shared" si="327"/>
        <v>0</v>
      </c>
      <c r="S645" s="5">
        <v>0</v>
      </c>
      <c r="T645" s="5">
        <v>0</v>
      </c>
      <c r="U645" s="5">
        <v>0</v>
      </c>
      <c r="V645" s="6">
        <f t="shared" si="328"/>
        <v>5500</v>
      </c>
    </row>
    <row r="646" spans="1:22" ht="21.9" customHeight="1">
      <c r="A646" s="37" t="s">
        <v>1861</v>
      </c>
      <c r="B646" s="24" t="s">
        <v>1048</v>
      </c>
      <c r="C646" s="2">
        <f t="shared" ref="C646:C651" si="335">D646+L646+N646+P646+R646+S646+T646+U646</f>
        <v>15514058.279999999</v>
      </c>
      <c r="D646" s="3">
        <f t="shared" ref="D646:D651" si="336">SUM(E646:J646)</f>
        <v>0</v>
      </c>
      <c r="E646" s="3">
        <v>0</v>
      </c>
      <c r="F646" s="3">
        <v>0</v>
      </c>
      <c r="G646" s="3">
        <v>0</v>
      </c>
      <c r="H646" s="3">
        <v>0</v>
      </c>
      <c r="I646" s="3">
        <v>0</v>
      </c>
      <c r="J646" s="3">
        <v>0</v>
      </c>
      <c r="K646" s="4">
        <v>0</v>
      </c>
      <c r="L646" s="3">
        <v>0</v>
      </c>
      <c r="M646" s="3">
        <v>1081</v>
      </c>
      <c r="N646" s="3">
        <f>M646*5500</f>
        <v>5945500</v>
      </c>
      <c r="O646" s="3">
        <v>0</v>
      </c>
      <c r="P646" s="3">
        <v>0</v>
      </c>
      <c r="Q646" s="3">
        <v>2900</v>
      </c>
      <c r="R646" s="3">
        <f>Q646*3000</f>
        <v>8700000</v>
      </c>
      <c r="S646" s="3">
        <v>0</v>
      </c>
      <c r="T646" s="3">
        <v>0</v>
      </c>
      <c r="U646" s="3">
        <v>868558.28</v>
      </c>
      <c r="V646" s="6">
        <f t="shared" ref="V646:V651" si="337">N646/M646</f>
        <v>5500</v>
      </c>
    </row>
    <row r="647" spans="1:22" ht="21.9" customHeight="1">
      <c r="A647" s="37" t="s">
        <v>1862</v>
      </c>
      <c r="B647" s="8" t="s">
        <v>383</v>
      </c>
      <c r="C647" s="2">
        <f t="shared" si="335"/>
        <v>26010061.449999999</v>
      </c>
      <c r="D647" s="3">
        <f t="shared" si="336"/>
        <v>8565750</v>
      </c>
      <c r="E647" s="3">
        <f>350*3645</f>
        <v>1275750</v>
      </c>
      <c r="F647" s="3">
        <f>1050*3645</f>
        <v>3827250</v>
      </c>
      <c r="G647" s="3">
        <f>300*3645</f>
        <v>1093500</v>
      </c>
      <c r="H647" s="3">
        <f>400*3645</f>
        <v>1458000</v>
      </c>
      <c r="I647" s="3">
        <f>250*3645</f>
        <v>911250</v>
      </c>
      <c r="J647" s="3">
        <f>350*0</f>
        <v>0</v>
      </c>
      <c r="K647" s="4">
        <v>0</v>
      </c>
      <c r="L647" s="3">
        <v>0</v>
      </c>
      <c r="M647" s="3">
        <v>1296</v>
      </c>
      <c r="N647" s="3">
        <f>M647*5500</f>
        <v>7128000</v>
      </c>
      <c r="O647" s="3">
        <v>0</v>
      </c>
      <c r="P647" s="3">
        <v>0</v>
      </c>
      <c r="Q647" s="3">
        <v>3020</v>
      </c>
      <c r="R647" s="3">
        <f>Q647*3000</f>
        <v>9060000</v>
      </c>
      <c r="S647" s="3">
        <v>0</v>
      </c>
      <c r="T647" s="3">
        <v>0</v>
      </c>
      <c r="U647" s="3">
        <v>1256311.45</v>
      </c>
      <c r="V647" s="6">
        <f t="shared" si="337"/>
        <v>5500</v>
      </c>
    </row>
    <row r="648" spans="1:22" ht="21.9" customHeight="1">
      <c r="A648" s="37" t="s">
        <v>1863</v>
      </c>
      <c r="B648" s="24" t="s">
        <v>1049</v>
      </c>
      <c r="C648" s="2">
        <f t="shared" si="335"/>
        <v>10908068.98</v>
      </c>
      <c r="D648" s="3">
        <f t="shared" si="336"/>
        <v>0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4">
        <v>0</v>
      </c>
      <c r="L648" s="3">
        <v>0</v>
      </c>
      <c r="M648" s="3">
        <v>637</v>
      </c>
      <c r="N648" s="3">
        <f>M648*5500</f>
        <v>3503500</v>
      </c>
      <c r="O648" s="3">
        <v>0</v>
      </c>
      <c r="P648" s="3">
        <v>0</v>
      </c>
      <c r="Q648" s="3">
        <v>2200</v>
      </c>
      <c r="R648" s="3">
        <f>Q648*3000</f>
        <v>6600000</v>
      </c>
      <c r="S648" s="3">
        <v>0</v>
      </c>
      <c r="T648" s="3">
        <v>0</v>
      </c>
      <c r="U648" s="3">
        <v>804568.98</v>
      </c>
      <c r="V648" s="6">
        <f t="shared" si="337"/>
        <v>5500</v>
      </c>
    </row>
    <row r="649" spans="1:22" ht="21.9" customHeight="1">
      <c r="A649" s="37" t="s">
        <v>1864</v>
      </c>
      <c r="B649" s="8" t="s">
        <v>390</v>
      </c>
      <c r="C649" s="2">
        <f t="shared" si="335"/>
        <v>6741805</v>
      </c>
      <c r="D649" s="3">
        <f t="shared" si="336"/>
        <v>6641805</v>
      </c>
      <c r="E649" s="3">
        <f>350*2826.3</f>
        <v>989205.00000000012</v>
      </c>
      <c r="F649" s="3">
        <f>1050*2826.3</f>
        <v>2967615</v>
      </c>
      <c r="G649" s="3">
        <f>300*2826.3</f>
        <v>847890</v>
      </c>
      <c r="H649" s="3">
        <f>400*2826.3</f>
        <v>1130520</v>
      </c>
      <c r="I649" s="3">
        <f>250*2826.3</f>
        <v>706575</v>
      </c>
      <c r="J649" s="3">
        <f>350*0</f>
        <v>0</v>
      </c>
      <c r="K649" s="4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100000</v>
      </c>
      <c r="V649" s="6" t="e">
        <f t="shared" si="337"/>
        <v>#DIV/0!</v>
      </c>
    </row>
    <row r="650" spans="1:22" ht="21.9" customHeight="1">
      <c r="A650" s="37" t="s">
        <v>1865</v>
      </c>
      <c r="B650" s="8" t="s">
        <v>454</v>
      </c>
      <c r="C650" s="2">
        <f t="shared" si="335"/>
        <v>12084060</v>
      </c>
      <c r="D650" s="3">
        <f t="shared" si="336"/>
        <v>11984060</v>
      </c>
      <c r="E650" s="3">
        <f>350*5099.6</f>
        <v>1784860.0000000002</v>
      </c>
      <c r="F650" s="3">
        <f>1050*5099.6</f>
        <v>5354580</v>
      </c>
      <c r="G650" s="3">
        <f>300*5099.6</f>
        <v>1529880</v>
      </c>
      <c r="H650" s="3">
        <f>400*5099.6</f>
        <v>2039840.0000000002</v>
      </c>
      <c r="I650" s="3">
        <f>250*5099.6</f>
        <v>1274900</v>
      </c>
      <c r="J650" s="3">
        <f>350*0</f>
        <v>0</v>
      </c>
      <c r="K650" s="4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100000</v>
      </c>
      <c r="V650" s="6" t="e">
        <f t="shared" si="337"/>
        <v>#DIV/0!</v>
      </c>
    </row>
    <row r="651" spans="1:22" ht="21.9" customHeight="1">
      <c r="A651" s="37" t="s">
        <v>1866</v>
      </c>
      <c r="B651" s="8" t="s">
        <v>401</v>
      </c>
      <c r="C651" s="2">
        <f t="shared" si="335"/>
        <v>2242614.54</v>
      </c>
      <c r="D651" s="3">
        <f t="shared" si="336"/>
        <v>2242614.54</v>
      </c>
      <c r="E651" s="3">
        <v>520846.5</v>
      </c>
      <c r="F651" s="3">
        <v>1069624.2</v>
      </c>
      <c r="G651" s="3">
        <v>296593.74</v>
      </c>
      <c r="H651" s="3">
        <v>0</v>
      </c>
      <c r="I651" s="3">
        <v>355550.1</v>
      </c>
      <c r="J651" s="3">
        <f>350*0</f>
        <v>0</v>
      </c>
      <c r="K651" s="4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6" t="e">
        <f t="shared" si="337"/>
        <v>#DIV/0!</v>
      </c>
    </row>
    <row r="652" spans="1:22" ht="21.9" customHeight="1">
      <c r="A652" s="37" t="s">
        <v>1867</v>
      </c>
      <c r="B652" s="8" t="s">
        <v>551</v>
      </c>
      <c r="C652" s="2">
        <f t="shared" si="334"/>
        <v>19102850</v>
      </c>
      <c r="D652" s="3">
        <f t="shared" si="326"/>
        <v>9942850</v>
      </c>
      <c r="E652" s="3">
        <f>350*4231</f>
        <v>1480850</v>
      </c>
      <c r="F652" s="3">
        <f>1050*4231</f>
        <v>4442550</v>
      </c>
      <c r="G652" s="3">
        <f>300*4231</f>
        <v>1269300</v>
      </c>
      <c r="H652" s="3">
        <f>400*4231</f>
        <v>1692400</v>
      </c>
      <c r="I652" s="3">
        <f>250*4231</f>
        <v>1057750</v>
      </c>
      <c r="J652" s="3">
        <v>0</v>
      </c>
      <c r="K652" s="11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3020</v>
      </c>
      <c r="R652" s="3">
        <f t="shared" si="327"/>
        <v>9060000</v>
      </c>
      <c r="S652" s="5">
        <v>0</v>
      </c>
      <c r="T652" s="5">
        <v>0</v>
      </c>
      <c r="U652" s="5">
        <v>100000</v>
      </c>
      <c r="V652" s="6" t="e">
        <f t="shared" si="328"/>
        <v>#DIV/0!</v>
      </c>
    </row>
    <row r="653" spans="1:22" ht="21.9" customHeight="1">
      <c r="A653" s="37" t="s">
        <v>1868</v>
      </c>
      <c r="B653" s="8" t="s">
        <v>455</v>
      </c>
      <c r="C653" s="2">
        <f t="shared" si="334"/>
        <v>652509.77</v>
      </c>
      <c r="D653" s="3">
        <f t="shared" ref="D653" si="338">SUM(E653:J653)</f>
        <v>652509.77</v>
      </c>
      <c r="E653" s="3">
        <v>652509.77</v>
      </c>
      <c r="F653" s="3">
        <v>0</v>
      </c>
      <c r="G653" s="3">
        <v>0</v>
      </c>
      <c r="H653" s="3">
        <v>0</v>
      </c>
      <c r="I653" s="3">
        <v>0</v>
      </c>
      <c r="J653" s="3">
        <f>350*0</f>
        <v>0</v>
      </c>
      <c r="K653" s="4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6" t="e">
        <f t="shared" si="328"/>
        <v>#DIV/0!</v>
      </c>
    </row>
    <row r="654" spans="1:22" ht="21.9" customHeight="1">
      <c r="A654" s="37" t="s">
        <v>1869</v>
      </c>
      <c r="B654" s="8" t="s">
        <v>377</v>
      </c>
      <c r="C654" s="2">
        <f>D654+L654+N654+P654+R654+S654+T654+U654</f>
        <v>4023750</v>
      </c>
      <c r="D654" s="3">
        <f>SUM(E654:J654)</f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4">
        <v>0</v>
      </c>
      <c r="L654" s="3">
        <v>0</v>
      </c>
      <c r="M654" s="3">
        <v>622.5</v>
      </c>
      <c r="N654" s="3">
        <f>M654*5500</f>
        <v>3423750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600000</v>
      </c>
      <c r="V654" s="6">
        <f>N654/M654</f>
        <v>5500</v>
      </c>
    </row>
    <row r="655" spans="1:22" ht="21.9" customHeight="1">
      <c r="A655" s="37" t="s">
        <v>1870</v>
      </c>
      <c r="B655" s="23" t="s">
        <v>645</v>
      </c>
      <c r="C655" s="2">
        <f>D655+L655+N655+P655+R655+S655+T655+U655</f>
        <v>3853300</v>
      </c>
      <c r="D655" s="3">
        <f>SUM(E655:J655)</f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11">
        <v>0</v>
      </c>
      <c r="L655" s="5">
        <v>0</v>
      </c>
      <c r="M655" s="5">
        <v>700.6</v>
      </c>
      <c r="N655" s="3">
        <f>M655*5500</f>
        <v>3853300</v>
      </c>
      <c r="O655" s="5">
        <v>0</v>
      </c>
      <c r="P655" s="5">
        <v>0</v>
      </c>
      <c r="Q655" s="5">
        <v>0</v>
      </c>
      <c r="R655" s="3">
        <f>Q655*3000</f>
        <v>0</v>
      </c>
      <c r="S655" s="5">
        <v>0</v>
      </c>
      <c r="T655" s="5">
        <v>0</v>
      </c>
      <c r="U655" s="5">
        <v>0</v>
      </c>
      <c r="V655" s="6">
        <f>N655/M655</f>
        <v>5500</v>
      </c>
    </row>
    <row r="656" spans="1:22" ht="21.9" customHeight="1">
      <c r="A656" s="37" t="s">
        <v>1871</v>
      </c>
      <c r="B656" s="23" t="s">
        <v>644</v>
      </c>
      <c r="C656" s="2">
        <f t="shared" si="334"/>
        <v>4922500</v>
      </c>
      <c r="D656" s="3">
        <f t="shared" si="326"/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11">
        <v>0</v>
      </c>
      <c r="L656" s="5">
        <v>0</v>
      </c>
      <c r="M656" s="5">
        <v>895</v>
      </c>
      <c r="N656" s="3">
        <f t="shared" ref="N656:N658" si="339">M656*5500</f>
        <v>4922500</v>
      </c>
      <c r="O656" s="5">
        <v>0</v>
      </c>
      <c r="P656" s="5">
        <v>0</v>
      </c>
      <c r="Q656" s="5">
        <v>0</v>
      </c>
      <c r="R656" s="3">
        <f t="shared" si="327"/>
        <v>0</v>
      </c>
      <c r="S656" s="5">
        <v>0</v>
      </c>
      <c r="T656" s="5">
        <v>0</v>
      </c>
      <c r="U656" s="5">
        <v>0</v>
      </c>
      <c r="V656" s="6">
        <f t="shared" si="328"/>
        <v>5500</v>
      </c>
    </row>
    <row r="657" spans="1:22" ht="21.9" customHeight="1">
      <c r="A657" s="37" t="s">
        <v>1872</v>
      </c>
      <c r="B657" s="8" t="s">
        <v>467</v>
      </c>
      <c r="C657" s="2">
        <f t="shared" si="334"/>
        <v>1782000</v>
      </c>
      <c r="D657" s="3">
        <f t="shared" si="326"/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324</v>
      </c>
      <c r="N657" s="3">
        <f t="shared" si="339"/>
        <v>1782000</v>
      </c>
      <c r="O657" s="3">
        <v>0</v>
      </c>
      <c r="P657" s="3">
        <v>0</v>
      </c>
      <c r="Q657" s="3">
        <v>0</v>
      </c>
      <c r="R657" s="3">
        <f t="shared" si="327"/>
        <v>0</v>
      </c>
      <c r="S657" s="3">
        <v>0</v>
      </c>
      <c r="T657" s="5">
        <v>0</v>
      </c>
      <c r="U657" s="3">
        <v>0</v>
      </c>
      <c r="V657" s="6">
        <f t="shared" si="328"/>
        <v>5500</v>
      </c>
    </row>
    <row r="658" spans="1:22" ht="21.9" customHeight="1">
      <c r="A658" s="37" t="s">
        <v>1873</v>
      </c>
      <c r="B658" s="8" t="s">
        <v>402</v>
      </c>
      <c r="C658" s="2">
        <f t="shared" si="334"/>
        <v>5318292</v>
      </c>
      <c r="D658" s="3">
        <f t="shared" si="326"/>
        <v>968292</v>
      </c>
      <c r="E658" s="5">
        <f>350*496.56</f>
        <v>173796</v>
      </c>
      <c r="F658" s="5">
        <f>1050*496.56</f>
        <v>521388</v>
      </c>
      <c r="G658" s="5">
        <f>300*496.56</f>
        <v>148968</v>
      </c>
      <c r="H658" s="5">
        <f>400*0</f>
        <v>0</v>
      </c>
      <c r="I658" s="5">
        <f>250*496.56</f>
        <v>124140</v>
      </c>
      <c r="J658" s="5">
        <f>350*0</f>
        <v>0</v>
      </c>
      <c r="K658" s="4">
        <v>0</v>
      </c>
      <c r="L658" s="3">
        <v>0</v>
      </c>
      <c r="M658" s="3">
        <v>500</v>
      </c>
      <c r="N658" s="3">
        <f t="shared" si="339"/>
        <v>2750000</v>
      </c>
      <c r="O658" s="3">
        <v>0</v>
      </c>
      <c r="P658" s="3">
        <v>0</v>
      </c>
      <c r="Q658" s="3">
        <v>500</v>
      </c>
      <c r="R658" s="3">
        <f t="shared" si="327"/>
        <v>1500000</v>
      </c>
      <c r="S658" s="3">
        <v>0</v>
      </c>
      <c r="T658" s="5">
        <v>0</v>
      </c>
      <c r="U658" s="3">
        <v>100000</v>
      </c>
      <c r="V658" s="6">
        <f t="shared" si="328"/>
        <v>5500</v>
      </c>
    </row>
    <row r="659" spans="1:22" ht="21.9" customHeight="1">
      <c r="A659" s="37" t="s">
        <v>1874</v>
      </c>
      <c r="B659" s="8" t="s">
        <v>646</v>
      </c>
      <c r="C659" s="2">
        <f t="shared" si="334"/>
        <v>3410153.43</v>
      </c>
      <c r="D659" s="3">
        <f t="shared" si="326"/>
        <v>3251695</v>
      </c>
      <c r="E659" s="3">
        <f>350*1383.7</f>
        <v>484295</v>
      </c>
      <c r="F659" s="3">
        <f>1050*1383.7</f>
        <v>1452885</v>
      </c>
      <c r="G659" s="3">
        <f>300*1383.7</f>
        <v>415110</v>
      </c>
      <c r="H659" s="3">
        <f>400*1383.7</f>
        <v>553480</v>
      </c>
      <c r="I659" s="3">
        <f>250*1383.7</f>
        <v>345925</v>
      </c>
      <c r="J659" s="3">
        <v>0</v>
      </c>
      <c r="K659" s="11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3">
        <f t="shared" si="327"/>
        <v>0</v>
      </c>
      <c r="S659" s="5">
        <v>0</v>
      </c>
      <c r="T659" s="5">
        <v>0</v>
      </c>
      <c r="U659" s="5">
        <v>158458.43</v>
      </c>
      <c r="V659" s="6" t="e">
        <f t="shared" si="328"/>
        <v>#DIV/0!</v>
      </c>
    </row>
    <row r="660" spans="1:22" ht="21.9" customHeight="1">
      <c r="A660" s="37" t="s">
        <v>1875</v>
      </c>
      <c r="B660" s="8" t="s">
        <v>552</v>
      </c>
      <c r="C660" s="2">
        <f t="shared" si="334"/>
        <v>6039728.04</v>
      </c>
      <c r="D660" s="3">
        <f t="shared" si="326"/>
        <v>5827342</v>
      </c>
      <c r="E660" s="3">
        <f>350*2479.72</f>
        <v>867901.99999999988</v>
      </c>
      <c r="F660" s="3">
        <f>1050*2479.72</f>
        <v>2603706</v>
      </c>
      <c r="G660" s="3">
        <f>300*2479.72</f>
        <v>743915.99999999988</v>
      </c>
      <c r="H660" s="3">
        <f>400*2479.72</f>
        <v>991887.99999999988</v>
      </c>
      <c r="I660" s="3">
        <f>250*2479.72</f>
        <v>619930</v>
      </c>
      <c r="J660" s="3">
        <v>0</v>
      </c>
      <c r="K660" s="11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3">
        <f t="shared" si="327"/>
        <v>0</v>
      </c>
      <c r="S660" s="5">
        <v>0</v>
      </c>
      <c r="T660" s="5">
        <v>0</v>
      </c>
      <c r="U660" s="5">
        <v>212386.04</v>
      </c>
      <c r="V660" s="6" t="e">
        <f t="shared" si="328"/>
        <v>#DIV/0!</v>
      </c>
    </row>
    <row r="661" spans="1:22" ht="21.9" customHeight="1">
      <c r="A661" s="37" t="s">
        <v>1876</v>
      </c>
      <c r="B661" s="8" t="s">
        <v>647</v>
      </c>
      <c r="C661" s="2">
        <f t="shared" si="334"/>
        <v>2878729.18</v>
      </c>
      <c r="D661" s="3">
        <f t="shared" si="326"/>
        <v>2718495</v>
      </c>
      <c r="E661" s="3">
        <f>350*1394.1</f>
        <v>487934.99999999994</v>
      </c>
      <c r="F661" s="3">
        <f>1050*1394.1</f>
        <v>1463805</v>
      </c>
      <c r="G661" s="3">
        <f>300*1394.1</f>
        <v>418230</v>
      </c>
      <c r="H661" s="3">
        <v>0</v>
      </c>
      <c r="I661" s="3">
        <f>250*1394.1</f>
        <v>348525</v>
      </c>
      <c r="J661" s="3">
        <v>0</v>
      </c>
      <c r="K661" s="11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3">
        <f t="shared" si="327"/>
        <v>0</v>
      </c>
      <c r="S661" s="5">
        <v>0</v>
      </c>
      <c r="T661" s="5">
        <v>0</v>
      </c>
      <c r="U661" s="5">
        <v>160234.18</v>
      </c>
      <c r="V661" s="6" t="e">
        <f t="shared" si="328"/>
        <v>#DIV/0!</v>
      </c>
    </row>
    <row r="662" spans="1:22" ht="21.9" customHeight="1">
      <c r="A662" s="37" t="s">
        <v>1877</v>
      </c>
      <c r="B662" s="8" t="s">
        <v>648</v>
      </c>
      <c r="C662" s="2">
        <f t="shared" si="334"/>
        <v>2871542.15</v>
      </c>
      <c r="D662" s="3">
        <f t="shared" si="326"/>
        <v>2711767.5</v>
      </c>
      <c r="E662" s="3">
        <f>350*1390.65</f>
        <v>486727.50000000006</v>
      </c>
      <c r="F662" s="3">
        <f>1050*1390.65</f>
        <v>1460182.5</v>
      </c>
      <c r="G662" s="3">
        <f>300*1390.65</f>
        <v>417195</v>
      </c>
      <c r="H662" s="3">
        <v>0</v>
      </c>
      <c r="I662" s="3">
        <f>250*1390.65</f>
        <v>347662.5</v>
      </c>
      <c r="J662" s="3">
        <v>0</v>
      </c>
      <c r="K662" s="11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3">
        <f t="shared" si="327"/>
        <v>0</v>
      </c>
      <c r="S662" s="5">
        <v>0</v>
      </c>
      <c r="T662" s="5">
        <v>0</v>
      </c>
      <c r="U662" s="5">
        <v>159774.65</v>
      </c>
      <c r="V662" s="6" t="e">
        <f t="shared" si="328"/>
        <v>#DIV/0!</v>
      </c>
    </row>
    <row r="663" spans="1:22" ht="21.9" customHeight="1">
      <c r="A663" s="37" t="s">
        <v>1878</v>
      </c>
      <c r="B663" s="8" t="s">
        <v>553</v>
      </c>
      <c r="C663" s="2">
        <f t="shared" si="334"/>
        <v>300000</v>
      </c>
      <c r="D663" s="3">
        <f t="shared" si="326"/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11">
        <v>0</v>
      </c>
      <c r="L663" s="5">
        <v>0</v>
      </c>
      <c r="M663" s="5">
        <v>0</v>
      </c>
      <c r="N663" s="3">
        <f t="shared" ref="N663" si="340">M663*5500</f>
        <v>0</v>
      </c>
      <c r="O663" s="5">
        <v>0</v>
      </c>
      <c r="P663" s="5">
        <v>0</v>
      </c>
      <c r="Q663" s="5">
        <v>0</v>
      </c>
      <c r="R663" s="3">
        <f t="shared" si="327"/>
        <v>0</v>
      </c>
      <c r="S663" s="5">
        <v>0</v>
      </c>
      <c r="T663" s="5">
        <v>0</v>
      </c>
      <c r="U663" s="5">
        <v>300000</v>
      </c>
      <c r="V663" s="6" t="e">
        <f t="shared" si="328"/>
        <v>#DIV/0!</v>
      </c>
    </row>
    <row r="664" spans="1:22" ht="21.9" customHeight="1">
      <c r="A664" s="37" t="s">
        <v>1879</v>
      </c>
      <c r="B664" s="8" t="s">
        <v>649</v>
      </c>
      <c r="C664" s="2">
        <f t="shared" si="334"/>
        <v>1529000</v>
      </c>
      <c r="D664" s="3">
        <f t="shared" si="326"/>
        <v>0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11">
        <v>0</v>
      </c>
      <c r="L664" s="5">
        <v>0</v>
      </c>
      <c r="M664" s="5">
        <v>278</v>
      </c>
      <c r="N664" s="3">
        <f t="shared" ref="N664:N681" si="341">M664*5500</f>
        <v>1529000</v>
      </c>
      <c r="O664" s="5">
        <v>0</v>
      </c>
      <c r="P664" s="5">
        <v>0</v>
      </c>
      <c r="Q664" s="5">
        <v>0</v>
      </c>
      <c r="R664" s="3">
        <f t="shared" si="327"/>
        <v>0</v>
      </c>
      <c r="S664" s="5">
        <v>0</v>
      </c>
      <c r="T664" s="5">
        <v>0</v>
      </c>
      <c r="U664" s="5">
        <v>0</v>
      </c>
      <c r="V664" s="6">
        <f t="shared" si="328"/>
        <v>5500</v>
      </c>
    </row>
    <row r="665" spans="1:22" ht="21.9" customHeight="1">
      <c r="A665" s="37" t="s">
        <v>1880</v>
      </c>
      <c r="B665" s="8" t="s">
        <v>650</v>
      </c>
      <c r="C665" s="2">
        <f t="shared" si="334"/>
        <v>4983000</v>
      </c>
      <c r="D665" s="3">
        <f t="shared" si="326"/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11">
        <v>0</v>
      </c>
      <c r="L665" s="5">
        <v>0</v>
      </c>
      <c r="M665" s="5">
        <v>906</v>
      </c>
      <c r="N665" s="3">
        <f t="shared" si="341"/>
        <v>4983000</v>
      </c>
      <c r="O665" s="5">
        <v>0</v>
      </c>
      <c r="P665" s="5">
        <v>0</v>
      </c>
      <c r="Q665" s="5">
        <v>0</v>
      </c>
      <c r="R665" s="3">
        <f t="shared" si="327"/>
        <v>0</v>
      </c>
      <c r="S665" s="5">
        <v>0</v>
      </c>
      <c r="T665" s="5">
        <v>0</v>
      </c>
      <c r="U665" s="5">
        <v>0</v>
      </c>
      <c r="V665" s="6">
        <f t="shared" si="328"/>
        <v>5500</v>
      </c>
    </row>
    <row r="666" spans="1:22" ht="21.9" customHeight="1">
      <c r="A666" s="37" t="s">
        <v>1881</v>
      </c>
      <c r="B666" s="8" t="s">
        <v>554</v>
      </c>
      <c r="C666" s="2">
        <f t="shared" si="334"/>
        <v>1942600</v>
      </c>
      <c r="D666" s="3">
        <f t="shared" si="326"/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11">
        <v>0</v>
      </c>
      <c r="L666" s="5">
        <v>0</v>
      </c>
      <c r="M666" s="5">
        <v>353.2</v>
      </c>
      <c r="N666" s="3">
        <f t="shared" si="341"/>
        <v>1942600</v>
      </c>
      <c r="O666" s="5">
        <v>0</v>
      </c>
      <c r="P666" s="5">
        <v>0</v>
      </c>
      <c r="Q666" s="5">
        <v>0</v>
      </c>
      <c r="R666" s="3">
        <f t="shared" si="327"/>
        <v>0</v>
      </c>
      <c r="S666" s="5">
        <v>0</v>
      </c>
      <c r="T666" s="5">
        <v>0</v>
      </c>
      <c r="U666" s="5">
        <v>0</v>
      </c>
      <c r="V666" s="6">
        <f t="shared" si="328"/>
        <v>5500</v>
      </c>
    </row>
    <row r="667" spans="1:22" ht="21.9" customHeight="1">
      <c r="A667" s="37" t="s">
        <v>1882</v>
      </c>
      <c r="B667" s="8" t="s">
        <v>457</v>
      </c>
      <c r="C667" s="2">
        <f t="shared" si="334"/>
        <v>4888007.1500000004</v>
      </c>
      <c r="D667" s="3">
        <f t="shared" ref="D667" si="342">SUM(E667:J667)</f>
        <v>0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4">
        <v>0</v>
      </c>
      <c r="L667" s="3">
        <v>0</v>
      </c>
      <c r="M667" s="3">
        <v>806</v>
      </c>
      <c r="N667" s="3">
        <v>4888007.1500000004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6">
        <f t="shared" si="328"/>
        <v>6064.5250000000005</v>
      </c>
    </row>
    <row r="668" spans="1:22" ht="21.9" customHeight="1">
      <c r="A668" s="37" t="s">
        <v>1883</v>
      </c>
      <c r="B668" s="8" t="s">
        <v>555</v>
      </c>
      <c r="C668" s="2">
        <f t="shared" si="334"/>
        <v>3550323</v>
      </c>
      <c r="D668" s="3">
        <f t="shared" si="326"/>
        <v>836823</v>
      </c>
      <c r="E668" s="3">
        <f>350*429.14</f>
        <v>150199</v>
      </c>
      <c r="F668" s="3">
        <f>1050*429.14</f>
        <v>450597</v>
      </c>
      <c r="G668" s="3">
        <f>300*429.14</f>
        <v>128742</v>
      </c>
      <c r="H668" s="3">
        <v>0</v>
      </c>
      <c r="I668" s="3">
        <f>250*429.14</f>
        <v>107285</v>
      </c>
      <c r="J668" s="3">
        <v>0</v>
      </c>
      <c r="K668" s="11">
        <v>0</v>
      </c>
      <c r="L668" s="5">
        <v>0</v>
      </c>
      <c r="M668" s="5">
        <v>251</v>
      </c>
      <c r="N668" s="3">
        <f t="shared" si="341"/>
        <v>1380500</v>
      </c>
      <c r="O668" s="5">
        <v>0</v>
      </c>
      <c r="P668" s="5">
        <v>0</v>
      </c>
      <c r="Q668" s="5">
        <v>411</v>
      </c>
      <c r="R668" s="3">
        <f t="shared" si="327"/>
        <v>1233000</v>
      </c>
      <c r="S668" s="5">
        <v>0</v>
      </c>
      <c r="T668" s="5">
        <v>0</v>
      </c>
      <c r="U668" s="5">
        <v>100000</v>
      </c>
      <c r="V668" s="6">
        <f t="shared" si="328"/>
        <v>5500</v>
      </c>
    </row>
    <row r="669" spans="1:22" ht="21.9" customHeight="1">
      <c r="A669" s="37" t="s">
        <v>1884</v>
      </c>
      <c r="B669" s="8" t="s">
        <v>651</v>
      </c>
      <c r="C669" s="2">
        <f t="shared" si="334"/>
        <v>2502500</v>
      </c>
      <c r="D669" s="3">
        <f t="shared" si="326"/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11">
        <v>0</v>
      </c>
      <c r="L669" s="5">
        <v>0</v>
      </c>
      <c r="M669" s="5">
        <v>455</v>
      </c>
      <c r="N669" s="3">
        <f t="shared" si="341"/>
        <v>2502500</v>
      </c>
      <c r="O669" s="5">
        <v>0</v>
      </c>
      <c r="P669" s="5">
        <v>0</v>
      </c>
      <c r="Q669" s="5">
        <v>0</v>
      </c>
      <c r="R669" s="3">
        <f t="shared" si="327"/>
        <v>0</v>
      </c>
      <c r="S669" s="5">
        <v>0</v>
      </c>
      <c r="T669" s="5">
        <v>0</v>
      </c>
      <c r="U669" s="5">
        <v>0</v>
      </c>
      <c r="V669" s="6">
        <f t="shared" si="328"/>
        <v>5500</v>
      </c>
    </row>
    <row r="670" spans="1:22" ht="21.9" customHeight="1">
      <c r="A670" s="37" t="s">
        <v>1885</v>
      </c>
      <c r="B670" s="24" t="s">
        <v>1069</v>
      </c>
      <c r="C670" s="2">
        <f>D670+L670+N670+P670+R670+S670+T670+U670</f>
        <v>1914000</v>
      </c>
      <c r="D670" s="3">
        <f>SUM(E670:J670)</f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348</v>
      </c>
      <c r="N670" s="3">
        <f>M670*5500</f>
        <v>1914000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6">
        <f>N670/M670</f>
        <v>5500</v>
      </c>
    </row>
    <row r="671" spans="1:22" ht="21.9" customHeight="1">
      <c r="A671" s="37" t="s">
        <v>1886</v>
      </c>
      <c r="B671" s="8" t="s">
        <v>428</v>
      </c>
      <c r="C671" s="2">
        <f>D671+L671+N671+P671+R671+S671+T671+U671</f>
        <v>7284472.5</v>
      </c>
      <c r="D671" s="3">
        <f>SUM(E671:J671)</f>
        <v>3455707.5</v>
      </c>
      <c r="E671" s="3">
        <f>350*1867.95</f>
        <v>653782.5</v>
      </c>
      <c r="F671" s="3">
        <f>800*1867.95</f>
        <v>1494360</v>
      </c>
      <c r="G671" s="3">
        <f>300*1867.95</f>
        <v>560385</v>
      </c>
      <c r="H671" s="3">
        <v>0</v>
      </c>
      <c r="I671" s="3">
        <f>400*1867.95</f>
        <v>747180</v>
      </c>
      <c r="J671" s="3">
        <f>350*0</f>
        <v>0</v>
      </c>
      <c r="K671" s="4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1393</v>
      </c>
      <c r="R671" s="3">
        <f>Q671*2605</f>
        <v>3628765</v>
      </c>
      <c r="S671" s="3">
        <v>0</v>
      </c>
      <c r="T671" s="3">
        <v>0</v>
      </c>
      <c r="U671" s="3">
        <v>200000</v>
      </c>
      <c r="V671" s="6" t="e">
        <f>N671/M671</f>
        <v>#DIV/0!</v>
      </c>
    </row>
    <row r="672" spans="1:22" ht="21.9" customHeight="1">
      <c r="A672" s="37" t="s">
        <v>1887</v>
      </c>
      <c r="B672" s="8" t="s">
        <v>655</v>
      </c>
      <c r="C672" s="2">
        <f>D672+L672+N672+P672+R672+S672+T672+U672</f>
        <v>1446500</v>
      </c>
      <c r="D672" s="3">
        <f>SUM(E672:J672)</f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11">
        <v>0</v>
      </c>
      <c r="L672" s="5">
        <v>0</v>
      </c>
      <c r="M672" s="5">
        <v>263</v>
      </c>
      <c r="N672" s="3">
        <f>M672*5500</f>
        <v>1446500</v>
      </c>
      <c r="O672" s="5">
        <v>0</v>
      </c>
      <c r="P672" s="5">
        <v>0</v>
      </c>
      <c r="Q672" s="5">
        <v>0</v>
      </c>
      <c r="R672" s="3">
        <f>Q672*3000</f>
        <v>0</v>
      </c>
      <c r="S672" s="5">
        <v>0</v>
      </c>
      <c r="T672" s="5">
        <v>0</v>
      </c>
      <c r="U672" s="5">
        <v>0</v>
      </c>
      <c r="V672" s="6">
        <f>N672/M672</f>
        <v>5500</v>
      </c>
    </row>
    <row r="673" spans="1:22" ht="21.9" customHeight="1">
      <c r="A673" s="37" t="s">
        <v>1888</v>
      </c>
      <c r="B673" s="8" t="s">
        <v>652</v>
      </c>
      <c r="C673" s="2">
        <f t="shared" si="334"/>
        <v>300000</v>
      </c>
      <c r="D673" s="3">
        <f t="shared" si="326"/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11">
        <v>0</v>
      </c>
      <c r="L673" s="5">
        <v>0</v>
      </c>
      <c r="M673" s="5">
        <v>0</v>
      </c>
      <c r="N673" s="3">
        <v>0</v>
      </c>
      <c r="O673" s="5">
        <v>0</v>
      </c>
      <c r="P673" s="5">
        <v>0</v>
      </c>
      <c r="Q673" s="5">
        <v>0</v>
      </c>
      <c r="R673" s="3">
        <f t="shared" si="327"/>
        <v>0</v>
      </c>
      <c r="S673" s="5">
        <v>0</v>
      </c>
      <c r="T673" s="5">
        <v>0</v>
      </c>
      <c r="U673" s="5">
        <v>300000</v>
      </c>
      <c r="V673" s="6" t="e">
        <f t="shared" si="328"/>
        <v>#DIV/0!</v>
      </c>
    </row>
    <row r="674" spans="1:22" ht="21.9" customHeight="1">
      <c r="A674" s="37" t="s">
        <v>1889</v>
      </c>
      <c r="B674" s="8" t="s">
        <v>653</v>
      </c>
      <c r="C674" s="2">
        <f t="shared" si="334"/>
        <v>1474000</v>
      </c>
      <c r="D674" s="3">
        <f t="shared" si="326"/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11">
        <v>0</v>
      </c>
      <c r="L674" s="5">
        <v>0</v>
      </c>
      <c r="M674" s="5">
        <v>268</v>
      </c>
      <c r="N674" s="3">
        <f t="shared" si="341"/>
        <v>1474000</v>
      </c>
      <c r="O674" s="5">
        <v>0</v>
      </c>
      <c r="P674" s="5">
        <v>0</v>
      </c>
      <c r="Q674" s="5">
        <v>0</v>
      </c>
      <c r="R674" s="3">
        <f t="shared" si="327"/>
        <v>0</v>
      </c>
      <c r="S674" s="5">
        <v>0</v>
      </c>
      <c r="T674" s="5">
        <v>0</v>
      </c>
      <c r="U674" s="5">
        <v>0</v>
      </c>
      <c r="V674" s="6">
        <f t="shared" si="328"/>
        <v>5500</v>
      </c>
    </row>
    <row r="675" spans="1:22" ht="21.9" customHeight="1">
      <c r="A675" s="37" t="s">
        <v>1890</v>
      </c>
      <c r="B675" s="8" t="s">
        <v>654</v>
      </c>
      <c r="C675" s="2">
        <f t="shared" si="334"/>
        <v>1446500</v>
      </c>
      <c r="D675" s="3">
        <f t="shared" si="326"/>
        <v>0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11">
        <v>0</v>
      </c>
      <c r="L675" s="5">
        <v>0</v>
      </c>
      <c r="M675" s="5">
        <v>263</v>
      </c>
      <c r="N675" s="3">
        <f t="shared" si="341"/>
        <v>1446500</v>
      </c>
      <c r="O675" s="5">
        <v>0</v>
      </c>
      <c r="P675" s="5">
        <v>0</v>
      </c>
      <c r="Q675" s="5">
        <v>0</v>
      </c>
      <c r="R675" s="3">
        <f t="shared" si="327"/>
        <v>0</v>
      </c>
      <c r="S675" s="5">
        <v>0</v>
      </c>
      <c r="T675" s="5">
        <v>0</v>
      </c>
      <c r="U675" s="5">
        <v>0</v>
      </c>
      <c r="V675" s="6">
        <f t="shared" si="328"/>
        <v>5500</v>
      </c>
    </row>
    <row r="676" spans="1:22" ht="21.9" customHeight="1">
      <c r="A676" s="37" t="s">
        <v>1891</v>
      </c>
      <c r="B676" s="8" t="s">
        <v>563</v>
      </c>
      <c r="C676" s="2">
        <f>D676+L676+N676+P676+R676+S676+T676+U676</f>
        <v>2104850</v>
      </c>
      <c r="D676" s="3">
        <f>SUM(E676:J676)</f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11">
        <v>0</v>
      </c>
      <c r="L676" s="5">
        <v>0</v>
      </c>
      <c r="M676" s="5">
        <v>382.7</v>
      </c>
      <c r="N676" s="3">
        <f>M676*5500</f>
        <v>2104850</v>
      </c>
      <c r="O676" s="5">
        <v>0</v>
      </c>
      <c r="P676" s="5">
        <v>0</v>
      </c>
      <c r="Q676" s="5">
        <v>0</v>
      </c>
      <c r="R676" s="3">
        <f>Q676*3000</f>
        <v>0</v>
      </c>
      <c r="S676" s="5">
        <v>0</v>
      </c>
      <c r="T676" s="5">
        <v>0</v>
      </c>
      <c r="U676" s="5">
        <v>0</v>
      </c>
      <c r="V676" s="6">
        <f>N676/M676</f>
        <v>5500</v>
      </c>
    </row>
    <row r="677" spans="1:22" ht="21.9" customHeight="1">
      <c r="A677" s="37" t="s">
        <v>1892</v>
      </c>
      <c r="B677" s="8" t="s">
        <v>564</v>
      </c>
      <c r="C677" s="2">
        <f>D677+L677+N677+P677+R677+S677+T677+U677</f>
        <v>2112000</v>
      </c>
      <c r="D677" s="3">
        <f>SUM(E677:J677)</f>
        <v>0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11">
        <v>0</v>
      </c>
      <c r="L677" s="5">
        <v>0</v>
      </c>
      <c r="M677" s="5">
        <v>384</v>
      </c>
      <c r="N677" s="3">
        <f>M677*5500</f>
        <v>2112000</v>
      </c>
      <c r="O677" s="5">
        <v>0</v>
      </c>
      <c r="P677" s="5">
        <v>0</v>
      </c>
      <c r="Q677" s="5">
        <v>0</v>
      </c>
      <c r="R677" s="3">
        <f>Q677*3000</f>
        <v>0</v>
      </c>
      <c r="S677" s="5">
        <v>0</v>
      </c>
      <c r="T677" s="5">
        <v>0</v>
      </c>
      <c r="U677" s="5">
        <v>0</v>
      </c>
      <c r="V677" s="6">
        <f>N677/M677</f>
        <v>5500</v>
      </c>
    </row>
    <row r="678" spans="1:22" ht="21.9" customHeight="1">
      <c r="A678" s="37" t="s">
        <v>1893</v>
      </c>
      <c r="B678" s="8" t="s">
        <v>556</v>
      </c>
      <c r="C678" s="2">
        <f t="shared" si="334"/>
        <v>2391400</v>
      </c>
      <c r="D678" s="3">
        <f t="shared" si="326"/>
        <v>0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11">
        <v>0</v>
      </c>
      <c r="L678" s="5">
        <v>0</v>
      </c>
      <c r="M678" s="5">
        <v>434.8</v>
      </c>
      <c r="N678" s="3">
        <f t="shared" si="341"/>
        <v>2391400</v>
      </c>
      <c r="O678" s="5">
        <v>0</v>
      </c>
      <c r="P678" s="5">
        <v>0</v>
      </c>
      <c r="Q678" s="5">
        <v>0</v>
      </c>
      <c r="R678" s="3">
        <f t="shared" si="327"/>
        <v>0</v>
      </c>
      <c r="S678" s="5">
        <v>0</v>
      </c>
      <c r="T678" s="5">
        <v>0</v>
      </c>
      <c r="U678" s="5">
        <v>0</v>
      </c>
      <c r="V678" s="6">
        <f t="shared" si="328"/>
        <v>5500</v>
      </c>
    </row>
    <row r="679" spans="1:22" ht="21.9" customHeight="1">
      <c r="A679" s="37" t="s">
        <v>1894</v>
      </c>
      <c r="B679" s="8" t="s">
        <v>656</v>
      </c>
      <c r="C679" s="2">
        <f t="shared" si="334"/>
        <v>300000</v>
      </c>
      <c r="D679" s="3">
        <f t="shared" si="326"/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11">
        <v>0</v>
      </c>
      <c r="L679" s="5">
        <v>0</v>
      </c>
      <c r="M679" s="5">
        <v>0</v>
      </c>
      <c r="N679" s="3">
        <f t="shared" si="341"/>
        <v>0</v>
      </c>
      <c r="O679" s="5">
        <v>0</v>
      </c>
      <c r="P679" s="5">
        <v>0</v>
      </c>
      <c r="Q679" s="5">
        <v>0</v>
      </c>
      <c r="R679" s="3">
        <f t="shared" si="327"/>
        <v>0</v>
      </c>
      <c r="S679" s="5">
        <v>0</v>
      </c>
      <c r="T679" s="5">
        <v>0</v>
      </c>
      <c r="U679" s="5">
        <v>300000</v>
      </c>
      <c r="V679" s="6" t="e">
        <f t="shared" si="328"/>
        <v>#DIV/0!</v>
      </c>
    </row>
    <row r="680" spans="1:22" ht="21.9" customHeight="1">
      <c r="A680" s="37" t="s">
        <v>1895</v>
      </c>
      <c r="B680" s="8" t="s">
        <v>657</v>
      </c>
      <c r="C680" s="2">
        <f t="shared" si="334"/>
        <v>300000</v>
      </c>
      <c r="D680" s="3">
        <f t="shared" si="326"/>
        <v>0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11">
        <v>0</v>
      </c>
      <c r="L680" s="5">
        <v>0</v>
      </c>
      <c r="M680" s="5">
        <v>0</v>
      </c>
      <c r="N680" s="3">
        <f t="shared" si="341"/>
        <v>0</v>
      </c>
      <c r="O680" s="5">
        <v>0</v>
      </c>
      <c r="P680" s="5">
        <v>0</v>
      </c>
      <c r="Q680" s="5">
        <v>0</v>
      </c>
      <c r="R680" s="3">
        <f t="shared" si="327"/>
        <v>0</v>
      </c>
      <c r="S680" s="5">
        <v>0</v>
      </c>
      <c r="T680" s="5">
        <v>0</v>
      </c>
      <c r="U680" s="5">
        <v>300000</v>
      </c>
      <c r="V680" s="6" t="e">
        <f t="shared" si="328"/>
        <v>#DIV/0!</v>
      </c>
    </row>
    <row r="681" spans="1:22" ht="21.9" customHeight="1">
      <c r="A681" s="37" t="s">
        <v>1896</v>
      </c>
      <c r="B681" s="8" t="s">
        <v>658</v>
      </c>
      <c r="C681" s="2">
        <f t="shared" si="334"/>
        <v>300000</v>
      </c>
      <c r="D681" s="3">
        <f t="shared" si="326"/>
        <v>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11">
        <v>0</v>
      </c>
      <c r="L681" s="5">
        <v>0</v>
      </c>
      <c r="M681" s="5">
        <v>0</v>
      </c>
      <c r="N681" s="3">
        <f t="shared" si="341"/>
        <v>0</v>
      </c>
      <c r="O681" s="5">
        <v>0</v>
      </c>
      <c r="P681" s="5">
        <v>0</v>
      </c>
      <c r="Q681" s="5">
        <v>0</v>
      </c>
      <c r="R681" s="3">
        <f t="shared" si="327"/>
        <v>0</v>
      </c>
      <c r="S681" s="5">
        <v>0</v>
      </c>
      <c r="T681" s="5">
        <v>0</v>
      </c>
      <c r="U681" s="5">
        <v>300000</v>
      </c>
      <c r="V681" s="6" t="e">
        <f t="shared" si="328"/>
        <v>#DIV/0!</v>
      </c>
    </row>
    <row r="682" spans="1:22" ht="21.9" customHeight="1">
      <c r="A682" s="37" t="s">
        <v>1897</v>
      </c>
      <c r="B682" s="8" t="s">
        <v>470</v>
      </c>
      <c r="C682" s="2">
        <f t="shared" si="334"/>
        <v>1441000</v>
      </c>
      <c r="D682" s="3">
        <f t="shared" si="326"/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262</v>
      </c>
      <c r="N682" s="3">
        <f t="shared" ref="N682:N694" si="343">M682*5500</f>
        <v>1441000</v>
      </c>
      <c r="O682" s="3">
        <v>0</v>
      </c>
      <c r="P682" s="3">
        <v>0</v>
      </c>
      <c r="Q682" s="3">
        <v>0</v>
      </c>
      <c r="R682" s="3">
        <f t="shared" si="327"/>
        <v>0</v>
      </c>
      <c r="S682" s="3">
        <v>0</v>
      </c>
      <c r="T682" s="5">
        <v>0</v>
      </c>
      <c r="U682" s="3">
        <v>0</v>
      </c>
      <c r="V682" s="6">
        <f t="shared" si="328"/>
        <v>5500</v>
      </c>
    </row>
    <row r="683" spans="1:22" ht="21.9" customHeight="1">
      <c r="A683" s="37" t="s">
        <v>1898</v>
      </c>
      <c r="B683" s="8" t="s">
        <v>659</v>
      </c>
      <c r="C683" s="2">
        <f t="shared" si="334"/>
        <v>2114200</v>
      </c>
      <c r="D683" s="3">
        <f t="shared" si="326"/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11">
        <v>0</v>
      </c>
      <c r="L683" s="5">
        <v>0</v>
      </c>
      <c r="M683" s="5">
        <v>384.4</v>
      </c>
      <c r="N683" s="3">
        <f t="shared" si="343"/>
        <v>2114200</v>
      </c>
      <c r="O683" s="5">
        <v>0</v>
      </c>
      <c r="P683" s="5">
        <v>0</v>
      </c>
      <c r="Q683" s="5">
        <v>0</v>
      </c>
      <c r="R683" s="3">
        <f t="shared" si="327"/>
        <v>0</v>
      </c>
      <c r="S683" s="5">
        <v>0</v>
      </c>
      <c r="T683" s="5">
        <v>0</v>
      </c>
      <c r="U683" s="5">
        <v>0</v>
      </c>
      <c r="V683" s="6">
        <f t="shared" si="328"/>
        <v>5500</v>
      </c>
    </row>
    <row r="684" spans="1:22" ht="21.9" customHeight="1">
      <c r="A684" s="37" t="s">
        <v>1899</v>
      </c>
      <c r="B684" s="8" t="s">
        <v>557</v>
      </c>
      <c r="C684" s="2">
        <f t="shared" si="334"/>
        <v>1411850</v>
      </c>
      <c r="D684" s="3">
        <f t="shared" si="326"/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11">
        <v>0</v>
      </c>
      <c r="L684" s="5">
        <v>0</v>
      </c>
      <c r="M684" s="5">
        <v>256.7</v>
      </c>
      <c r="N684" s="3">
        <f t="shared" si="343"/>
        <v>1411850</v>
      </c>
      <c r="O684" s="5">
        <v>0</v>
      </c>
      <c r="P684" s="5">
        <v>0</v>
      </c>
      <c r="Q684" s="5">
        <v>0</v>
      </c>
      <c r="R684" s="3">
        <f t="shared" si="327"/>
        <v>0</v>
      </c>
      <c r="S684" s="5">
        <v>0</v>
      </c>
      <c r="T684" s="5">
        <v>0</v>
      </c>
      <c r="U684" s="5">
        <v>0</v>
      </c>
      <c r="V684" s="6">
        <f t="shared" si="328"/>
        <v>5500</v>
      </c>
    </row>
    <row r="685" spans="1:22" ht="21.9" customHeight="1">
      <c r="A685" s="37" t="s">
        <v>1900</v>
      </c>
      <c r="B685" s="8" t="s">
        <v>558</v>
      </c>
      <c r="C685" s="2">
        <f t="shared" si="334"/>
        <v>1399200</v>
      </c>
      <c r="D685" s="3">
        <f t="shared" ref="D685:D694" si="344">SUM(E685:J685)</f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254.4</v>
      </c>
      <c r="N685" s="3">
        <f t="shared" si="343"/>
        <v>1399200</v>
      </c>
      <c r="O685" s="5">
        <v>0</v>
      </c>
      <c r="P685" s="5">
        <v>0</v>
      </c>
      <c r="Q685" s="5">
        <v>0</v>
      </c>
      <c r="R685" s="3">
        <f t="shared" si="327"/>
        <v>0</v>
      </c>
      <c r="S685" s="5">
        <v>0</v>
      </c>
      <c r="T685" s="5">
        <v>0</v>
      </c>
      <c r="U685" s="5">
        <v>0</v>
      </c>
      <c r="V685" s="6">
        <f t="shared" si="328"/>
        <v>5500</v>
      </c>
    </row>
    <row r="686" spans="1:22" ht="21.9" customHeight="1">
      <c r="A686" s="37" t="s">
        <v>1901</v>
      </c>
      <c r="B686" s="8" t="s">
        <v>559</v>
      </c>
      <c r="C686" s="2">
        <f t="shared" si="334"/>
        <v>1345300</v>
      </c>
      <c r="D686" s="3">
        <f t="shared" si="344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11">
        <v>0</v>
      </c>
      <c r="L686" s="5">
        <v>0</v>
      </c>
      <c r="M686" s="5">
        <v>244.6</v>
      </c>
      <c r="N686" s="3">
        <f t="shared" si="343"/>
        <v>1345300</v>
      </c>
      <c r="O686" s="5">
        <v>0</v>
      </c>
      <c r="P686" s="5">
        <v>0</v>
      </c>
      <c r="Q686" s="5">
        <v>0</v>
      </c>
      <c r="R686" s="3">
        <f t="shared" ref="R686:R694" si="345">Q686*3000</f>
        <v>0</v>
      </c>
      <c r="S686" s="5">
        <v>0</v>
      </c>
      <c r="T686" s="5">
        <v>0</v>
      </c>
      <c r="U686" s="5">
        <v>0</v>
      </c>
      <c r="V686" s="6">
        <f t="shared" ref="V686:V694" si="346">N686/M686</f>
        <v>5500</v>
      </c>
    </row>
    <row r="687" spans="1:22" ht="21.9" customHeight="1">
      <c r="A687" s="37" t="s">
        <v>1902</v>
      </c>
      <c r="B687" s="8" t="s">
        <v>560</v>
      </c>
      <c r="C687" s="2">
        <f t="shared" si="334"/>
        <v>1463550.0000000002</v>
      </c>
      <c r="D687" s="3">
        <f t="shared" si="344"/>
        <v>0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11">
        <v>0</v>
      </c>
      <c r="L687" s="5">
        <v>0</v>
      </c>
      <c r="M687" s="5">
        <v>266.10000000000002</v>
      </c>
      <c r="N687" s="3">
        <f t="shared" si="343"/>
        <v>1463550.0000000002</v>
      </c>
      <c r="O687" s="5">
        <v>0</v>
      </c>
      <c r="P687" s="5">
        <v>0</v>
      </c>
      <c r="Q687" s="5">
        <v>0</v>
      </c>
      <c r="R687" s="3">
        <f t="shared" si="345"/>
        <v>0</v>
      </c>
      <c r="S687" s="5">
        <v>0</v>
      </c>
      <c r="T687" s="5">
        <v>0</v>
      </c>
      <c r="U687" s="5">
        <v>0</v>
      </c>
      <c r="V687" s="6">
        <f t="shared" si="346"/>
        <v>5500</v>
      </c>
    </row>
    <row r="688" spans="1:22" ht="21.9" customHeight="1">
      <c r="A688" s="37" t="s">
        <v>1903</v>
      </c>
      <c r="B688" s="8" t="s">
        <v>561</v>
      </c>
      <c r="C688" s="2">
        <f t="shared" si="334"/>
        <v>1531199.9999999998</v>
      </c>
      <c r="D688" s="3">
        <f t="shared" si="344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11">
        <v>0</v>
      </c>
      <c r="L688" s="5">
        <v>0</v>
      </c>
      <c r="M688" s="5">
        <v>278.39999999999998</v>
      </c>
      <c r="N688" s="3">
        <f t="shared" si="343"/>
        <v>1531199.9999999998</v>
      </c>
      <c r="O688" s="5">
        <v>0</v>
      </c>
      <c r="P688" s="5">
        <v>0</v>
      </c>
      <c r="Q688" s="5">
        <v>0</v>
      </c>
      <c r="R688" s="3">
        <f t="shared" si="345"/>
        <v>0</v>
      </c>
      <c r="S688" s="5">
        <v>0</v>
      </c>
      <c r="T688" s="5">
        <v>0</v>
      </c>
      <c r="U688" s="5">
        <v>0</v>
      </c>
      <c r="V688" s="6">
        <f t="shared" si="346"/>
        <v>5500</v>
      </c>
    </row>
    <row r="689" spans="1:22" ht="21.9" customHeight="1">
      <c r="A689" s="37" t="s">
        <v>1904</v>
      </c>
      <c r="B689" s="8" t="s">
        <v>562</v>
      </c>
      <c r="C689" s="2">
        <f t="shared" si="334"/>
        <v>1492150</v>
      </c>
      <c r="D689" s="3">
        <f t="shared" si="344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11">
        <v>0</v>
      </c>
      <c r="L689" s="5">
        <v>0</v>
      </c>
      <c r="M689" s="5">
        <v>271.3</v>
      </c>
      <c r="N689" s="3">
        <f t="shared" si="343"/>
        <v>1492150</v>
      </c>
      <c r="O689" s="5">
        <v>0</v>
      </c>
      <c r="P689" s="5">
        <v>0</v>
      </c>
      <c r="Q689" s="5">
        <v>0</v>
      </c>
      <c r="R689" s="3">
        <f t="shared" si="345"/>
        <v>0</v>
      </c>
      <c r="S689" s="5">
        <v>0</v>
      </c>
      <c r="T689" s="5">
        <v>0</v>
      </c>
      <c r="U689" s="5">
        <v>0</v>
      </c>
      <c r="V689" s="6">
        <f t="shared" si="346"/>
        <v>5500</v>
      </c>
    </row>
    <row r="690" spans="1:22" ht="21.9" customHeight="1">
      <c r="A690" s="37" t="s">
        <v>1905</v>
      </c>
      <c r="B690" s="8" t="s">
        <v>565</v>
      </c>
      <c r="C690" s="2">
        <f t="shared" si="334"/>
        <v>1533400</v>
      </c>
      <c r="D690" s="3">
        <f t="shared" si="344"/>
        <v>0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11">
        <v>0</v>
      </c>
      <c r="L690" s="5">
        <v>0</v>
      </c>
      <c r="M690" s="5">
        <v>278.8</v>
      </c>
      <c r="N690" s="3">
        <f t="shared" si="343"/>
        <v>1533400</v>
      </c>
      <c r="O690" s="5">
        <v>0</v>
      </c>
      <c r="P690" s="5">
        <v>0</v>
      </c>
      <c r="Q690" s="5">
        <v>0</v>
      </c>
      <c r="R690" s="3">
        <f t="shared" si="345"/>
        <v>0</v>
      </c>
      <c r="S690" s="5">
        <v>0</v>
      </c>
      <c r="T690" s="5">
        <v>0</v>
      </c>
      <c r="U690" s="5">
        <v>0</v>
      </c>
      <c r="V690" s="6">
        <f t="shared" si="346"/>
        <v>5500</v>
      </c>
    </row>
    <row r="691" spans="1:22" ht="21.9" customHeight="1">
      <c r="A691" s="37" t="s">
        <v>1906</v>
      </c>
      <c r="B691" s="8" t="s">
        <v>566</v>
      </c>
      <c r="C691" s="2">
        <f t="shared" si="334"/>
        <v>1533400</v>
      </c>
      <c r="D691" s="3">
        <f t="shared" si="344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11">
        <v>0</v>
      </c>
      <c r="L691" s="5">
        <v>0</v>
      </c>
      <c r="M691" s="5">
        <v>278.8</v>
      </c>
      <c r="N691" s="3">
        <f t="shared" si="343"/>
        <v>1533400</v>
      </c>
      <c r="O691" s="5">
        <v>0</v>
      </c>
      <c r="P691" s="5">
        <v>0</v>
      </c>
      <c r="Q691" s="5">
        <v>0</v>
      </c>
      <c r="R691" s="3">
        <f t="shared" si="345"/>
        <v>0</v>
      </c>
      <c r="S691" s="5">
        <v>0</v>
      </c>
      <c r="T691" s="5">
        <v>0</v>
      </c>
      <c r="U691" s="5">
        <v>0</v>
      </c>
      <c r="V691" s="6">
        <f t="shared" si="346"/>
        <v>5500</v>
      </c>
    </row>
    <row r="692" spans="1:22" ht="21.9" customHeight="1">
      <c r="A692" s="37" t="s">
        <v>1907</v>
      </c>
      <c r="B692" s="8" t="s">
        <v>567</v>
      </c>
      <c r="C692" s="2">
        <f t="shared" si="334"/>
        <v>300000</v>
      </c>
      <c r="D692" s="3">
        <f t="shared" si="344"/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11">
        <v>0</v>
      </c>
      <c r="L692" s="5">
        <v>0</v>
      </c>
      <c r="M692" s="5">
        <v>0</v>
      </c>
      <c r="N692" s="3">
        <f t="shared" si="343"/>
        <v>0</v>
      </c>
      <c r="O692" s="5">
        <v>0</v>
      </c>
      <c r="P692" s="5">
        <v>0</v>
      </c>
      <c r="Q692" s="5">
        <v>0</v>
      </c>
      <c r="R692" s="3">
        <f t="shared" si="345"/>
        <v>0</v>
      </c>
      <c r="S692" s="5">
        <v>0</v>
      </c>
      <c r="T692" s="5">
        <v>0</v>
      </c>
      <c r="U692" s="5">
        <v>300000</v>
      </c>
      <c r="V692" s="6" t="e">
        <f t="shared" si="346"/>
        <v>#DIV/0!</v>
      </c>
    </row>
    <row r="693" spans="1:22" ht="21.9" customHeight="1">
      <c r="A693" s="37" t="s">
        <v>1908</v>
      </c>
      <c r="B693" s="8" t="s">
        <v>568</v>
      </c>
      <c r="C693" s="2">
        <f t="shared" si="334"/>
        <v>2497000</v>
      </c>
      <c r="D693" s="3">
        <f t="shared" si="344"/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11">
        <v>0</v>
      </c>
      <c r="L693" s="5">
        <v>0</v>
      </c>
      <c r="M693" s="5">
        <v>454</v>
      </c>
      <c r="N693" s="3">
        <f t="shared" si="343"/>
        <v>2497000</v>
      </c>
      <c r="O693" s="5">
        <v>0</v>
      </c>
      <c r="P693" s="5">
        <v>0</v>
      </c>
      <c r="Q693" s="5">
        <v>0</v>
      </c>
      <c r="R693" s="3">
        <f t="shared" si="345"/>
        <v>0</v>
      </c>
      <c r="S693" s="5">
        <v>0</v>
      </c>
      <c r="T693" s="5">
        <v>0</v>
      </c>
      <c r="U693" s="5">
        <v>0</v>
      </c>
      <c r="V693" s="6">
        <f t="shared" si="346"/>
        <v>5500</v>
      </c>
    </row>
    <row r="694" spans="1:22" ht="21.9" customHeight="1">
      <c r="A694" s="37" t="s">
        <v>1909</v>
      </c>
      <c r="B694" s="8" t="s">
        <v>569</v>
      </c>
      <c r="C694" s="2">
        <f t="shared" si="334"/>
        <v>2497000</v>
      </c>
      <c r="D694" s="3">
        <f t="shared" si="344"/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11">
        <v>0</v>
      </c>
      <c r="L694" s="5">
        <v>0</v>
      </c>
      <c r="M694" s="5">
        <v>454</v>
      </c>
      <c r="N694" s="3">
        <f t="shared" si="343"/>
        <v>2497000</v>
      </c>
      <c r="O694" s="5">
        <v>0</v>
      </c>
      <c r="P694" s="5">
        <v>0</v>
      </c>
      <c r="Q694" s="5">
        <v>0</v>
      </c>
      <c r="R694" s="3">
        <f t="shared" si="345"/>
        <v>0</v>
      </c>
      <c r="S694" s="5">
        <v>0</v>
      </c>
      <c r="T694" s="5">
        <v>0</v>
      </c>
      <c r="U694" s="5">
        <v>0</v>
      </c>
      <c r="V694" s="6">
        <f t="shared" si="346"/>
        <v>5500</v>
      </c>
    </row>
    <row r="695" spans="1:22" ht="45" customHeight="1">
      <c r="A695" s="53" t="s">
        <v>280</v>
      </c>
      <c r="B695" s="53"/>
      <c r="C695" s="2">
        <f>SUM(C696:C698)</f>
        <v>13661467.629999999</v>
      </c>
      <c r="D695" s="2">
        <f t="shared" ref="D695:U695" si="347">SUM(D696:D698)</f>
        <v>2453530</v>
      </c>
      <c r="E695" s="2">
        <f t="shared" si="347"/>
        <v>432530</v>
      </c>
      <c r="F695" s="2">
        <f t="shared" si="347"/>
        <v>1061025</v>
      </c>
      <c r="G695" s="2">
        <f t="shared" si="347"/>
        <v>303150</v>
      </c>
      <c r="H695" s="2">
        <f t="shared" si="347"/>
        <v>404200</v>
      </c>
      <c r="I695" s="2">
        <f t="shared" si="347"/>
        <v>252625</v>
      </c>
      <c r="J695" s="2">
        <f t="shared" si="347"/>
        <v>0</v>
      </c>
      <c r="K695" s="14">
        <f t="shared" si="347"/>
        <v>0</v>
      </c>
      <c r="L695" s="2">
        <f t="shared" si="347"/>
        <v>0</v>
      </c>
      <c r="M695" s="2">
        <f t="shared" si="347"/>
        <v>1123.7</v>
      </c>
      <c r="N695" s="2">
        <f t="shared" si="347"/>
        <v>6180350</v>
      </c>
      <c r="O695" s="2">
        <f t="shared" si="347"/>
        <v>0</v>
      </c>
      <c r="P695" s="2">
        <f t="shared" si="347"/>
        <v>0</v>
      </c>
      <c r="Q695" s="2">
        <f t="shared" si="347"/>
        <v>1570.6</v>
      </c>
      <c r="R695" s="2">
        <f t="shared" si="347"/>
        <v>4711800</v>
      </c>
      <c r="S695" s="2">
        <f t="shared" si="347"/>
        <v>0</v>
      </c>
      <c r="T695" s="2">
        <f t="shared" si="347"/>
        <v>0</v>
      </c>
      <c r="U695" s="2">
        <f t="shared" si="347"/>
        <v>315787.63</v>
      </c>
    </row>
    <row r="696" spans="1:22" ht="21.9" customHeight="1">
      <c r="A696" s="37" t="s">
        <v>1910</v>
      </c>
      <c r="B696" s="8" t="s">
        <v>281</v>
      </c>
      <c r="C696" s="2">
        <f t="shared" si="334"/>
        <v>5403620.9500000002</v>
      </c>
      <c r="D696" s="3">
        <f t="shared" ref="D696:D698" si="348">SUM(E696:J696)</f>
        <v>1217535</v>
      </c>
      <c r="E696" s="3">
        <f>350*518.1</f>
        <v>181335</v>
      </c>
      <c r="F696" s="3">
        <f>1050*518.1</f>
        <v>544005</v>
      </c>
      <c r="G696" s="3">
        <f>300*518.1</f>
        <v>155430</v>
      </c>
      <c r="H696" s="3">
        <f>400*518.1</f>
        <v>207240</v>
      </c>
      <c r="I696" s="3">
        <f>250*518.1</f>
        <v>129525</v>
      </c>
      <c r="J696" s="3">
        <v>0</v>
      </c>
      <c r="K696" s="4">
        <v>0</v>
      </c>
      <c r="L696" s="3">
        <v>0</v>
      </c>
      <c r="M696" s="3">
        <v>437.7</v>
      </c>
      <c r="N696" s="3">
        <f t="shared" ref="N696:N698" si="349">M696*5500</f>
        <v>2407350</v>
      </c>
      <c r="O696" s="5">
        <v>0</v>
      </c>
      <c r="P696" s="5">
        <v>0</v>
      </c>
      <c r="Q696" s="3">
        <v>556.79999999999995</v>
      </c>
      <c r="R696" s="3">
        <f t="shared" ref="R696:R698" si="350">Q696*3000</f>
        <v>1670399.9999999998</v>
      </c>
      <c r="S696" s="3">
        <v>0</v>
      </c>
      <c r="T696" s="3">
        <v>0</v>
      </c>
      <c r="U696" s="3">
        <v>108335.95</v>
      </c>
      <c r="V696" s="6">
        <f t="shared" ref="V696:V698" si="351">N696/M696</f>
        <v>5500</v>
      </c>
    </row>
    <row r="697" spans="1:22" ht="21.9" customHeight="1">
      <c r="A697" s="37" t="s">
        <v>1911</v>
      </c>
      <c r="B697" s="8" t="s">
        <v>282</v>
      </c>
      <c r="C697" s="2">
        <f t="shared" si="334"/>
        <v>5273691.68</v>
      </c>
      <c r="D697" s="3">
        <f t="shared" si="348"/>
        <v>1157140</v>
      </c>
      <c r="E697" s="3">
        <f>350*492.4</f>
        <v>172340</v>
      </c>
      <c r="F697" s="3">
        <f>1050*492.4</f>
        <v>517020</v>
      </c>
      <c r="G697" s="3">
        <f>300*492.4</f>
        <v>147720</v>
      </c>
      <c r="H697" s="3">
        <f>400*492.4</f>
        <v>196960</v>
      </c>
      <c r="I697" s="3">
        <f>250*492.4</f>
        <v>123100</v>
      </c>
      <c r="J697" s="3">
        <v>0</v>
      </c>
      <c r="K697" s="4">
        <v>0</v>
      </c>
      <c r="L697" s="3">
        <v>0</v>
      </c>
      <c r="M697" s="3">
        <v>429.8</v>
      </c>
      <c r="N697" s="3">
        <f t="shared" si="349"/>
        <v>2363900</v>
      </c>
      <c r="O697" s="5">
        <v>0</v>
      </c>
      <c r="P697" s="5">
        <v>0</v>
      </c>
      <c r="Q697" s="3">
        <v>548.4</v>
      </c>
      <c r="R697" s="3">
        <f t="shared" si="350"/>
        <v>1645200</v>
      </c>
      <c r="S697" s="3">
        <v>0</v>
      </c>
      <c r="T697" s="3">
        <v>0</v>
      </c>
      <c r="U697" s="3">
        <v>107451.68</v>
      </c>
      <c r="V697" s="6">
        <f t="shared" si="351"/>
        <v>5500</v>
      </c>
    </row>
    <row r="698" spans="1:22" ht="21.9" customHeight="1">
      <c r="A698" s="37" t="s">
        <v>1912</v>
      </c>
      <c r="B698" s="8" t="s">
        <v>306</v>
      </c>
      <c r="C698" s="2">
        <f t="shared" si="334"/>
        <v>2984155</v>
      </c>
      <c r="D698" s="3">
        <f t="shared" si="348"/>
        <v>78855</v>
      </c>
      <c r="E698" s="3">
        <f>350*225.3</f>
        <v>78855</v>
      </c>
      <c r="F698" s="3">
        <f>1050*0</f>
        <v>0</v>
      </c>
      <c r="G698" s="3">
        <f>300*0</f>
        <v>0</v>
      </c>
      <c r="H698" s="3">
        <f>400*0</f>
        <v>0</v>
      </c>
      <c r="I698" s="3">
        <f>250*0</f>
        <v>0</v>
      </c>
      <c r="J698" s="3">
        <v>0</v>
      </c>
      <c r="K698" s="4">
        <v>0</v>
      </c>
      <c r="L698" s="3">
        <v>0</v>
      </c>
      <c r="M698" s="3">
        <v>256.2</v>
      </c>
      <c r="N698" s="3">
        <f t="shared" si="349"/>
        <v>1409100</v>
      </c>
      <c r="O698" s="3">
        <v>0</v>
      </c>
      <c r="P698" s="3">
        <v>0</v>
      </c>
      <c r="Q698" s="3">
        <v>465.4</v>
      </c>
      <c r="R698" s="3">
        <f t="shared" si="350"/>
        <v>1396200</v>
      </c>
      <c r="S698" s="3">
        <v>0</v>
      </c>
      <c r="T698" s="3">
        <v>0</v>
      </c>
      <c r="U698" s="3">
        <v>100000</v>
      </c>
      <c r="V698" s="6">
        <f t="shared" si="351"/>
        <v>5500</v>
      </c>
    </row>
    <row r="699" spans="1:22" ht="45" customHeight="1">
      <c r="A699" s="53" t="s">
        <v>1205</v>
      </c>
      <c r="B699" s="53"/>
      <c r="C699" s="2">
        <f>SUM(C700)</f>
        <v>4295066</v>
      </c>
      <c r="D699" s="2">
        <f t="shared" ref="D699:U699" si="352">SUM(D700)</f>
        <v>1246050</v>
      </c>
      <c r="E699" s="2">
        <f t="shared" si="352"/>
        <v>223650</v>
      </c>
      <c r="F699" s="2">
        <f t="shared" si="352"/>
        <v>670950</v>
      </c>
      <c r="G699" s="2">
        <f t="shared" si="352"/>
        <v>191700</v>
      </c>
      <c r="H699" s="2">
        <f t="shared" si="352"/>
        <v>0</v>
      </c>
      <c r="I699" s="2">
        <f t="shared" si="352"/>
        <v>159750</v>
      </c>
      <c r="J699" s="2">
        <f t="shared" si="352"/>
        <v>0</v>
      </c>
      <c r="K699" s="14">
        <f t="shared" si="352"/>
        <v>0</v>
      </c>
      <c r="L699" s="2">
        <f t="shared" si="352"/>
        <v>0</v>
      </c>
      <c r="M699" s="2">
        <f t="shared" si="352"/>
        <v>356</v>
      </c>
      <c r="N699" s="2">
        <f t="shared" si="352"/>
        <v>1312216</v>
      </c>
      <c r="O699" s="2">
        <f t="shared" si="352"/>
        <v>0</v>
      </c>
      <c r="P699" s="2">
        <f t="shared" si="352"/>
        <v>0</v>
      </c>
      <c r="Q699" s="2">
        <f t="shared" si="352"/>
        <v>545.6</v>
      </c>
      <c r="R699" s="2">
        <f t="shared" si="352"/>
        <v>1636800</v>
      </c>
      <c r="S699" s="2">
        <f t="shared" si="352"/>
        <v>0</v>
      </c>
      <c r="T699" s="2">
        <f t="shared" si="352"/>
        <v>0</v>
      </c>
      <c r="U699" s="2">
        <f t="shared" si="352"/>
        <v>100000</v>
      </c>
    </row>
    <row r="700" spans="1:22" ht="21.9" customHeight="1">
      <c r="A700" s="37" t="s">
        <v>1913</v>
      </c>
      <c r="B700" s="8" t="s">
        <v>1206</v>
      </c>
      <c r="C700" s="2">
        <f t="shared" si="334"/>
        <v>4295066</v>
      </c>
      <c r="D700" s="3">
        <f t="shared" ref="D700" si="353">SUM(E700:J700)</f>
        <v>1246050</v>
      </c>
      <c r="E700" s="3">
        <f>350*639</f>
        <v>223650</v>
      </c>
      <c r="F700" s="3">
        <f>1050*639</f>
        <v>670950</v>
      </c>
      <c r="G700" s="3">
        <f>300*639</f>
        <v>191700</v>
      </c>
      <c r="H700" s="3">
        <v>0</v>
      </c>
      <c r="I700" s="3">
        <f>250*639</f>
        <v>159750</v>
      </c>
      <c r="J700" s="3">
        <v>0</v>
      </c>
      <c r="K700" s="4">
        <v>0</v>
      </c>
      <c r="L700" s="3">
        <v>0</v>
      </c>
      <c r="M700" s="3">
        <v>356</v>
      </c>
      <c r="N700" s="3">
        <f>M700*3686</f>
        <v>1312216</v>
      </c>
      <c r="O700" s="5">
        <v>0</v>
      </c>
      <c r="P700" s="5">
        <v>0</v>
      </c>
      <c r="Q700" s="3">
        <v>545.6</v>
      </c>
      <c r="R700" s="3">
        <f>Q700*3000</f>
        <v>1636800</v>
      </c>
      <c r="S700" s="3">
        <v>0</v>
      </c>
      <c r="T700" s="3">
        <v>0</v>
      </c>
      <c r="U700" s="3">
        <v>100000</v>
      </c>
      <c r="V700" s="6">
        <f t="shared" ref="V700" si="354">N700/M700</f>
        <v>3686</v>
      </c>
    </row>
    <row r="701" spans="1:22" ht="45" customHeight="1">
      <c r="A701" s="53" t="s">
        <v>285</v>
      </c>
      <c r="B701" s="53"/>
      <c r="C701" s="2">
        <f>SUM(C702:C703)</f>
        <v>9394530</v>
      </c>
      <c r="D701" s="2">
        <f t="shared" ref="D701:U701" si="355">SUM(D702:D703)</f>
        <v>1994680</v>
      </c>
      <c r="E701" s="2">
        <f t="shared" si="355"/>
        <v>297080</v>
      </c>
      <c r="F701" s="2">
        <f t="shared" si="355"/>
        <v>891240</v>
      </c>
      <c r="G701" s="2">
        <f t="shared" si="355"/>
        <v>254640</v>
      </c>
      <c r="H701" s="2">
        <f t="shared" si="355"/>
        <v>339520</v>
      </c>
      <c r="I701" s="2">
        <f t="shared" si="355"/>
        <v>212200</v>
      </c>
      <c r="J701" s="2">
        <f t="shared" si="355"/>
        <v>0</v>
      </c>
      <c r="K701" s="14">
        <f t="shared" si="355"/>
        <v>0</v>
      </c>
      <c r="L701" s="2">
        <f t="shared" si="355"/>
        <v>0</v>
      </c>
      <c r="M701" s="2">
        <f t="shared" si="355"/>
        <v>755.7</v>
      </c>
      <c r="N701" s="2">
        <f t="shared" si="355"/>
        <v>4156350</v>
      </c>
      <c r="O701" s="2">
        <f t="shared" si="355"/>
        <v>0</v>
      </c>
      <c r="P701" s="2">
        <f t="shared" si="355"/>
        <v>0</v>
      </c>
      <c r="Q701" s="2">
        <f t="shared" si="355"/>
        <v>1014.5</v>
      </c>
      <c r="R701" s="2">
        <f t="shared" si="355"/>
        <v>3043500</v>
      </c>
      <c r="S701" s="2">
        <f t="shared" si="355"/>
        <v>0</v>
      </c>
      <c r="T701" s="2">
        <f t="shared" si="355"/>
        <v>0</v>
      </c>
      <c r="U701" s="2">
        <f t="shared" si="355"/>
        <v>200000</v>
      </c>
    </row>
    <row r="702" spans="1:22" ht="21.9" customHeight="1">
      <c r="A702" s="37" t="s">
        <v>1914</v>
      </c>
      <c r="B702" s="8" t="s">
        <v>288</v>
      </c>
      <c r="C702" s="2">
        <f t="shared" si="334"/>
        <v>3958220</v>
      </c>
      <c r="D702" s="3">
        <f t="shared" ref="D702:D703" si="356">SUM(E702:J702)</f>
        <v>785370</v>
      </c>
      <c r="E702" s="3">
        <f>350*334.2</f>
        <v>116970</v>
      </c>
      <c r="F702" s="3">
        <f>1050*334.2</f>
        <v>350910</v>
      </c>
      <c r="G702" s="3">
        <f>300*334.2</f>
        <v>100260</v>
      </c>
      <c r="H702" s="3">
        <f>400*334.2</f>
        <v>133680</v>
      </c>
      <c r="I702" s="3">
        <f>250*334.2</f>
        <v>83550</v>
      </c>
      <c r="J702" s="3">
        <v>0</v>
      </c>
      <c r="K702" s="4">
        <v>0</v>
      </c>
      <c r="L702" s="3">
        <v>0</v>
      </c>
      <c r="M702" s="3">
        <v>318.7</v>
      </c>
      <c r="N702" s="3">
        <f t="shared" ref="N702:N703" si="357">M702*5500</f>
        <v>1752850</v>
      </c>
      <c r="O702" s="3">
        <v>0</v>
      </c>
      <c r="P702" s="3">
        <v>0</v>
      </c>
      <c r="Q702" s="3">
        <v>440</v>
      </c>
      <c r="R702" s="3">
        <f t="shared" ref="R702:R703" si="358">Q702*3000</f>
        <v>1320000</v>
      </c>
      <c r="S702" s="3">
        <v>0</v>
      </c>
      <c r="T702" s="3">
        <v>0</v>
      </c>
      <c r="U702" s="3">
        <v>100000</v>
      </c>
      <c r="V702" s="6">
        <f t="shared" ref="V702:V703" si="359">N702/M702</f>
        <v>5500</v>
      </c>
    </row>
    <row r="703" spans="1:22" ht="21.9" customHeight="1">
      <c r="A703" s="37" t="s">
        <v>1915</v>
      </c>
      <c r="B703" s="8" t="s">
        <v>289</v>
      </c>
      <c r="C703" s="2">
        <f t="shared" si="334"/>
        <v>5436310</v>
      </c>
      <c r="D703" s="3">
        <f t="shared" si="356"/>
        <v>1209310</v>
      </c>
      <c r="E703" s="3">
        <f>350*514.6</f>
        <v>180110</v>
      </c>
      <c r="F703" s="3">
        <f>1050*514.6</f>
        <v>540330</v>
      </c>
      <c r="G703" s="3">
        <f>300*514.6</f>
        <v>154380</v>
      </c>
      <c r="H703" s="3">
        <f>400*514.6</f>
        <v>205840</v>
      </c>
      <c r="I703" s="3">
        <f>250*514.6</f>
        <v>128650</v>
      </c>
      <c r="J703" s="3">
        <v>0</v>
      </c>
      <c r="K703" s="4">
        <v>0</v>
      </c>
      <c r="L703" s="3">
        <v>0</v>
      </c>
      <c r="M703" s="3">
        <v>437</v>
      </c>
      <c r="N703" s="3">
        <f t="shared" si="357"/>
        <v>2403500</v>
      </c>
      <c r="O703" s="3">
        <v>0</v>
      </c>
      <c r="P703" s="3">
        <v>0</v>
      </c>
      <c r="Q703" s="3">
        <v>574.5</v>
      </c>
      <c r="R703" s="3">
        <f t="shared" si="358"/>
        <v>1723500</v>
      </c>
      <c r="S703" s="3">
        <v>0</v>
      </c>
      <c r="T703" s="3">
        <v>0</v>
      </c>
      <c r="U703" s="3">
        <v>100000</v>
      </c>
      <c r="V703" s="6">
        <f t="shared" si="359"/>
        <v>5500</v>
      </c>
    </row>
    <row r="704" spans="1:22" ht="45" customHeight="1">
      <c r="A704" s="53" t="s">
        <v>290</v>
      </c>
      <c r="B704" s="53"/>
      <c r="C704" s="2">
        <f>SUM(C705:C714)</f>
        <v>32255270.969999999</v>
      </c>
      <c r="D704" s="2">
        <f t="shared" ref="D704:U704" si="360">SUM(D705:D714)</f>
        <v>4056000</v>
      </c>
      <c r="E704" s="2">
        <f t="shared" si="360"/>
        <v>728000</v>
      </c>
      <c r="F704" s="2">
        <f t="shared" si="360"/>
        <v>2184000</v>
      </c>
      <c r="G704" s="2">
        <f t="shared" si="360"/>
        <v>624000</v>
      </c>
      <c r="H704" s="2">
        <f t="shared" si="360"/>
        <v>0</v>
      </c>
      <c r="I704" s="2">
        <f t="shared" si="360"/>
        <v>520000</v>
      </c>
      <c r="J704" s="2">
        <f t="shared" si="360"/>
        <v>0</v>
      </c>
      <c r="K704" s="14">
        <f t="shared" si="360"/>
        <v>0</v>
      </c>
      <c r="L704" s="2">
        <f t="shared" si="360"/>
        <v>0</v>
      </c>
      <c r="M704" s="2">
        <f t="shared" si="360"/>
        <v>3164</v>
      </c>
      <c r="N704" s="2">
        <f t="shared" si="360"/>
        <v>17402000</v>
      </c>
      <c r="O704" s="2">
        <f t="shared" si="360"/>
        <v>0</v>
      </c>
      <c r="P704" s="2">
        <f t="shared" si="360"/>
        <v>0</v>
      </c>
      <c r="Q704" s="2">
        <f t="shared" si="360"/>
        <v>3412</v>
      </c>
      <c r="R704" s="2">
        <f t="shared" si="360"/>
        <v>10236000</v>
      </c>
      <c r="S704" s="2">
        <f t="shared" si="360"/>
        <v>0</v>
      </c>
      <c r="T704" s="2">
        <f t="shared" si="360"/>
        <v>0</v>
      </c>
      <c r="U704" s="2">
        <f t="shared" si="360"/>
        <v>561270.97</v>
      </c>
    </row>
    <row r="705" spans="1:22" ht="21.9" customHeight="1">
      <c r="A705" s="37" t="s">
        <v>1916</v>
      </c>
      <c r="B705" s="8" t="s">
        <v>291</v>
      </c>
      <c r="C705" s="2">
        <f t="shared" si="334"/>
        <v>2145000</v>
      </c>
      <c r="D705" s="3">
        <f t="shared" ref="D705:D713" si="361">SUM(E705:J705)</f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390</v>
      </c>
      <c r="N705" s="3">
        <f t="shared" ref="N705:N710" si="362">M705*5500</f>
        <v>2145000</v>
      </c>
      <c r="O705" s="3">
        <v>0</v>
      </c>
      <c r="P705" s="3">
        <v>0</v>
      </c>
      <c r="Q705" s="3">
        <v>0</v>
      </c>
      <c r="R705" s="3">
        <f t="shared" ref="R705:R713" si="363">Q705*3000</f>
        <v>0</v>
      </c>
      <c r="S705" s="3">
        <v>0</v>
      </c>
      <c r="T705" s="3">
        <v>0</v>
      </c>
      <c r="U705" s="3">
        <v>0</v>
      </c>
      <c r="V705" s="6">
        <f t="shared" ref="V705:V713" si="364">N705/M705</f>
        <v>5500</v>
      </c>
    </row>
    <row r="706" spans="1:22" ht="21.9" customHeight="1">
      <c r="A706" s="37" t="s">
        <v>1917</v>
      </c>
      <c r="B706" s="8" t="s">
        <v>292</v>
      </c>
      <c r="C706" s="2">
        <f t="shared" si="334"/>
        <v>2145000</v>
      </c>
      <c r="D706" s="3">
        <f t="shared" si="361"/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4">
        <v>0</v>
      </c>
      <c r="L706" s="3">
        <v>0</v>
      </c>
      <c r="M706" s="3">
        <v>390</v>
      </c>
      <c r="N706" s="3">
        <f t="shared" si="362"/>
        <v>2145000</v>
      </c>
      <c r="O706" s="3">
        <v>0</v>
      </c>
      <c r="P706" s="3">
        <v>0</v>
      </c>
      <c r="Q706" s="3">
        <v>0</v>
      </c>
      <c r="R706" s="3">
        <f t="shared" si="363"/>
        <v>0</v>
      </c>
      <c r="S706" s="3">
        <v>0</v>
      </c>
      <c r="T706" s="3">
        <v>0</v>
      </c>
      <c r="U706" s="3">
        <v>0</v>
      </c>
      <c r="V706" s="6">
        <f t="shared" si="364"/>
        <v>5500</v>
      </c>
    </row>
    <row r="707" spans="1:22" ht="21.9" customHeight="1">
      <c r="A707" s="37" t="s">
        <v>1918</v>
      </c>
      <c r="B707" s="8" t="s">
        <v>295</v>
      </c>
      <c r="C707" s="2">
        <f t="shared" si="334"/>
        <v>4100165.37</v>
      </c>
      <c r="D707" s="3">
        <f t="shared" si="361"/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4">
        <v>0</v>
      </c>
      <c r="L707" s="3">
        <v>0</v>
      </c>
      <c r="M707" s="3">
        <v>427</v>
      </c>
      <c r="N707" s="3">
        <f t="shared" si="362"/>
        <v>2348500</v>
      </c>
      <c r="O707" s="3">
        <v>0</v>
      </c>
      <c r="P707" s="3">
        <v>0</v>
      </c>
      <c r="Q707" s="3">
        <v>567</v>
      </c>
      <c r="R707" s="3">
        <f t="shared" si="363"/>
        <v>1701000</v>
      </c>
      <c r="S707" s="3">
        <v>0</v>
      </c>
      <c r="T707" s="3">
        <v>0</v>
      </c>
      <c r="U707" s="3">
        <v>50665.37</v>
      </c>
      <c r="V707" s="6">
        <f t="shared" si="364"/>
        <v>5500</v>
      </c>
    </row>
    <row r="708" spans="1:22" ht="21.9" customHeight="1">
      <c r="A708" s="37" t="s">
        <v>1919</v>
      </c>
      <c r="B708" s="8" t="s">
        <v>296</v>
      </c>
      <c r="C708" s="2">
        <f t="shared" si="334"/>
        <v>4118265.18</v>
      </c>
      <c r="D708" s="3">
        <f t="shared" si="361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4">
        <v>0</v>
      </c>
      <c r="L708" s="3">
        <v>0</v>
      </c>
      <c r="M708" s="3">
        <v>427</v>
      </c>
      <c r="N708" s="3">
        <f t="shared" si="362"/>
        <v>2348500</v>
      </c>
      <c r="O708" s="3">
        <v>0</v>
      </c>
      <c r="P708" s="3">
        <v>0</v>
      </c>
      <c r="Q708" s="3">
        <v>573</v>
      </c>
      <c r="R708" s="3">
        <f t="shared" si="363"/>
        <v>1719000</v>
      </c>
      <c r="S708" s="3">
        <v>0</v>
      </c>
      <c r="T708" s="3">
        <v>0</v>
      </c>
      <c r="U708" s="3">
        <v>50765.18</v>
      </c>
      <c r="V708" s="6">
        <f t="shared" si="364"/>
        <v>5500</v>
      </c>
    </row>
    <row r="709" spans="1:22" ht="21.9" customHeight="1">
      <c r="A709" s="37" t="s">
        <v>1920</v>
      </c>
      <c r="B709" s="8" t="s">
        <v>297</v>
      </c>
      <c r="C709" s="2">
        <f t="shared" si="334"/>
        <v>5125776.66</v>
      </c>
      <c r="D709" s="3">
        <f t="shared" si="361"/>
        <v>996840</v>
      </c>
      <c r="E709" s="3">
        <f>350*511.2</f>
        <v>178920</v>
      </c>
      <c r="F709" s="3">
        <f>1050*511.2</f>
        <v>536760</v>
      </c>
      <c r="G709" s="3">
        <f>300*511.2</f>
        <v>153360</v>
      </c>
      <c r="H709" s="3">
        <f>400*0</f>
        <v>0</v>
      </c>
      <c r="I709" s="3">
        <f>250*511.2</f>
        <v>127800</v>
      </c>
      <c r="J709" s="3">
        <v>0</v>
      </c>
      <c r="K709" s="4">
        <v>0</v>
      </c>
      <c r="L709" s="3">
        <v>0</v>
      </c>
      <c r="M709" s="3">
        <v>427</v>
      </c>
      <c r="N709" s="3">
        <f t="shared" si="362"/>
        <v>2348500</v>
      </c>
      <c r="O709" s="3">
        <v>0</v>
      </c>
      <c r="P709" s="3">
        <v>0</v>
      </c>
      <c r="Q709" s="3">
        <v>550</v>
      </c>
      <c r="R709" s="3">
        <f t="shared" si="363"/>
        <v>1650000</v>
      </c>
      <c r="S709" s="3">
        <v>0</v>
      </c>
      <c r="T709" s="3">
        <v>0</v>
      </c>
      <c r="U709" s="3">
        <v>130436.66</v>
      </c>
      <c r="V709" s="6">
        <f t="shared" si="364"/>
        <v>5500</v>
      </c>
    </row>
    <row r="710" spans="1:22" ht="21.9" customHeight="1">
      <c r="A710" s="37" t="s">
        <v>1921</v>
      </c>
      <c r="B710" s="8" t="s">
        <v>298</v>
      </c>
      <c r="C710" s="2">
        <f t="shared" si="334"/>
        <v>2299000</v>
      </c>
      <c r="D710" s="3">
        <f t="shared" si="361"/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4">
        <v>0</v>
      </c>
      <c r="L710" s="3">
        <v>0</v>
      </c>
      <c r="M710" s="3">
        <v>418</v>
      </c>
      <c r="N710" s="3">
        <f t="shared" si="362"/>
        <v>2299000</v>
      </c>
      <c r="O710" s="3">
        <v>0</v>
      </c>
      <c r="P710" s="3">
        <v>0</v>
      </c>
      <c r="Q710" s="3">
        <v>0</v>
      </c>
      <c r="R710" s="3">
        <f t="shared" si="363"/>
        <v>0</v>
      </c>
      <c r="S710" s="3">
        <v>0</v>
      </c>
      <c r="T710" s="3">
        <v>0</v>
      </c>
      <c r="U710" s="3">
        <v>0</v>
      </c>
      <c r="V710" s="6">
        <f t="shared" si="364"/>
        <v>5500</v>
      </c>
    </row>
    <row r="711" spans="1:22" ht="23.1" customHeight="1">
      <c r="A711" s="37" t="s">
        <v>1922</v>
      </c>
      <c r="B711" s="8" t="s">
        <v>299</v>
      </c>
      <c r="C711" s="2">
        <f>D711+L711+N711+P711+R711+S711+T711+U711</f>
        <v>4979278.76</v>
      </c>
      <c r="D711" s="3">
        <f>SUM(E711:J711)</f>
        <v>979875</v>
      </c>
      <c r="E711" s="3">
        <f>350*502.5</f>
        <v>175875</v>
      </c>
      <c r="F711" s="3">
        <f>1050*502.5</f>
        <v>527625</v>
      </c>
      <c r="G711" s="3">
        <f>300*502.5</f>
        <v>150750</v>
      </c>
      <c r="H711" s="3">
        <f>400*0</f>
        <v>0</v>
      </c>
      <c r="I711" s="3">
        <f>250*502.5</f>
        <v>125625</v>
      </c>
      <c r="J711" s="3">
        <v>0</v>
      </c>
      <c r="K711" s="4">
        <v>0</v>
      </c>
      <c r="L711" s="3">
        <v>0</v>
      </c>
      <c r="M711" s="3">
        <v>390</v>
      </c>
      <c r="N711" s="3">
        <f>M711*5500</f>
        <v>2145000</v>
      </c>
      <c r="O711" s="3">
        <v>0</v>
      </c>
      <c r="P711" s="3">
        <v>0</v>
      </c>
      <c r="Q711" s="3">
        <v>575</v>
      </c>
      <c r="R711" s="3">
        <f>Q711*3000</f>
        <v>1725000</v>
      </c>
      <c r="S711" s="3">
        <v>0</v>
      </c>
      <c r="T711" s="3">
        <v>0</v>
      </c>
      <c r="U711" s="3">
        <v>129403.76</v>
      </c>
      <c r="V711" s="6">
        <f>N711/M711</f>
        <v>5500</v>
      </c>
    </row>
    <row r="712" spans="1:22" ht="21.9" customHeight="1">
      <c r="A712" s="37" t="s">
        <v>1923</v>
      </c>
      <c r="B712" s="8" t="s">
        <v>300</v>
      </c>
      <c r="C712" s="2">
        <f t="shared" si="334"/>
        <v>2893690</v>
      </c>
      <c r="D712" s="3">
        <f t="shared" si="361"/>
        <v>1041690</v>
      </c>
      <c r="E712" s="3">
        <f>350*534.2</f>
        <v>186970.00000000003</v>
      </c>
      <c r="F712" s="3">
        <f>1050*534.2</f>
        <v>560910</v>
      </c>
      <c r="G712" s="3">
        <f>300*534.2</f>
        <v>160260</v>
      </c>
      <c r="H712" s="3">
        <f>400*0</f>
        <v>0</v>
      </c>
      <c r="I712" s="3">
        <f>250*534.2</f>
        <v>133550</v>
      </c>
      <c r="J712" s="3">
        <v>0</v>
      </c>
      <c r="K712" s="4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584</v>
      </c>
      <c r="R712" s="3">
        <f t="shared" si="363"/>
        <v>1752000</v>
      </c>
      <c r="S712" s="3">
        <v>0</v>
      </c>
      <c r="T712" s="3">
        <v>0</v>
      </c>
      <c r="U712" s="3">
        <v>100000</v>
      </c>
      <c r="V712" s="6" t="e">
        <f t="shared" si="364"/>
        <v>#DIV/0!</v>
      </c>
    </row>
    <row r="713" spans="1:22" ht="21.9" customHeight="1">
      <c r="A713" s="37" t="s">
        <v>1924</v>
      </c>
      <c r="B713" s="8" t="s">
        <v>302</v>
      </c>
      <c r="C713" s="2">
        <f t="shared" si="334"/>
        <v>2826595</v>
      </c>
      <c r="D713" s="3">
        <f t="shared" si="361"/>
        <v>1037595</v>
      </c>
      <c r="E713" s="3">
        <f>350*532.1</f>
        <v>186235</v>
      </c>
      <c r="F713" s="3">
        <f>1050*532.1</f>
        <v>558705</v>
      </c>
      <c r="G713" s="3">
        <f>300*532.1</f>
        <v>159630</v>
      </c>
      <c r="H713" s="3">
        <f>400*0</f>
        <v>0</v>
      </c>
      <c r="I713" s="3">
        <f>250*532.1</f>
        <v>133025</v>
      </c>
      <c r="J713" s="3">
        <v>0</v>
      </c>
      <c r="K713" s="4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563</v>
      </c>
      <c r="R713" s="3">
        <f t="shared" si="363"/>
        <v>1689000</v>
      </c>
      <c r="S713" s="3">
        <v>0</v>
      </c>
      <c r="T713" s="3">
        <v>0</v>
      </c>
      <c r="U713" s="3">
        <v>100000</v>
      </c>
      <c r="V713" s="6" t="e">
        <f t="shared" si="364"/>
        <v>#DIV/0!</v>
      </c>
    </row>
    <row r="714" spans="1:22" ht="21.9" customHeight="1">
      <c r="A714" s="37" t="s">
        <v>1925</v>
      </c>
      <c r="B714" s="8" t="s">
        <v>301</v>
      </c>
      <c r="C714" s="2">
        <f>D714+L714+N714+P714+R714+S714+T714+U714</f>
        <v>1622500</v>
      </c>
      <c r="D714" s="3">
        <f>SUM(E714:J714)</f>
        <v>0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295</v>
      </c>
      <c r="N714" s="3">
        <f t="shared" ref="N714" si="365">M714*5500</f>
        <v>1622500</v>
      </c>
      <c r="O714" s="3">
        <v>0</v>
      </c>
      <c r="P714" s="3">
        <v>0</v>
      </c>
      <c r="Q714" s="3">
        <v>0</v>
      </c>
      <c r="R714" s="3">
        <f>Q714*3000</f>
        <v>0</v>
      </c>
      <c r="S714" s="3">
        <v>0</v>
      </c>
      <c r="T714" s="3">
        <v>0</v>
      </c>
      <c r="U714" s="3">
        <v>0</v>
      </c>
      <c r="V714" s="6">
        <f>N714/M714</f>
        <v>5500</v>
      </c>
    </row>
    <row r="715" spans="1:22" ht="45" customHeight="1">
      <c r="A715" s="53" t="s">
        <v>308</v>
      </c>
      <c r="B715" s="53"/>
      <c r="C715" s="2">
        <f>SUM(C716)</f>
        <v>3772924</v>
      </c>
      <c r="D715" s="2">
        <f t="shared" ref="D715:U715" si="366">SUM(D716)</f>
        <v>184184</v>
      </c>
      <c r="E715" s="2">
        <f t="shared" si="366"/>
        <v>184184</v>
      </c>
      <c r="F715" s="2">
        <f t="shared" si="366"/>
        <v>0</v>
      </c>
      <c r="G715" s="2">
        <f t="shared" si="366"/>
        <v>0</v>
      </c>
      <c r="H715" s="2">
        <f t="shared" si="366"/>
        <v>0</v>
      </c>
      <c r="I715" s="2">
        <f t="shared" si="366"/>
        <v>0</v>
      </c>
      <c r="J715" s="2">
        <f t="shared" si="366"/>
        <v>0</v>
      </c>
      <c r="K715" s="14">
        <f t="shared" si="366"/>
        <v>0</v>
      </c>
      <c r="L715" s="2">
        <f t="shared" si="366"/>
        <v>0</v>
      </c>
      <c r="M715" s="2">
        <f t="shared" si="366"/>
        <v>355.2</v>
      </c>
      <c r="N715" s="2">
        <f t="shared" si="366"/>
        <v>1953600</v>
      </c>
      <c r="O715" s="2">
        <f t="shared" si="366"/>
        <v>0</v>
      </c>
      <c r="P715" s="2">
        <f t="shared" si="366"/>
        <v>0</v>
      </c>
      <c r="Q715" s="2">
        <f t="shared" si="366"/>
        <v>428.4</v>
      </c>
      <c r="R715" s="2">
        <f t="shared" si="366"/>
        <v>1285200</v>
      </c>
      <c r="S715" s="2">
        <f t="shared" si="366"/>
        <v>149940</v>
      </c>
      <c r="T715" s="2">
        <f t="shared" si="366"/>
        <v>0</v>
      </c>
      <c r="U715" s="2">
        <f t="shared" si="366"/>
        <v>200000</v>
      </c>
    </row>
    <row r="716" spans="1:22" ht="21.9" customHeight="1">
      <c r="A716" s="36" t="s">
        <v>1926</v>
      </c>
      <c r="B716" s="8" t="s">
        <v>312</v>
      </c>
      <c r="C716" s="2">
        <f t="shared" ref="C716:C755" si="367">D716+L716+N716+P716+R716+S716+T716+U716</f>
        <v>3772924</v>
      </c>
      <c r="D716" s="3">
        <f t="shared" ref="D716" si="368">SUM(E716:J716)</f>
        <v>184184</v>
      </c>
      <c r="E716" s="5">
        <f>526.24*350</f>
        <v>184184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11">
        <v>0</v>
      </c>
      <c r="L716" s="5">
        <v>0</v>
      </c>
      <c r="M716" s="5">
        <v>355.2</v>
      </c>
      <c r="N716" s="3">
        <f t="shared" ref="N716" si="369">M716*5500</f>
        <v>1953600</v>
      </c>
      <c r="O716" s="5">
        <v>0</v>
      </c>
      <c r="P716" s="5">
        <v>0</v>
      </c>
      <c r="Q716" s="5">
        <v>428.4</v>
      </c>
      <c r="R716" s="3">
        <f>Q716*3000</f>
        <v>1285200</v>
      </c>
      <c r="S716" s="5">
        <v>149940</v>
      </c>
      <c r="T716" s="5">
        <v>0</v>
      </c>
      <c r="U716" s="5">
        <v>200000</v>
      </c>
      <c r="V716" s="6">
        <f t="shared" ref="V716" si="370">N716/M716</f>
        <v>5500</v>
      </c>
    </row>
    <row r="717" spans="1:22" ht="45" customHeight="1">
      <c r="A717" s="53" t="s">
        <v>313</v>
      </c>
      <c r="B717" s="53"/>
      <c r="C717" s="2">
        <f>SUM(C718:C720)</f>
        <v>10219835</v>
      </c>
      <c r="D717" s="2">
        <f t="shared" ref="D717:U717" si="371">SUM(D718:D720)</f>
        <v>478065</v>
      </c>
      <c r="E717" s="2">
        <f t="shared" si="371"/>
        <v>478065</v>
      </c>
      <c r="F717" s="2">
        <f t="shared" si="371"/>
        <v>0</v>
      </c>
      <c r="G717" s="2">
        <f t="shared" si="371"/>
        <v>0</v>
      </c>
      <c r="H717" s="2">
        <f t="shared" si="371"/>
        <v>0</v>
      </c>
      <c r="I717" s="2">
        <f t="shared" si="371"/>
        <v>0</v>
      </c>
      <c r="J717" s="2">
        <f t="shared" si="371"/>
        <v>0</v>
      </c>
      <c r="K717" s="14">
        <f t="shared" si="371"/>
        <v>0</v>
      </c>
      <c r="L717" s="2">
        <f t="shared" si="371"/>
        <v>0</v>
      </c>
      <c r="M717" s="2">
        <f t="shared" si="371"/>
        <v>986.24</v>
      </c>
      <c r="N717" s="2">
        <f t="shared" si="371"/>
        <v>5424320</v>
      </c>
      <c r="O717" s="2">
        <f t="shared" si="371"/>
        <v>0</v>
      </c>
      <c r="P717" s="2">
        <f t="shared" si="371"/>
        <v>0</v>
      </c>
      <c r="Q717" s="2">
        <f t="shared" si="371"/>
        <v>1287</v>
      </c>
      <c r="R717" s="2">
        <f t="shared" si="371"/>
        <v>3861000</v>
      </c>
      <c r="S717" s="2">
        <f t="shared" si="371"/>
        <v>156450</v>
      </c>
      <c r="T717" s="2">
        <f t="shared" si="371"/>
        <v>0</v>
      </c>
      <c r="U717" s="2">
        <f t="shared" si="371"/>
        <v>300000</v>
      </c>
    </row>
    <row r="718" spans="1:22" ht="21.9" customHeight="1">
      <c r="A718" s="36" t="s">
        <v>1927</v>
      </c>
      <c r="B718" s="8" t="s">
        <v>314</v>
      </c>
      <c r="C718" s="2">
        <f t="shared" si="367"/>
        <v>3435800</v>
      </c>
      <c r="D718" s="3">
        <f t="shared" ref="D718:D720" si="372">SUM(E718:J718)</f>
        <v>205800</v>
      </c>
      <c r="E718" s="5">
        <f>588*350</f>
        <v>205800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11">
        <v>0</v>
      </c>
      <c r="L718" s="5">
        <v>0</v>
      </c>
      <c r="M718" s="5">
        <v>334</v>
      </c>
      <c r="N718" s="3">
        <f t="shared" ref="N718:N720" si="373">M718*5500</f>
        <v>1837000</v>
      </c>
      <c r="O718" s="5">
        <v>0</v>
      </c>
      <c r="P718" s="5">
        <v>0</v>
      </c>
      <c r="Q718" s="5">
        <v>431</v>
      </c>
      <c r="R718" s="3">
        <f t="shared" ref="R718:R720" si="374">Q718*3000</f>
        <v>1293000</v>
      </c>
      <c r="S718" s="5">
        <v>0</v>
      </c>
      <c r="T718" s="5">
        <v>0</v>
      </c>
      <c r="U718" s="3">
        <v>100000</v>
      </c>
      <c r="V718" s="6">
        <f t="shared" ref="V718:V720" si="375">N718/M718</f>
        <v>5500</v>
      </c>
    </row>
    <row r="719" spans="1:22" ht="21.9" customHeight="1">
      <c r="A719" s="36" t="s">
        <v>1928</v>
      </c>
      <c r="B719" s="8" t="s">
        <v>315</v>
      </c>
      <c r="C719" s="2">
        <f t="shared" si="367"/>
        <v>2208860</v>
      </c>
      <c r="D719" s="3">
        <f t="shared" si="372"/>
        <v>78540</v>
      </c>
      <c r="E719" s="5">
        <f>308*255</f>
        <v>78540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11">
        <v>0</v>
      </c>
      <c r="L719" s="5">
        <v>0</v>
      </c>
      <c r="M719" s="5">
        <v>202.24</v>
      </c>
      <c r="N719" s="3">
        <f t="shared" si="373"/>
        <v>1112320</v>
      </c>
      <c r="O719" s="5">
        <v>0</v>
      </c>
      <c r="P719" s="5">
        <v>0</v>
      </c>
      <c r="Q719" s="5">
        <v>306</v>
      </c>
      <c r="R719" s="3">
        <f t="shared" si="374"/>
        <v>918000</v>
      </c>
      <c r="S719" s="5">
        <v>0</v>
      </c>
      <c r="T719" s="5">
        <v>0</v>
      </c>
      <c r="U719" s="3">
        <v>100000</v>
      </c>
      <c r="V719" s="6">
        <f t="shared" si="375"/>
        <v>5500</v>
      </c>
    </row>
    <row r="720" spans="1:22" ht="21.9" customHeight="1">
      <c r="A720" s="36" t="s">
        <v>1929</v>
      </c>
      <c r="B720" s="8" t="s">
        <v>317</v>
      </c>
      <c r="C720" s="2">
        <f t="shared" si="367"/>
        <v>4575175</v>
      </c>
      <c r="D720" s="3">
        <f t="shared" si="372"/>
        <v>193725</v>
      </c>
      <c r="E720" s="3">
        <f>553.5*350</f>
        <v>193725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4">
        <v>0</v>
      </c>
      <c r="L720" s="3">
        <v>0</v>
      </c>
      <c r="M720" s="5">
        <v>450</v>
      </c>
      <c r="N720" s="3">
        <f t="shared" si="373"/>
        <v>2475000</v>
      </c>
      <c r="O720" s="3">
        <v>0</v>
      </c>
      <c r="P720" s="3">
        <v>0</v>
      </c>
      <c r="Q720" s="3">
        <v>550</v>
      </c>
      <c r="R720" s="3">
        <f t="shared" si="374"/>
        <v>1650000</v>
      </c>
      <c r="S720" s="3">
        <v>156450</v>
      </c>
      <c r="T720" s="3">
        <v>0</v>
      </c>
      <c r="U720" s="3">
        <v>100000</v>
      </c>
      <c r="V720" s="6">
        <f t="shared" si="375"/>
        <v>5500</v>
      </c>
    </row>
    <row r="721" spans="1:22" ht="45" customHeight="1">
      <c r="A721" s="53" t="s">
        <v>973</v>
      </c>
      <c r="B721" s="53"/>
      <c r="C721" s="2">
        <f>SUM(C722)</f>
        <v>3250100</v>
      </c>
      <c r="D721" s="2">
        <f t="shared" ref="D721:U721" si="376">SUM(D722)</f>
        <v>490000</v>
      </c>
      <c r="E721" s="2">
        <f t="shared" si="376"/>
        <v>122500</v>
      </c>
      <c r="F721" s="2">
        <f t="shared" si="376"/>
        <v>367500</v>
      </c>
      <c r="G721" s="2">
        <f t="shared" si="376"/>
        <v>0</v>
      </c>
      <c r="H721" s="2">
        <f t="shared" si="376"/>
        <v>0</v>
      </c>
      <c r="I721" s="2">
        <f t="shared" si="376"/>
        <v>0</v>
      </c>
      <c r="J721" s="2">
        <f t="shared" si="376"/>
        <v>0</v>
      </c>
      <c r="K721" s="14">
        <f t="shared" si="376"/>
        <v>0</v>
      </c>
      <c r="L721" s="2">
        <f t="shared" si="376"/>
        <v>0</v>
      </c>
      <c r="M721" s="2">
        <f t="shared" si="376"/>
        <v>262.2</v>
      </c>
      <c r="N721" s="2">
        <f t="shared" si="376"/>
        <v>1442100</v>
      </c>
      <c r="O721" s="2">
        <f t="shared" si="376"/>
        <v>0</v>
      </c>
      <c r="P721" s="2">
        <f t="shared" si="376"/>
        <v>0</v>
      </c>
      <c r="Q721" s="2">
        <f t="shared" si="376"/>
        <v>406</v>
      </c>
      <c r="R721" s="2">
        <f t="shared" si="376"/>
        <v>1218000</v>
      </c>
      <c r="S721" s="2">
        <f t="shared" si="376"/>
        <v>0</v>
      </c>
      <c r="T721" s="2">
        <f t="shared" si="376"/>
        <v>0</v>
      </c>
      <c r="U721" s="2">
        <f t="shared" si="376"/>
        <v>100000</v>
      </c>
    </row>
    <row r="722" spans="1:22" ht="21.9" customHeight="1">
      <c r="A722" s="37" t="s">
        <v>1930</v>
      </c>
      <c r="B722" s="8" t="s">
        <v>322</v>
      </c>
      <c r="C722" s="2">
        <f t="shared" si="367"/>
        <v>3250100</v>
      </c>
      <c r="D722" s="3">
        <f t="shared" ref="D722" si="377">SUM(E722:J722)</f>
        <v>490000</v>
      </c>
      <c r="E722" s="3">
        <f>350*350</f>
        <v>122500</v>
      </c>
      <c r="F722" s="3">
        <f>1050*350</f>
        <v>367500</v>
      </c>
      <c r="G722" s="3">
        <f>350*0</f>
        <v>0</v>
      </c>
      <c r="H722" s="3">
        <f>400*0</f>
        <v>0</v>
      </c>
      <c r="I722" s="3">
        <f>250*0</f>
        <v>0</v>
      </c>
      <c r="J722" s="3">
        <v>0</v>
      </c>
      <c r="K722" s="4">
        <v>0</v>
      </c>
      <c r="L722" s="3">
        <v>0</v>
      </c>
      <c r="M722" s="3">
        <v>262.2</v>
      </c>
      <c r="N722" s="3">
        <f t="shared" ref="N722" si="378">M722*5500</f>
        <v>1442100</v>
      </c>
      <c r="O722" s="3">
        <v>0</v>
      </c>
      <c r="P722" s="3">
        <v>0</v>
      </c>
      <c r="Q722" s="3">
        <v>406</v>
      </c>
      <c r="R722" s="3">
        <f>Q722*3000</f>
        <v>1218000</v>
      </c>
      <c r="S722" s="3">
        <v>0</v>
      </c>
      <c r="T722" s="3">
        <v>0</v>
      </c>
      <c r="U722" s="3">
        <v>100000</v>
      </c>
      <c r="V722" s="6">
        <f t="shared" ref="V722" si="379">N722/M722</f>
        <v>5500</v>
      </c>
    </row>
    <row r="723" spans="1:22" ht="45" customHeight="1">
      <c r="A723" s="53" t="s">
        <v>325</v>
      </c>
      <c r="B723" s="53"/>
      <c r="C723" s="2">
        <f>SUM(C724:C726)</f>
        <v>12230900</v>
      </c>
      <c r="D723" s="2">
        <f t="shared" ref="D723:U723" si="380">SUM(D724:D726)</f>
        <v>329000</v>
      </c>
      <c r="E723" s="2">
        <f t="shared" si="380"/>
        <v>329000</v>
      </c>
      <c r="F723" s="2">
        <f t="shared" si="380"/>
        <v>0</v>
      </c>
      <c r="G723" s="2">
        <f t="shared" si="380"/>
        <v>0</v>
      </c>
      <c r="H723" s="2">
        <f t="shared" si="380"/>
        <v>0</v>
      </c>
      <c r="I723" s="2">
        <f t="shared" si="380"/>
        <v>0</v>
      </c>
      <c r="J723" s="2">
        <f t="shared" si="380"/>
        <v>0</v>
      </c>
      <c r="K723" s="14">
        <f t="shared" si="380"/>
        <v>0</v>
      </c>
      <c r="L723" s="2">
        <f t="shared" si="380"/>
        <v>0</v>
      </c>
      <c r="M723" s="2">
        <f t="shared" si="380"/>
        <v>1704.2</v>
      </c>
      <c r="N723" s="2">
        <f t="shared" si="380"/>
        <v>9373100</v>
      </c>
      <c r="O723" s="2">
        <f t="shared" si="380"/>
        <v>0</v>
      </c>
      <c r="P723" s="2">
        <f t="shared" si="380"/>
        <v>0</v>
      </c>
      <c r="Q723" s="2">
        <f t="shared" si="380"/>
        <v>809.6</v>
      </c>
      <c r="R723" s="2">
        <f t="shared" si="380"/>
        <v>2428800</v>
      </c>
      <c r="S723" s="2">
        <f t="shared" si="380"/>
        <v>0</v>
      </c>
      <c r="T723" s="2">
        <f t="shared" si="380"/>
        <v>0</v>
      </c>
      <c r="U723" s="2">
        <f t="shared" si="380"/>
        <v>100000</v>
      </c>
    </row>
    <row r="724" spans="1:22" ht="21.9" customHeight="1">
      <c r="A724" s="37" t="s">
        <v>1931</v>
      </c>
      <c r="B724" s="8" t="s">
        <v>326</v>
      </c>
      <c r="C724" s="2">
        <f t="shared" si="367"/>
        <v>6466900</v>
      </c>
      <c r="D724" s="3">
        <f t="shared" ref="D724:D726" si="381">SUM(E724:J724)</f>
        <v>329000</v>
      </c>
      <c r="E724" s="3">
        <f>350*940</f>
        <v>329000</v>
      </c>
      <c r="F724" s="3">
        <v>0</v>
      </c>
      <c r="G724" s="3">
        <f>350*0</f>
        <v>0</v>
      </c>
      <c r="H724" s="3">
        <f>400*0</f>
        <v>0</v>
      </c>
      <c r="I724" s="3">
        <f>250*0</f>
        <v>0</v>
      </c>
      <c r="J724" s="3">
        <v>0</v>
      </c>
      <c r="K724" s="4">
        <v>0</v>
      </c>
      <c r="L724" s="3">
        <v>0</v>
      </c>
      <c r="M724" s="3">
        <v>656.2</v>
      </c>
      <c r="N724" s="3">
        <f t="shared" ref="N724:N725" si="382">M724*5500</f>
        <v>3609100.0000000005</v>
      </c>
      <c r="O724" s="3">
        <v>0</v>
      </c>
      <c r="P724" s="3">
        <v>0</v>
      </c>
      <c r="Q724" s="3">
        <v>809.6</v>
      </c>
      <c r="R724" s="3">
        <f t="shared" ref="R724:R726" si="383">Q724*3000</f>
        <v>2428800</v>
      </c>
      <c r="S724" s="3">
        <v>0</v>
      </c>
      <c r="T724" s="3">
        <v>0</v>
      </c>
      <c r="U724" s="3">
        <v>100000</v>
      </c>
      <c r="V724" s="6">
        <f t="shared" ref="V724:V726" si="384">N724/M724</f>
        <v>5500</v>
      </c>
    </row>
    <row r="725" spans="1:22" ht="21.9" customHeight="1">
      <c r="A725" s="37" t="s">
        <v>1932</v>
      </c>
      <c r="B725" s="8" t="s">
        <v>977</v>
      </c>
      <c r="C725" s="2">
        <f t="shared" si="367"/>
        <v>3514500</v>
      </c>
      <c r="D725" s="3">
        <f t="shared" si="381"/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4">
        <v>0</v>
      </c>
      <c r="L725" s="3">
        <v>0</v>
      </c>
      <c r="M725" s="3">
        <v>639</v>
      </c>
      <c r="N725" s="3">
        <f t="shared" si="382"/>
        <v>3514500</v>
      </c>
      <c r="O725" s="3">
        <v>0</v>
      </c>
      <c r="P725" s="3">
        <v>0</v>
      </c>
      <c r="Q725" s="3">
        <v>0</v>
      </c>
      <c r="R725" s="3">
        <f t="shared" si="383"/>
        <v>0</v>
      </c>
      <c r="S725" s="3">
        <v>0</v>
      </c>
      <c r="T725" s="3">
        <v>0</v>
      </c>
      <c r="U725" s="3">
        <v>0</v>
      </c>
      <c r="V725" s="6">
        <f t="shared" si="384"/>
        <v>5500</v>
      </c>
    </row>
    <row r="726" spans="1:22" ht="21.9" customHeight="1">
      <c r="A726" s="37" t="s">
        <v>1933</v>
      </c>
      <c r="B726" s="8" t="s">
        <v>327</v>
      </c>
      <c r="C726" s="2">
        <f t="shared" si="367"/>
        <v>2249500</v>
      </c>
      <c r="D726" s="3">
        <f t="shared" si="381"/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4">
        <v>0</v>
      </c>
      <c r="L726" s="3">
        <v>0</v>
      </c>
      <c r="M726" s="3">
        <v>409</v>
      </c>
      <c r="N726" s="3">
        <f t="shared" ref="N726" si="385">M726*5500</f>
        <v>2249500</v>
      </c>
      <c r="O726" s="3">
        <v>0</v>
      </c>
      <c r="P726" s="3">
        <v>0</v>
      </c>
      <c r="Q726" s="3">
        <v>0</v>
      </c>
      <c r="R726" s="3">
        <f t="shared" si="383"/>
        <v>0</v>
      </c>
      <c r="S726" s="3">
        <v>0</v>
      </c>
      <c r="T726" s="3">
        <v>0</v>
      </c>
      <c r="U726" s="3">
        <v>0</v>
      </c>
      <c r="V726" s="6">
        <f t="shared" si="384"/>
        <v>5500</v>
      </c>
    </row>
    <row r="727" spans="1:22" ht="45" customHeight="1">
      <c r="A727" s="53" t="s">
        <v>329</v>
      </c>
      <c r="B727" s="53"/>
      <c r="C727" s="2">
        <f>SUM(C728)</f>
        <v>300000</v>
      </c>
      <c r="D727" s="2">
        <f t="shared" ref="D727:U727" si="386">SUM(D728)</f>
        <v>0</v>
      </c>
      <c r="E727" s="2">
        <f t="shared" si="386"/>
        <v>0</v>
      </c>
      <c r="F727" s="2">
        <f t="shared" si="386"/>
        <v>0</v>
      </c>
      <c r="G727" s="2">
        <f t="shared" si="386"/>
        <v>0</v>
      </c>
      <c r="H727" s="2">
        <f t="shared" si="386"/>
        <v>0</v>
      </c>
      <c r="I727" s="2">
        <f t="shared" si="386"/>
        <v>0</v>
      </c>
      <c r="J727" s="2">
        <f t="shared" si="386"/>
        <v>0</v>
      </c>
      <c r="K727" s="14">
        <f t="shared" si="386"/>
        <v>0</v>
      </c>
      <c r="L727" s="2">
        <f t="shared" si="386"/>
        <v>0</v>
      </c>
      <c r="M727" s="2">
        <f t="shared" si="386"/>
        <v>0</v>
      </c>
      <c r="N727" s="2">
        <f t="shared" si="386"/>
        <v>0</v>
      </c>
      <c r="O727" s="2">
        <f t="shared" si="386"/>
        <v>0</v>
      </c>
      <c r="P727" s="2">
        <f t="shared" si="386"/>
        <v>0</v>
      </c>
      <c r="Q727" s="2">
        <f t="shared" si="386"/>
        <v>0</v>
      </c>
      <c r="R727" s="2">
        <f t="shared" si="386"/>
        <v>0</v>
      </c>
      <c r="S727" s="2">
        <f t="shared" si="386"/>
        <v>0</v>
      </c>
      <c r="T727" s="2">
        <f t="shared" si="386"/>
        <v>0</v>
      </c>
      <c r="U727" s="2">
        <f t="shared" si="386"/>
        <v>300000</v>
      </c>
    </row>
    <row r="728" spans="1:22" ht="21.9" customHeight="1">
      <c r="A728" s="37" t="s">
        <v>1934</v>
      </c>
      <c r="B728" s="1" t="s">
        <v>330</v>
      </c>
      <c r="C728" s="2">
        <f t="shared" si="367"/>
        <v>300000</v>
      </c>
      <c r="D728" s="3">
        <f t="shared" ref="D728" si="387">SUM(E728:J728)</f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4">
        <v>0</v>
      </c>
      <c r="L728" s="3">
        <v>0</v>
      </c>
      <c r="M728" s="3">
        <v>0</v>
      </c>
      <c r="N728" s="3">
        <f t="shared" ref="N728" si="388">M728*5500</f>
        <v>0</v>
      </c>
      <c r="O728" s="3">
        <v>0</v>
      </c>
      <c r="P728" s="3">
        <v>0</v>
      </c>
      <c r="Q728" s="3">
        <v>0</v>
      </c>
      <c r="R728" s="3">
        <f>Q728*3000</f>
        <v>0</v>
      </c>
      <c r="S728" s="3">
        <v>0</v>
      </c>
      <c r="T728" s="3">
        <v>0</v>
      </c>
      <c r="U728" s="3">
        <v>300000</v>
      </c>
      <c r="V728" s="6" t="e">
        <f t="shared" ref="V728" si="389">N728/M728</f>
        <v>#DIV/0!</v>
      </c>
    </row>
    <row r="729" spans="1:22" ht="35.1" customHeight="1">
      <c r="A729" s="53" t="s">
        <v>332</v>
      </c>
      <c r="B729" s="53"/>
      <c r="C729" s="2">
        <f>SUM(C730)</f>
        <v>5125262</v>
      </c>
      <c r="D729" s="2">
        <f t="shared" ref="D729:U729" si="390">SUM(D730)</f>
        <v>341859</v>
      </c>
      <c r="E729" s="2">
        <f t="shared" si="390"/>
        <v>341859</v>
      </c>
      <c r="F729" s="2">
        <f t="shared" si="390"/>
        <v>0</v>
      </c>
      <c r="G729" s="2">
        <f t="shared" si="390"/>
        <v>0</v>
      </c>
      <c r="H729" s="2">
        <f t="shared" si="390"/>
        <v>0</v>
      </c>
      <c r="I729" s="2">
        <f t="shared" si="390"/>
        <v>0</v>
      </c>
      <c r="J729" s="2">
        <f t="shared" si="390"/>
        <v>0</v>
      </c>
      <c r="K729" s="14">
        <f t="shared" si="390"/>
        <v>0</v>
      </c>
      <c r="L729" s="2">
        <f t="shared" si="390"/>
        <v>0</v>
      </c>
      <c r="M729" s="2">
        <f t="shared" si="390"/>
        <v>546</v>
      </c>
      <c r="N729" s="2">
        <f t="shared" si="390"/>
        <v>2893800</v>
      </c>
      <c r="O729" s="2">
        <f t="shared" si="390"/>
        <v>0</v>
      </c>
      <c r="P729" s="2">
        <f t="shared" si="390"/>
        <v>0</v>
      </c>
      <c r="Q729" s="2">
        <f t="shared" si="390"/>
        <v>648.6</v>
      </c>
      <c r="R729" s="2">
        <f t="shared" si="390"/>
        <v>1689603</v>
      </c>
      <c r="S729" s="2">
        <f t="shared" si="390"/>
        <v>0</v>
      </c>
      <c r="T729" s="2">
        <f t="shared" si="390"/>
        <v>0</v>
      </c>
      <c r="U729" s="2">
        <f t="shared" si="390"/>
        <v>200000</v>
      </c>
      <c r="V729" s="18">
        <f>C729</f>
        <v>5125262</v>
      </c>
    </row>
    <row r="730" spans="1:22" ht="23.1" customHeight="1">
      <c r="A730" s="36" t="s">
        <v>1935</v>
      </c>
      <c r="B730" s="8" t="s">
        <v>333</v>
      </c>
      <c r="C730" s="2">
        <f t="shared" ref="C730" si="391">D730+L730+N730+P730+R730+S730+T730+U730</f>
        <v>5125262</v>
      </c>
      <c r="D730" s="3">
        <f t="shared" ref="D730" si="392">SUM(E730:J730)</f>
        <v>341859</v>
      </c>
      <c r="E730" s="3">
        <f>350*976.74</f>
        <v>341859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11">
        <v>0</v>
      </c>
      <c r="L730" s="5">
        <v>0</v>
      </c>
      <c r="M730" s="5">
        <v>546</v>
      </c>
      <c r="N730" s="3">
        <v>2893800</v>
      </c>
      <c r="O730" s="5">
        <v>0</v>
      </c>
      <c r="P730" s="5">
        <v>0</v>
      </c>
      <c r="Q730" s="5">
        <v>648.6</v>
      </c>
      <c r="R730" s="5">
        <v>1689603</v>
      </c>
      <c r="S730" s="5">
        <v>0</v>
      </c>
      <c r="T730" s="5">
        <v>0</v>
      </c>
      <c r="U730" s="5">
        <v>200000</v>
      </c>
      <c r="V730" s="6">
        <f t="shared" ref="V730" si="393">N730/M730</f>
        <v>5300</v>
      </c>
    </row>
    <row r="731" spans="1:22" ht="45" customHeight="1">
      <c r="A731" s="53" t="s">
        <v>334</v>
      </c>
      <c r="B731" s="53"/>
      <c r="C731" s="2">
        <f>SUM(C732:C733)</f>
        <v>27268650</v>
      </c>
      <c r="D731" s="2">
        <f t="shared" ref="D731:U731" si="394">SUM(D732:D733)</f>
        <v>2820000</v>
      </c>
      <c r="E731" s="2">
        <f t="shared" si="394"/>
        <v>420000</v>
      </c>
      <c r="F731" s="2">
        <f t="shared" si="394"/>
        <v>960000</v>
      </c>
      <c r="G731" s="2">
        <f t="shared" si="394"/>
        <v>360000</v>
      </c>
      <c r="H731" s="2">
        <f t="shared" si="394"/>
        <v>600000</v>
      </c>
      <c r="I731" s="2">
        <f t="shared" si="394"/>
        <v>480000</v>
      </c>
      <c r="J731" s="2">
        <f t="shared" si="394"/>
        <v>0</v>
      </c>
      <c r="K731" s="14">
        <f t="shared" si="394"/>
        <v>0</v>
      </c>
      <c r="L731" s="2">
        <f t="shared" si="394"/>
        <v>0</v>
      </c>
      <c r="M731" s="2">
        <f t="shared" si="394"/>
        <v>2130.6999999999998</v>
      </c>
      <c r="N731" s="2">
        <f t="shared" si="394"/>
        <v>11718849.999999998</v>
      </c>
      <c r="O731" s="2">
        <f t="shared" si="394"/>
        <v>0</v>
      </c>
      <c r="P731" s="2">
        <f t="shared" si="394"/>
        <v>0</v>
      </c>
      <c r="Q731" s="2">
        <f t="shared" si="394"/>
        <v>4176.6000000000004</v>
      </c>
      <c r="R731" s="2">
        <f t="shared" si="394"/>
        <v>12529800.000000002</v>
      </c>
      <c r="S731" s="2">
        <f t="shared" si="394"/>
        <v>0</v>
      </c>
      <c r="T731" s="2">
        <f t="shared" si="394"/>
        <v>0</v>
      </c>
      <c r="U731" s="2">
        <f t="shared" si="394"/>
        <v>200000</v>
      </c>
    </row>
    <row r="732" spans="1:22" ht="21.9" customHeight="1">
      <c r="A732" s="37" t="s">
        <v>1936</v>
      </c>
      <c r="B732" s="8" t="s">
        <v>824</v>
      </c>
      <c r="C732" s="2">
        <f>D732+L732+N732+P732+R732+S732+T732+U732</f>
        <v>3020000</v>
      </c>
      <c r="D732" s="3">
        <f t="shared" ref="D732" si="395">SUM(E732:J732)</f>
        <v>2820000</v>
      </c>
      <c r="E732" s="3">
        <f>350*1200</f>
        <v>420000</v>
      </c>
      <c r="F732" s="3">
        <f>800*1200</f>
        <v>960000</v>
      </c>
      <c r="G732" s="3">
        <f>300*1200</f>
        <v>360000</v>
      </c>
      <c r="H732" s="3">
        <f>500*1200</f>
        <v>600000</v>
      </c>
      <c r="I732" s="3">
        <f>400*1200</f>
        <v>480000</v>
      </c>
      <c r="J732" s="3">
        <f>350*0</f>
        <v>0</v>
      </c>
      <c r="K732" s="4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200000</v>
      </c>
      <c r="V732" s="6" t="e">
        <f>N732/M732</f>
        <v>#DIV/0!</v>
      </c>
    </row>
    <row r="733" spans="1:22" ht="21.9" customHeight="1">
      <c r="A733" s="37" t="s">
        <v>1937</v>
      </c>
      <c r="B733" s="8" t="s">
        <v>335</v>
      </c>
      <c r="C733" s="2">
        <f t="shared" si="367"/>
        <v>24248650</v>
      </c>
      <c r="D733" s="3">
        <f t="shared" ref="D733" si="396">SUM(E733:J733)</f>
        <v>0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4">
        <v>0</v>
      </c>
      <c r="L733" s="3">
        <v>0</v>
      </c>
      <c r="M733" s="3">
        <v>2130.6999999999998</v>
      </c>
      <c r="N733" s="3">
        <f t="shared" ref="N733" si="397">M733*5500</f>
        <v>11718849.999999998</v>
      </c>
      <c r="O733" s="3">
        <v>0</v>
      </c>
      <c r="P733" s="3">
        <v>0</v>
      </c>
      <c r="Q733" s="3">
        <v>4176.6000000000004</v>
      </c>
      <c r="R733" s="3">
        <f>Q733*3000</f>
        <v>12529800.000000002</v>
      </c>
      <c r="S733" s="3">
        <v>0</v>
      </c>
      <c r="T733" s="3">
        <v>0</v>
      </c>
      <c r="U733" s="3">
        <v>0</v>
      </c>
      <c r="V733" s="6">
        <f t="shared" ref="V733" si="398">N733/M733</f>
        <v>5500</v>
      </c>
    </row>
    <row r="734" spans="1:22" ht="45" customHeight="1">
      <c r="A734" s="53" t="s">
        <v>1284</v>
      </c>
      <c r="B734" s="53"/>
      <c r="C734" s="2">
        <f>SUM(C735:C750)</f>
        <v>136744412.12</v>
      </c>
      <c r="D734" s="2">
        <f t="shared" ref="D734:U734" si="399">SUM(D735:D750)</f>
        <v>28082710</v>
      </c>
      <c r="E734" s="2">
        <f t="shared" si="399"/>
        <v>4776030</v>
      </c>
      <c r="F734" s="2">
        <f t="shared" si="399"/>
        <v>14328090</v>
      </c>
      <c r="G734" s="2">
        <f t="shared" si="399"/>
        <v>4093740</v>
      </c>
      <c r="H734" s="2">
        <f t="shared" si="399"/>
        <v>1473400</v>
      </c>
      <c r="I734" s="2">
        <f t="shared" si="399"/>
        <v>3411450</v>
      </c>
      <c r="J734" s="2">
        <f t="shared" si="399"/>
        <v>0</v>
      </c>
      <c r="K734" s="14">
        <f t="shared" si="399"/>
        <v>6</v>
      </c>
      <c r="L734" s="2">
        <f t="shared" si="399"/>
        <v>12900000</v>
      </c>
      <c r="M734" s="2">
        <f t="shared" si="399"/>
        <v>9289.5</v>
      </c>
      <c r="N734" s="2">
        <f t="shared" si="399"/>
        <v>51092250</v>
      </c>
      <c r="O734" s="2">
        <f t="shared" si="399"/>
        <v>0</v>
      </c>
      <c r="P734" s="2">
        <f t="shared" si="399"/>
        <v>0</v>
      </c>
      <c r="Q734" s="2">
        <f t="shared" si="399"/>
        <v>13949.8</v>
      </c>
      <c r="R734" s="2">
        <f t="shared" si="399"/>
        <v>41849400</v>
      </c>
      <c r="S734" s="2">
        <f t="shared" si="399"/>
        <v>0</v>
      </c>
      <c r="T734" s="2">
        <f t="shared" si="399"/>
        <v>0</v>
      </c>
      <c r="U734" s="2">
        <f t="shared" si="399"/>
        <v>2820052.12</v>
      </c>
    </row>
    <row r="735" spans="1:22" ht="21.9" customHeight="1">
      <c r="A735" s="37" t="s">
        <v>1938</v>
      </c>
      <c r="B735" s="8" t="s">
        <v>343</v>
      </c>
      <c r="C735" s="2">
        <f t="shared" si="367"/>
        <v>3858650</v>
      </c>
      <c r="D735" s="3">
        <f t="shared" ref="D735:D748" si="400">SUM(E735:J735)</f>
        <v>547950</v>
      </c>
      <c r="E735" s="3">
        <f>350*281</f>
        <v>98350</v>
      </c>
      <c r="F735" s="3">
        <f>1050*281</f>
        <v>295050</v>
      </c>
      <c r="G735" s="3">
        <f>300*281</f>
        <v>84300</v>
      </c>
      <c r="H735" s="3">
        <f t="shared" ref="H735:H741" si="401">400*0</f>
        <v>0</v>
      </c>
      <c r="I735" s="3">
        <f>250*281</f>
        <v>70250</v>
      </c>
      <c r="J735" s="3">
        <v>0</v>
      </c>
      <c r="K735" s="4">
        <v>0</v>
      </c>
      <c r="L735" s="3">
        <v>0</v>
      </c>
      <c r="M735" s="3">
        <v>400</v>
      </c>
      <c r="N735" s="3">
        <f t="shared" ref="N735:N741" si="402">M735*5500</f>
        <v>2200000</v>
      </c>
      <c r="O735" s="3">
        <v>0</v>
      </c>
      <c r="P735" s="3">
        <v>0</v>
      </c>
      <c r="Q735" s="3">
        <v>336.9</v>
      </c>
      <c r="R735" s="3">
        <f t="shared" ref="R735:R748" si="403">Q735*3000</f>
        <v>1010699.9999999999</v>
      </c>
      <c r="S735" s="3">
        <v>0</v>
      </c>
      <c r="T735" s="3">
        <v>0</v>
      </c>
      <c r="U735" s="3">
        <v>100000</v>
      </c>
      <c r="V735" s="6">
        <f t="shared" ref="V735:V750" si="404">N735/M735</f>
        <v>5500</v>
      </c>
    </row>
    <row r="736" spans="1:22" ht="21.9" customHeight="1">
      <c r="A736" s="37" t="s">
        <v>1939</v>
      </c>
      <c r="B736" s="8" t="s">
        <v>1066</v>
      </c>
      <c r="C736" s="2">
        <f t="shared" si="367"/>
        <v>4308150</v>
      </c>
      <c r="D736" s="3">
        <f t="shared" ref="D736" si="405"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5">
        <v>783.3</v>
      </c>
      <c r="N736" s="5">
        <f>M736*5500</f>
        <v>4308150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6">
        <f t="shared" si="404"/>
        <v>5500</v>
      </c>
    </row>
    <row r="737" spans="1:22" ht="21.9" customHeight="1">
      <c r="A737" s="37" t="s">
        <v>1940</v>
      </c>
      <c r="B737" s="8" t="s">
        <v>347</v>
      </c>
      <c r="C737" s="2">
        <f t="shared" si="367"/>
        <v>7265186.9199999999</v>
      </c>
      <c r="D737" s="3">
        <f t="shared" si="400"/>
        <v>1533480</v>
      </c>
      <c r="E737" s="3">
        <f>350*786.4</f>
        <v>275240</v>
      </c>
      <c r="F737" s="3">
        <f>1050*786.4</f>
        <v>825720</v>
      </c>
      <c r="G737" s="3">
        <f>300*786.4</f>
        <v>235920</v>
      </c>
      <c r="H737" s="3">
        <f t="shared" si="401"/>
        <v>0</v>
      </c>
      <c r="I737" s="3">
        <f>250*786.4</f>
        <v>196600</v>
      </c>
      <c r="J737" s="3">
        <v>0</v>
      </c>
      <c r="K737" s="4">
        <v>0</v>
      </c>
      <c r="L737" s="3">
        <v>0</v>
      </c>
      <c r="M737" s="3">
        <v>613.20000000000005</v>
      </c>
      <c r="N737" s="3">
        <f t="shared" si="402"/>
        <v>3372600.0000000005</v>
      </c>
      <c r="O737" s="3">
        <v>0</v>
      </c>
      <c r="P737" s="3">
        <v>0</v>
      </c>
      <c r="Q737" s="3">
        <v>740</v>
      </c>
      <c r="R737" s="3">
        <f t="shared" si="403"/>
        <v>2220000</v>
      </c>
      <c r="S737" s="3">
        <v>0</v>
      </c>
      <c r="T737" s="3">
        <v>0</v>
      </c>
      <c r="U737" s="3">
        <v>139106.92000000001</v>
      </c>
      <c r="V737" s="6">
        <f t="shared" si="404"/>
        <v>5500</v>
      </c>
    </row>
    <row r="738" spans="1:22" ht="21.9" customHeight="1">
      <c r="A738" s="37" t="s">
        <v>1941</v>
      </c>
      <c r="B738" s="8" t="s">
        <v>348</v>
      </c>
      <c r="C738" s="2">
        <f t="shared" si="367"/>
        <v>7347597.1799999997</v>
      </c>
      <c r="D738" s="3">
        <f t="shared" si="400"/>
        <v>1533480</v>
      </c>
      <c r="E738" s="3">
        <f>350*786.4</f>
        <v>275240</v>
      </c>
      <c r="F738" s="3">
        <f>1050*786.4</f>
        <v>825720</v>
      </c>
      <c r="G738" s="3">
        <f>300*786.4</f>
        <v>235920</v>
      </c>
      <c r="H738" s="3">
        <f t="shared" si="401"/>
        <v>0</v>
      </c>
      <c r="I738" s="3">
        <f>250*786.4</f>
        <v>196600</v>
      </c>
      <c r="J738" s="3">
        <v>0</v>
      </c>
      <c r="K738" s="4">
        <v>0</v>
      </c>
      <c r="L738" s="3">
        <v>0</v>
      </c>
      <c r="M738" s="3">
        <v>613.20000000000005</v>
      </c>
      <c r="N738" s="3">
        <f t="shared" si="402"/>
        <v>3372600.0000000005</v>
      </c>
      <c r="O738" s="3">
        <v>0</v>
      </c>
      <c r="P738" s="3">
        <v>0</v>
      </c>
      <c r="Q738" s="3">
        <v>767</v>
      </c>
      <c r="R738" s="3">
        <f t="shared" si="403"/>
        <v>2301000</v>
      </c>
      <c r="S738" s="3">
        <v>0</v>
      </c>
      <c r="T738" s="3">
        <v>0</v>
      </c>
      <c r="U738" s="3">
        <v>140517.18</v>
      </c>
      <c r="V738" s="6">
        <f t="shared" si="404"/>
        <v>5500</v>
      </c>
    </row>
    <row r="739" spans="1:22" ht="21.9" customHeight="1">
      <c r="A739" s="37" t="s">
        <v>1942</v>
      </c>
      <c r="B739" s="8" t="s">
        <v>349</v>
      </c>
      <c r="C739" s="2">
        <f t="shared" si="367"/>
        <v>7257639.8200000003</v>
      </c>
      <c r="D739" s="3">
        <f t="shared" si="400"/>
        <v>1524900</v>
      </c>
      <c r="E739" s="3">
        <f>350*782</f>
        <v>273700</v>
      </c>
      <c r="F739" s="3">
        <f>1050*782</f>
        <v>821100</v>
      </c>
      <c r="G739" s="3">
        <f>300*782</f>
        <v>234600</v>
      </c>
      <c r="H739" s="3">
        <f t="shared" si="401"/>
        <v>0</v>
      </c>
      <c r="I739" s="3">
        <f>250*782</f>
        <v>195500</v>
      </c>
      <c r="J739" s="3">
        <v>0</v>
      </c>
      <c r="K739" s="4">
        <v>0</v>
      </c>
      <c r="L739" s="3">
        <v>0</v>
      </c>
      <c r="M739" s="3">
        <v>613.20000000000005</v>
      </c>
      <c r="N739" s="3">
        <f t="shared" si="402"/>
        <v>3372600.0000000005</v>
      </c>
      <c r="O739" s="3">
        <v>0</v>
      </c>
      <c r="P739" s="3">
        <v>0</v>
      </c>
      <c r="Q739" s="3">
        <v>740</v>
      </c>
      <c r="R739" s="3">
        <f t="shared" si="403"/>
        <v>2220000</v>
      </c>
      <c r="S739" s="3">
        <v>0</v>
      </c>
      <c r="T739" s="3">
        <v>0</v>
      </c>
      <c r="U739" s="3">
        <v>140139.82</v>
      </c>
      <c r="V739" s="6">
        <f t="shared" si="404"/>
        <v>5500</v>
      </c>
    </row>
    <row r="740" spans="1:22" ht="21.9" customHeight="1">
      <c r="A740" s="37" t="s">
        <v>1943</v>
      </c>
      <c r="B740" s="8" t="s">
        <v>350</v>
      </c>
      <c r="C740" s="2">
        <f t="shared" si="367"/>
        <v>7325561.0300000003</v>
      </c>
      <c r="D740" s="3">
        <f t="shared" si="400"/>
        <v>1536600</v>
      </c>
      <c r="E740" s="3">
        <f>350*788</f>
        <v>275800</v>
      </c>
      <c r="F740" s="3">
        <f>1050*788</f>
        <v>827400</v>
      </c>
      <c r="G740" s="3">
        <f>300*788</f>
        <v>236400</v>
      </c>
      <c r="H740" s="3">
        <f t="shared" si="401"/>
        <v>0</v>
      </c>
      <c r="I740" s="3">
        <f>250*788</f>
        <v>197000</v>
      </c>
      <c r="J740" s="3">
        <v>0</v>
      </c>
      <c r="K740" s="4">
        <v>0</v>
      </c>
      <c r="L740" s="3">
        <v>0</v>
      </c>
      <c r="M740" s="3">
        <v>618</v>
      </c>
      <c r="N740" s="3">
        <f t="shared" si="402"/>
        <v>3399000</v>
      </c>
      <c r="O740" s="3">
        <v>0</v>
      </c>
      <c r="P740" s="3">
        <v>0</v>
      </c>
      <c r="Q740" s="3">
        <v>750</v>
      </c>
      <c r="R740" s="3">
        <f t="shared" si="403"/>
        <v>2250000</v>
      </c>
      <c r="S740" s="3">
        <v>0</v>
      </c>
      <c r="T740" s="3">
        <v>0</v>
      </c>
      <c r="U740" s="3">
        <v>139961.03</v>
      </c>
      <c r="V740" s="6">
        <f t="shared" si="404"/>
        <v>5500</v>
      </c>
    </row>
    <row r="741" spans="1:22" ht="21.9" customHeight="1">
      <c r="A741" s="37" t="s">
        <v>1944</v>
      </c>
      <c r="B741" s="8" t="s">
        <v>351</v>
      </c>
      <c r="C741" s="2">
        <f t="shared" si="367"/>
        <v>7341928.1299999999</v>
      </c>
      <c r="D741" s="3">
        <f t="shared" si="400"/>
        <v>1540500</v>
      </c>
      <c r="E741" s="3">
        <f>350*790</f>
        <v>276500</v>
      </c>
      <c r="F741" s="3">
        <f>1050*790</f>
        <v>829500</v>
      </c>
      <c r="G741" s="3">
        <f>300*790</f>
        <v>237000</v>
      </c>
      <c r="H741" s="3">
        <f t="shared" si="401"/>
        <v>0</v>
      </c>
      <c r="I741" s="3">
        <f>250*790</f>
        <v>197500</v>
      </c>
      <c r="J741" s="3">
        <v>0</v>
      </c>
      <c r="K741" s="4">
        <v>0</v>
      </c>
      <c r="L741" s="3">
        <v>0</v>
      </c>
      <c r="M741" s="3">
        <v>615</v>
      </c>
      <c r="N741" s="3">
        <f t="shared" si="402"/>
        <v>3382500</v>
      </c>
      <c r="O741" s="3">
        <v>0</v>
      </c>
      <c r="P741" s="3">
        <v>0</v>
      </c>
      <c r="Q741" s="3">
        <v>760</v>
      </c>
      <c r="R741" s="3">
        <f t="shared" si="403"/>
        <v>2280000</v>
      </c>
      <c r="S741" s="3">
        <v>0</v>
      </c>
      <c r="T741" s="3">
        <v>0</v>
      </c>
      <c r="U741" s="3">
        <v>138928.13</v>
      </c>
      <c r="V741" s="6">
        <f t="shared" si="404"/>
        <v>5500</v>
      </c>
    </row>
    <row r="742" spans="1:22" ht="21.9" customHeight="1">
      <c r="A742" s="37" t="s">
        <v>1945</v>
      </c>
      <c r="B742" s="8" t="s">
        <v>352</v>
      </c>
      <c r="C742" s="2">
        <f t="shared" si="367"/>
        <v>300000</v>
      </c>
      <c r="D742" s="3">
        <f t="shared" si="400"/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f t="shared" si="403"/>
        <v>0</v>
      </c>
      <c r="S742" s="3">
        <v>0</v>
      </c>
      <c r="T742" s="3">
        <v>0</v>
      </c>
      <c r="U742" s="3">
        <v>300000</v>
      </c>
      <c r="V742" s="6" t="e">
        <f t="shared" si="404"/>
        <v>#DIV/0!</v>
      </c>
    </row>
    <row r="743" spans="1:22" ht="21.9" customHeight="1">
      <c r="A743" s="37" t="s">
        <v>1946</v>
      </c>
      <c r="B743" s="8" t="s">
        <v>353</v>
      </c>
      <c r="C743" s="2">
        <f t="shared" si="367"/>
        <v>26676525</v>
      </c>
      <c r="D743" s="3">
        <f t="shared" si="400"/>
        <v>8656225</v>
      </c>
      <c r="E743" s="3">
        <f>350*3683.5</f>
        <v>1289225</v>
      </c>
      <c r="F743" s="3">
        <f>1050*3683.5</f>
        <v>3867675</v>
      </c>
      <c r="G743" s="3">
        <f>300*3683.5</f>
        <v>1105050</v>
      </c>
      <c r="H743" s="3">
        <f>400*3683.5</f>
        <v>1473400</v>
      </c>
      <c r="I743" s="3">
        <f>250*3683.5</f>
        <v>920875</v>
      </c>
      <c r="J743" s="3">
        <v>0</v>
      </c>
      <c r="K743" s="4">
        <v>0</v>
      </c>
      <c r="L743" s="3">
        <v>0</v>
      </c>
      <c r="M743" s="5">
        <v>1794.6</v>
      </c>
      <c r="N743" s="5">
        <f>M743*5500</f>
        <v>9870300</v>
      </c>
      <c r="O743" s="3">
        <v>0</v>
      </c>
      <c r="P743" s="3">
        <v>0</v>
      </c>
      <c r="Q743" s="3">
        <v>2650</v>
      </c>
      <c r="R743" s="3">
        <f>Q743*3000</f>
        <v>7950000</v>
      </c>
      <c r="S743" s="3">
        <v>0</v>
      </c>
      <c r="T743" s="3">
        <v>0</v>
      </c>
      <c r="U743" s="3">
        <v>200000</v>
      </c>
      <c r="V743" s="6">
        <f>N743/M743</f>
        <v>5500</v>
      </c>
    </row>
    <row r="744" spans="1:22" ht="21.9" customHeight="1">
      <c r="A744" s="37" t="s">
        <v>1947</v>
      </c>
      <c r="B744" s="8" t="s">
        <v>354</v>
      </c>
      <c r="C744" s="2">
        <f t="shared" si="367"/>
        <v>4674570</v>
      </c>
      <c r="D744" s="3">
        <f t="shared" si="400"/>
        <v>894270</v>
      </c>
      <c r="E744" s="3">
        <f>350*458.6</f>
        <v>160510</v>
      </c>
      <c r="F744" s="3">
        <f>1050*458.6</f>
        <v>481530</v>
      </c>
      <c r="G744" s="3">
        <f>300*458.6</f>
        <v>137580</v>
      </c>
      <c r="H744" s="3">
        <f>400*0</f>
        <v>0</v>
      </c>
      <c r="I744" s="3">
        <f>250*458.6</f>
        <v>114650</v>
      </c>
      <c r="J744" s="3">
        <v>0</v>
      </c>
      <c r="K744" s="4">
        <v>0</v>
      </c>
      <c r="L744" s="3">
        <v>0</v>
      </c>
      <c r="M744" s="3">
        <v>389</v>
      </c>
      <c r="N744" s="3">
        <f t="shared" ref="N744:N748" si="406">M744*5500</f>
        <v>2139500</v>
      </c>
      <c r="O744" s="3">
        <v>0</v>
      </c>
      <c r="P744" s="3">
        <v>0</v>
      </c>
      <c r="Q744" s="3">
        <v>513.6</v>
      </c>
      <c r="R744" s="3">
        <f t="shared" si="403"/>
        <v>1540800</v>
      </c>
      <c r="S744" s="3">
        <v>0</v>
      </c>
      <c r="T744" s="3">
        <v>0</v>
      </c>
      <c r="U744" s="3">
        <v>100000</v>
      </c>
      <c r="V744" s="6">
        <f t="shared" si="404"/>
        <v>5500</v>
      </c>
    </row>
    <row r="745" spans="1:22" ht="21.9" customHeight="1">
      <c r="A745" s="37" t="s">
        <v>1948</v>
      </c>
      <c r="B745" s="8" t="s">
        <v>355</v>
      </c>
      <c r="C745" s="2">
        <f t="shared" si="367"/>
        <v>8656579.0399999991</v>
      </c>
      <c r="D745" s="3">
        <f t="shared" si="400"/>
        <v>2013180</v>
      </c>
      <c r="E745" s="3">
        <f>350*1032.4</f>
        <v>361340.00000000006</v>
      </c>
      <c r="F745" s="3">
        <f>1050*1032.4</f>
        <v>1084020</v>
      </c>
      <c r="G745" s="3">
        <f>300*1032.4</f>
        <v>309720</v>
      </c>
      <c r="H745" s="3">
        <f>400*0</f>
        <v>0</v>
      </c>
      <c r="I745" s="3">
        <f>250*1032.4</f>
        <v>258100.00000000003</v>
      </c>
      <c r="J745" s="3">
        <v>0</v>
      </c>
      <c r="K745" s="4">
        <v>0</v>
      </c>
      <c r="L745" s="3">
        <v>0</v>
      </c>
      <c r="M745" s="3">
        <v>684</v>
      </c>
      <c r="N745" s="3">
        <f t="shared" si="406"/>
        <v>3762000</v>
      </c>
      <c r="O745" s="3">
        <v>0</v>
      </c>
      <c r="P745" s="3">
        <v>0</v>
      </c>
      <c r="Q745" s="3">
        <v>920</v>
      </c>
      <c r="R745" s="3">
        <f t="shared" si="403"/>
        <v>2760000</v>
      </c>
      <c r="S745" s="3">
        <v>0</v>
      </c>
      <c r="T745" s="3">
        <v>0</v>
      </c>
      <c r="U745" s="3">
        <v>121399.03999999999</v>
      </c>
      <c r="V745" s="6">
        <f t="shared" si="404"/>
        <v>5500</v>
      </c>
    </row>
    <row r="746" spans="1:22" ht="21.9" customHeight="1">
      <c r="A746" s="37" t="s">
        <v>1949</v>
      </c>
      <c r="B746" s="8" t="s">
        <v>356</v>
      </c>
      <c r="C746" s="2">
        <f t="shared" si="367"/>
        <v>14039030</v>
      </c>
      <c r="D746" s="3">
        <f t="shared" si="400"/>
        <v>3696030</v>
      </c>
      <c r="E746" s="3">
        <f>350*1895.4</f>
        <v>663390</v>
      </c>
      <c r="F746" s="3">
        <f>1050*1895.4</f>
        <v>1990170</v>
      </c>
      <c r="G746" s="3">
        <f>300*1895.4</f>
        <v>568620</v>
      </c>
      <c r="H746" s="3">
        <v>0</v>
      </c>
      <c r="I746" s="3">
        <f>250*1895.4</f>
        <v>473850</v>
      </c>
      <c r="J746" s="3">
        <v>0</v>
      </c>
      <c r="K746" s="4">
        <v>0</v>
      </c>
      <c r="L746" s="3">
        <v>0</v>
      </c>
      <c r="M746" s="3">
        <v>886</v>
      </c>
      <c r="N746" s="3">
        <f t="shared" si="406"/>
        <v>4873000</v>
      </c>
      <c r="O746" s="3">
        <v>0</v>
      </c>
      <c r="P746" s="3">
        <v>0</v>
      </c>
      <c r="Q746" s="3">
        <v>1790</v>
      </c>
      <c r="R746" s="3">
        <f t="shared" si="403"/>
        <v>5370000</v>
      </c>
      <c r="S746" s="3">
        <v>0</v>
      </c>
      <c r="T746" s="3">
        <v>0</v>
      </c>
      <c r="U746" s="3">
        <v>100000</v>
      </c>
      <c r="V746" s="6">
        <f t="shared" si="404"/>
        <v>5500</v>
      </c>
    </row>
    <row r="747" spans="1:22" ht="21.9" customHeight="1">
      <c r="A747" s="37" t="s">
        <v>1950</v>
      </c>
      <c r="B747" s="8" t="s">
        <v>357</v>
      </c>
      <c r="C747" s="2">
        <f t="shared" si="367"/>
        <v>4919930</v>
      </c>
      <c r="D747" s="3">
        <f t="shared" si="400"/>
        <v>966030</v>
      </c>
      <c r="E747" s="3">
        <f>350*495.4</f>
        <v>173390</v>
      </c>
      <c r="F747" s="3">
        <f>1050*495.4</f>
        <v>520170</v>
      </c>
      <c r="G747" s="3">
        <f>300*495.4</f>
        <v>148620</v>
      </c>
      <c r="H747" s="3">
        <v>0</v>
      </c>
      <c r="I747" s="3">
        <f>250*495.4</f>
        <v>123850</v>
      </c>
      <c r="J747" s="3">
        <v>0</v>
      </c>
      <c r="K747" s="4">
        <v>0</v>
      </c>
      <c r="L747" s="3">
        <v>0</v>
      </c>
      <c r="M747" s="3">
        <v>394</v>
      </c>
      <c r="N747" s="3">
        <f t="shared" si="406"/>
        <v>2167000</v>
      </c>
      <c r="O747" s="3">
        <v>0</v>
      </c>
      <c r="P747" s="3">
        <v>0</v>
      </c>
      <c r="Q747" s="3">
        <v>562.29999999999995</v>
      </c>
      <c r="R747" s="3">
        <f t="shared" si="403"/>
        <v>1686899.9999999998</v>
      </c>
      <c r="S747" s="3">
        <v>0</v>
      </c>
      <c r="T747" s="3">
        <v>0</v>
      </c>
      <c r="U747" s="3">
        <v>100000</v>
      </c>
      <c r="V747" s="6">
        <f t="shared" si="404"/>
        <v>5500</v>
      </c>
    </row>
    <row r="748" spans="1:22" ht="21.9" customHeight="1">
      <c r="A748" s="37" t="s">
        <v>1951</v>
      </c>
      <c r="B748" s="8" t="s">
        <v>358</v>
      </c>
      <c r="C748" s="2">
        <f t="shared" si="367"/>
        <v>13983065</v>
      </c>
      <c r="D748" s="3">
        <f t="shared" si="400"/>
        <v>3640065</v>
      </c>
      <c r="E748" s="3">
        <f>350*1866.7</f>
        <v>653345</v>
      </c>
      <c r="F748" s="3">
        <f>1050*1866.7</f>
        <v>1960035</v>
      </c>
      <c r="G748" s="3">
        <f>300*1866.7</f>
        <v>560010</v>
      </c>
      <c r="H748" s="3">
        <f>400*0</f>
        <v>0</v>
      </c>
      <c r="I748" s="3">
        <f>250*1866.7</f>
        <v>466675</v>
      </c>
      <c r="J748" s="3">
        <v>0</v>
      </c>
      <c r="K748" s="4">
        <v>0</v>
      </c>
      <c r="L748" s="3">
        <v>0</v>
      </c>
      <c r="M748" s="3">
        <v>886</v>
      </c>
      <c r="N748" s="3">
        <f t="shared" si="406"/>
        <v>4873000</v>
      </c>
      <c r="O748" s="3">
        <v>0</v>
      </c>
      <c r="P748" s="3">
        <v>0</v>
      </c>
      <c r="Q748" s="3">
        <v>1790</v>
      </c>
      <c r="R748" s="3">
        <f t="shared" si="403"/>
        <v>5370000</v>
      </c>
      <c r="S748" s="3">
        <v>0</v>
      </c>
      <c r="T748" s="3">
        <v>0</v>
      </c>
      <c r="U748" s="3">
        <v>100000</v>
      </c>
      <c r="V748" s="6">
        <f t="shared" si="404"/>
        <v>5500</v>
      </c>
    </row>
    <row r="749" spans="1:22" ht="21.9" customHeight="1">
      <c r="A749" s="37" t="s">
        <v>1952</v>
      </c>
      <c r="B749" s="40" t="s">
        <v>1305</v>
      </c>
      <c r="C749" s="2">
        <f>D749+L749+N749+P749+R749+S749+T749+U749</f>
        <v>5390000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41">
        <v>1630</v>
      </c>
      <c r="R749" s="5">
        <f>Q749*3000</f>
        <v>4890000</v>
      </c>
      <c r="S749" s="3">
        <v>0</v>
      </c>
      <c r="T749" s="3">
        <v>0</v>
      </c>
      <c r="U749" s="3">
        <v>500000</v>
      </c>
      <c r="V749" s="6" t="e">
        <f>N749/M749</f>
        <v>#DIV/0!</v>
      </c>
    </row>
    <row r="750" spans="1:22" ht="21.9" customHeight="1">
      <c r="A750" s="37" t="s">
        <v>1953</v>
      </c>
      <c r="B750" s="8" t="s">
        <v>371</v>
      </c>
      <c r="C750" s="2">
        <f>D750+L750+N750+P750+R750+S750+T750+U750</f>
        <v>13400000</v>
      </c>
      <c r="D750" s="3">
        <f t="shared" ref="D750" si="407"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6</v>
      </c>
      <c r="L750" s="3">
        <v>12900000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500000</v>
      </c>
      <c r="V750" s="6" t="e">
        <f t="shared" si="404"/>
        <v>#DIV/0!</v>
      </c>
    </row>
    <row r="751" spans="1:22" ht="45" customHeight="1">
      <c r="A751" s="53" t="s">
        <v>375</v>
      </c>
      <c r="B751" s="53"/>
      <c r="C751" s="2">
        <f>SUM(C752:C753)</f>
        <v>4114141.8</v>
      </c>
      <c r="D751" s="2">
        <f t="shared" ref="D751:U751" si="408">SUM(D752:D753)</f>
        <v>115255</v>
      </c>
      <c r="E751" s="2">
        <f t="shared" si="408"/>
        <v>115255</v>
      </c>
      <c r="F751" s="2">
        <f t="shared" si="408"/>
        <v>0</v>
      </c>
      <c r="G751" s="2">
        <f t="shared" si="408"/>
        <v>0</v>
      </c>
      <c r="H751" s="2">
        <f t="shared" si="408"/>
        <v>0</v>
      </c>
      <c r="I751" s="2">
        <f t="shared" si="408"/>
        <v>0</v>
      </c>
      <c r="J751" s="2">
        <f t="shared" si="408"/>
        <v>0</v>
      </c>
      <c r="K751" s="14">
        <f t="shared" si="408"/>
        <v>0</v>
      </c>
      <c r="L751" s="2">
        <f t="shared" si="408"/>
        <v>0</v>
      </c>
      <c r="M751" s="2">
        <f t="shared" si="408"/>
        <v>588.79999999999995</v>
      </c>
      <c r="N751" s="2">
        <f t="shared" si="408"/>
        <v>2632886.7999999998</v>
      </c>
      <c r="O751" s="2">
        <f t="shared" si="408"/>
        <v>0</v>
      </c>
      <c r="P751" s="2">
        <f t="shared" si="408"/>
        <v>0</v>
      </c>
      <c r="Q751" s="2">
        <f t="shared" si="408"/>
        <v>422</v>
      </c>
      <c r="R751" s="2">
        <f t="shared" si="408"/>
        <v>1266000</v>
      </c>
      <c r="S751" s="2">
        <f t="shared" si="408"/>
        <v>0</v>
      </c>
      <c r="T751" s="2">
        <f t="shared" si="408"/>
        <v>0</v>
      </c>
      <c r="U751" s="2">
        <f t="shared" si="408"/>
        <v>100000</v>
      </c>
      <c r="V751" s="18">
        <f>C751</f>
        <v>4114141.8</v>
      </c>
    </row>
    <row r="752" spans="1:22" ht="21.9" customHeight="1">
      <c r="A752" s="37" t="s">
        <v>1954</v>
      </c>
      <c r="B752" s="8" t="s">
        <v>372</v>
      </c>
      <c r="C752" s="2">
        <f t="shared" si="367"/>
        <v>2883755</v>
      </c>
      <c r="D752" s="3">
        <f t="shared" ref="D752:D753" si="409">SUM(E752:J752)</f>
        <v>115255</v>
      </c>
      <c r="E752" s="3">
        <f>350*329.3</f>
        <v>115255</v>
      </c>
      <c r="F752" s="3">
        <f>1050*0</f>
        <v>0</v>
      </c>
      <c r="G752" s="3">
        <f>350*0</f>
        <v>0</v>
      </c>
      <c r="H752" s="3">
        <f>400*0</f>
        <v>0</v>
      </c>
      <c r="I752" s="3">
        <f>250*0</f>
        <v>0</v>
      </c>
      <c r="J752" s="3">
        <v>0</v>
      </c>
      <c r="K752" s="4">
        <v>0</v>
      </c>
      <c r="L752" s="3">
        <v>0</v>
      </c>
      <c r="M752" s="3">
        <v>255</v>
      </c>
      <c r="N752" s="3">
        <f t="shared" ref="N752" si="410">M752*5500</f>
        <v>1402500</v>
      </c>
      <c r="O752" s="3">
        <v>0</v>
      </c>
      <c r="P752" s="3">
        <v>0</v>
      </c>
      <c r="Q752" s="3">
        <v>422</v>
      </c>
      <c r="R752" s="3">
        <f>Q752*3000</f>
        <v>1266000</v>
      </c>
      <c r="S752" s="3">
        <v>0</v>
      </c>
      <c r="T752" s="3">
        <v>0</v>
      </c>
      <c r="U752" s="3">
        <v>100000</v>
      </c>
      <c r="V752" s="6">
        <f t="shared" ref="V752:V753" si="411">N752/M752</f>
        <v>5500</v>
      </c>
    </row>
    <row r="753" spans="1:22" ht="21.9" customHeight="1">
      <c r="A753" s="37" t="s">
        <v>1955</v>
      </c>
      <c r="B753" s="8" t="s">
        <v>1226</v>
      </c>
      <c r="C753" s="2">
        <f t="shared" si="367"/>
        <v>1230386.8</v>
      </c>
      <c r="D753" s="3">
        <f t="shared" si="409"/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3">
        <v>333.8</v>
      </c>
      <c r="N753" s="3">
        <f>M753*3686</f>
        <v>1230386.8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6">
        <f t="shared" si="411"/>
        <v>3686</v>
      </c>
    </row>
    <row r="754" spans="1:22" ht="45" customHeight="1">
      <c r="A754" s="53" t="s">
        <v>374</v>
      </c>
      <c r="B754" s="53"/>
      <c r="C754" s="2">
        <f>SUM(C755)</f>
        <v>3402988.92</v>
      </c>
      <c r="D754" s="2">
        <f t="shared" ref="D754:U754" si="412">SUM(D755)</f>
        <v>0</v>
      </c>
      <c r="E754" s="2">
        <f t="shared" si="412"/>
        <v>0</v>
      </c>
      <c r="F754" s="2">
        <f t="shared" si="412"/>
        <v>0</v>
      </c>
      <c r="G754" s="2">
        <f t="shared" si="412"/>
        <v>0</v>
      </c>
      <c r="H754" s="2">
        <f t="shared" si="412"/>
        <v>0</v>
      </c>
      <c r="I754" s="2">
        <f t="shared" si="412"/>
        <v>0</v>
      </c>
      <c r="J754" s="2">
        <f t="shared" si="412"/>
        <v>0</v>
      </c>
      <c r="K754" s="14">
        <f t="shared" si="412"/>
        <v>0</v>
      </c>
      <c r="L754" s="2">
        <f t="shared" si="412"/>
        <v>0</v>
      </c>
      <c r="M754" s="2">
        <f t="shared" si="412"/>
        <v>923.22</v>
      </c>
      <c r="N754" s="2">
        <f t="shared" si="412"/>
        <v>3402988.92</v>
      </c>
      <c r="O754" s="2">
        <f t="shared" si="412"/>
        <v>0</v>
      </c>
      <c r="P754" s="2">
        <f t="shared" si="412"/>
        <v>0</v>
      </c>
      <c r="Q754" s="2">
        <f t="shared" si="412"/>
        <v>0</v>
      </c>
      <c r="R754" s="2">
        <f t="shared" si="412"/>
        <v>0</v>
      </c>
      <c r="S754" s="2">
        <f t="shared" si="412"/>
        <v>0</v>
      </c>
      <c r="T754" s="2">
        <f t="shared" si="412"/>
        <v>0</v>
      </c>
      <c r="U754" s="2">
        <f t="shared" si="412"/>
        <v>0</v>
      </c>
      <c r="V754" s="18">
        <f>C754</f>
        <v>3402988.92</v>
      </c>
    </row>
    <row r="755" spans="1:22" ht="21.9" customHeight="1">
      <c r="A755" s="37" t="s">
        <v>1956</v>
      </c>
      <c r="B755" s="42" t="s">
        <v>1227</v>
      </c>
      <c r="C755" s="2">
        <f t="shared" si="367"/>
        <v>3402988.92</v>
      </c>
      <c r="D755" s="3">
        <f t="shared" ref="D755" si="413">SUM(E755:J755)</f>
        <v>0</v>
      </c>
      <c r="E755" s="3">
        <v>0</v>
      </c>
      <c r="F755" s="3">
        <f>1050*0</f>
        <v>0</v>
      </c>
      <c r="G755" s="3">
        <f>350*0</f>
        <v>0</v>
      </c>
      <c r="H755" s="3">
        <f>400*0</f>
        <v>0</v>
      </c>
      <c r="I755" s="3">
        <f>250*0</f>
        <v>0</v>
      </c>
      <c r="J755" s="3">
        <v>0</v>
      </c>
      <c r="K755" s="4">
        <v>0</v>
      </c>
      <c r="L755" s="3">
        <v>0</v>
      </c>
      <c r="M755" s="3">
        <v>923.22</v>
      </c>
      <c r="N755" s="3">
        <f>M755*3686</f>
        <v>3402988.92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6">
        <f t="shared" ref="V755" si="414">N755/M755</f>
        <v>3686</v>
      </c>
    </row>
    <row r="756" spans="1:22" s="16" customFormat="1" ht="24.9" customHeight="1">
      <c r="A756" s="61" t="s">
        <v>210</v>
      </c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15"/>
    </row>
    <row r="757" spans="1:22" ht="24.9" customHeight="1">
      <c r="A757" s="62" t="s">
        <v>211</v>
      </c>
      <c r="B757" s="62"/>
      <c r="C757" s="2">
        <f t="shared" ref="C757:U757" si="415">C758+C761+C784+C786+C789+C793+C796+C799+C804+C806+C809+C814+C816+C822+C824+C829+C831+C835+C837+C840+C842+C847+C849+C865+C873+C878+C881+C896+C899+C902+C1101+C1103+C1105+C1107+C1109+C1113+C1116+C1119+C1121+C1123+C1125+C1131+C1133+C1147+C1151</f>
        <v>1466725276.3600001</v>
      </c>
      <c r="D757" s="2">
        <f t="shared" si="415"/>
        <v>312434044</v>
      </c>
      <c r="E757" s="2">
        <f t="shared" si="415"/>
        <v>52348453.5</v>
      </c>
      <c r="F757" s="2">
        <f t="shared" si="415"/>
        <v>147031601.5</v>
      </c>
      <c r="G757" s="2">
        <f t="shared" si="415"/>
        <v>42349956</v>
      </c>
      <c r="H757" s="2">
        <f t="shared" si="415"/>
        <v>34652968</v>
      </c>
      <c r="I757" s="2">
        <f t="shared" si="415"/>
        <v>36051065</v>
      </c>
      <c r="J757" s="2">
        <f t="shared" si="415"/>
        <v>0</v>
      </c>
      <c r="K757" s="14">
        <f t="shared" si="415"/>
        <v>6</v>
      </c>
      <c r="L757" s="2">
        <f t="shared" si="415"/>
        <v>13200000</v>
      </c>
      <c r="M757" s="2">
        <f t="shared" si="415"/>
        <v>162267.6</v>
      </c>
      <c r="N757" s="2">
        <f t="shared" si="415"/>
        <v>846359608.36000001</v>
      </c>
      <c r="O757" s="2">
        <f t="shared" si="415"/>
        <v>1795.2</v>
      </c>
      <c r="P757" s="2">
        <f t="shared" si="415"/>
        <v>2602030</v>
      </c>
      <c r="Q757" s="2">
        <f t="shared" si="415"/>
        <v>90964.239999999991</v>
      </c>
      <c r="R757" s="2">
        <f t="shared" si="415"/>
        <v>272892720</v>
      </c>
      <c r="S757" s="2">
        <f t="shared" si="415"/>
        <v>3236874</v>
      </c>
      <c r="T757" s="2">
        <f t="shared" si="415"/>
        <v>0</v>
      </c>
      <c r="U757" s="2">
        <f t="shared" si="415"/>
        <v>16000000</v>
      </c>
    </row>
    <row r="758" spans="1:22" ht="45" customHeight="1">
      <c r="A758" s="53" t="s">
        <v>1283</v>
      </c>
      <c r="B758" s="53"/>
      <c r="C758" s="2">
        <f>SUM(C759:C760)</f>
        <v>9839500</v>
      </c>
      <c r="D758" s="2">
        <f t="shared" ref="D758:U758" si="416">SUM(D759:D760)</f>
        <v>0</v>
      </c>
      <c r="E758" s="2">
        <f t="shared" si="416"/>
        <v>0</v>
      </c>
      <c r="F758" s="2">
        <f t="shared" si="416"/>
        <v>0</v>
      </c>
      <c r="G758" s="2">
        <f t="shared" si="416"/>
        <v>0</v>
      </c>
      <c r="H758" s="2">
        <f t="shared" si="416"/>
        <v>0</v>
      </c>
      <c r="I758" s="2">
        <f t="shared" si="416"/>
        <v>0</v>
      </c>
      <c r="J758" s="2">
        <f t="shared" si="416"/>
        <v>0</v>
      </c>
      <c r="K758" s="14">
        <f t="shared" si="416"/>
        <v>0</v>
      </c>
      <c r="L758" s="2">
        <f t="shared" si="416"/>
        <v>0</v>
      </c>
      <c r="M758" s="2">
        <f t="shared" si="416"/>
        <v>1789</v>
      </c>
      <c r="N758" s="2">
        <f t="shared" si="416"/>
        <v>9839500</v>
      </c>
      <c r="O758" s="2">
        <f t="shared" si="416"/>
        <v>0</v>
      </c>
      <c r="P758" s="2">
        <f t="shared" si="416"/>
        <v>0</v>
      </c>
      <c r="Q758" s="2">
        <f t="shared" si="416"/>
        <v>0</v>
      </c>
      <c r="R758" s="2">
        <f t="shared" si="416"/>
        <v>0</v>
      </c>
      <c r="S758" s="2">
        <f t="shared" si="416"/>
        <v>0</v>
      </c>
      <c r="T758" s="2">
        <f t="shared" si="416"/>
        <v>0</v>
      </c>
      <c r="U758" s="2">
        <f t="shared" si="416"/>
        <v>0</v>
      </c>
    </row>
    <row r="759" spans="1:22" ht="21.9" customHeight="1">
      <c r="A759" s="37" t="s">
        <v>1957</v>
      </c>
      <c r="B759" s="38" t="s">
        <v>19</v>
      </c>
      <c r="C759" s="2">
        <f t="shared" ref="C759:C826" si="417">D759+L759+N759+P759+R759+S759+T759+U759</f>
        <v>5197500</v>
      </c>
      <c r="D759" s="3">
        <f t="shared" ref="D759:D760" si="418"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4">
        <v>0</v>
      </c>
      <c r="L759" s="3">
        <v>0</v>
      </c>
      <c r="M759" s="3">
        <v>945</v>
      </c>
      <c r="N759" s="3">
        <f t="shared" ref="N759:N760" si="419">M759*5500</f>
        <v>5197500</v>
      </c>
      <c r="O759" s="3">
        <v>0</v>
      </c>
      <c r="P759" s="3">
        <v>0</v>
      </c>
      <c r="Q759" s="3">
        <v>0</v>
      </c>
      <c r="R759" s="3">
        <f t="shared" ref="R759:R760" si="420">Q759*3000</f>
        <v>0</v>
      </c>
      <c r="S759" s="3">
        <v>0</v>
      </c>
      <c r="T759" s="3">
        <v>0</v>
      </c>
      <c r="U759" s="3">
        <v>0</v>
      </c>
      <c r="V759" s="6">
        <f t="shared" ref="V759:V760" si="421">N759/M759</f>
        <v>5500</v>
      </c>
    </row>
    <row r="760" spans="1:22" ht="21.9" customHeight="1">
      <c r="A760" s="37" t="s">
        <v>1958</v>
      </c>
      <c r="B760" s="38" t="s">
        <v>24</v>
      </c>
      <c r="C760" s="2">
        <f t="shared" si="417"/>
        <v>4642000</v>
      </c>
      <c r="D760" s="3">
        <f t="shared" si="418"/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3">
        <v>844</v>
      </c>
      <c r="N760" s="3">
        <f t="shared" si="419"/>
        <v>4642000</v>
      </c>
      <c r="O760" s="3">
        <v>0</v>
      </c>
      <c r="P760" s="3">
        <v>0</v>
      </c>
      <c r="Q760" s="3">
        <v>0</v>
      </c>
      <c r="R760" s="3">
        <f t="shared" si="420"/>
        <v>0</v>
      </c>
      <c r="S760" s="3">
        <v>0</v>
      </c>
      <c r="T760" s="3">
        <v>0</v>
      </c>
      <c r="U760" s="3">
        <v>0</v>
      </c>
      <c r="V760" s="6">
        <f t="shared" si="421"/>
        <v>5500</v>
      </c>
    </row>
    <row r="761" spans="1:22" ht="45" customHeight="1">
      <c r="A761" s="53" t="s">
        <v>0</v>
      </c>
      <c r="B761" s="53"/>
      <c r="C761" s="2">
        <f>SUM(C762:C783)</f>
        <v>137881067.80000001</v>
      </c>
      <c r="D761" s="2">
        <f t="shared" ref="D761:U761" si="422">SUM(D762:D783)</f>
        <v>19333351.5</v>
      </c>
      <c r="E761" s="2">
        <f t="shared" si="422"/>
        <v>3574095</v>
      </c>
      <c r="F761" s="2">
        <f t="shared" si="422"/>
        <v>10142821.5</v>
      </c>
      <c r="G761" s="2">
        <f t="shared" si="422"/>
        <v>3063510</v>
      </c>
      <c r="H761" s="2">
        <f t="shared" si="422"/>
        <v>0</v>
      </c>
      <c r="I761" s="2">
        <f t="shared" si="422"/>
        <v>2552925</v>
      </c>
      <c r="J761" s="2">
        <f t="shared" si="422"/>
        <v>0</v>
      </c>
      <c r="K761" s="14">
        <f t="shared" si="422"/>
        <v>0</v>
      </c>
      <c r="L761" s="2">
        <f t="shared" si="422"/>
        <v>0</v>
      </c>
      <c r="M761" s="2">
        <f t="shared" si="422"/>
        <v>18692.68</v>
      </c>
      <c r="N761" s="2">
        <f t="shared" si="422"/>
        <v>89767896.300000012</v>
      </c>
      <c r="O761" s="2">
        <f t="shared" si="422"/>
        <v>0</v>
      </c>
      <c r="P761" s="2">
        <f t="shared" si="422"/>
        <v>0</v>
      </c>
      <c r="Q761" s="2">
        <f t="shared" si="422"/>
        <v>9459.9399999999987</v>
      </c>
      <c r="R761" s="2">
        <f t="shared" si="422"/>
        <v>28379820</v>
      </c>
      <c r="S761" s="2">
        <f t="shared" si="422"/>
        <v>0</v>
      </c>
      <c r="T761" s="2">
        <f t="shared" si="422"/>
        <v>0</v>
      </c>
      <c r="U761" s="2">
        <f t="shared" si="422"/>
        <v>400000</v>
      </c>
    </row>
    <row r="762" spans="1:22" ht="24.9" customHeight="1">
      <c r="A762" s="37" t="s">
        <v>1959</v>
      </c>
      <c r="B762" s="8" t="s">
        <v>1016</v>
      </c>
      <c r="C762" s="2">
        <f t="shared" si="417"/>
        <v>12359158</v>
      </c>
      <c r="D762" s="3">
        <f t="shared" ref="D762:D783" si="423">SUM(E762:J762)</f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11">
        <v>0</v>
      </c>
      <c r="L762" s="5">
        <v>0</v>
      </c>
      <c r="M762" s="5">
        <v>3353</v>
      </c>
      <c r="N762" s="3">
        <f>M762*3686</f>
        <v>12359158</v>
      </c>
      <c r="O762" s="5">
        <v>0</v>
      </c>
      <c r="P762" s="5">
        <v>0</v>
      </c>
      <c r="Q762" s="5">
        <v>0</v>
      </c>
      <c r="R762" s="3">
        <f t="shared" ref="R762:R783" si="424">Q762*3000</f>
        <v>0</v>
      </c>
      <c r="S762" s="5">
        <v>0</v>
      </c>
      <c r="T762" s="5">
        <v>0</v>
      </c>
      <c r="U762" s="5">
        <v>0</v>
      </c>
      <c r="V762" s="6">
        <f t="shared" ref="V762:V783" si="425">N762/M762</f>
        <v>3686</v>
      </c>
    </row>
    <row r="763" spans="1:22" ht="24.9" customHeight="1">
      <c r="A763" s="37" t="s">
        <v>1960</v>
      </c>
      <c r="B763" s="8" t="s">
        <v>46</v>
      </c>
      <c r="C763" s="2">
        <f t="shared" si="417"/>
        <v>2827500</v>
      </c>
      <c r="D763" s="3">
        <f t="shared" si="423"/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0</v>
      </c>
      <c r="N763" s="20">
        <v>0</v>
      </c>
      <c r="O763" s="3">
        <v>0</v>
      </c>
      <c r="P763" s="3">
        <v>0</v>
      </c>
      <c r="Q763" s="3">
        <v>942.5</v>
      </c>
      <c r="R763" s="3">
        <f t="shared" si="424"/>
        <v>2827500</v>
      </c>
      <c r="S763" s="3">
        <v>0</v>
      </c>
      <c r="T763" s="5">
        <v>0</v>
      </c>
      <c r="U763" s="3">
        <v>0</v>
      </c>
      <c r="V763" s="6" t="e">
        <f t="shared" si="425"/>
        <v>#DIV/0!</v>
      </c>
    </row>
    <row r="764" spans="1:22" ht="24.9" customHeight="1">
      <c r="A764" s="37" t="s">
        <v>1961</v>
      </c>
      <c r="B764" s="8" t="s">
        <v>49</v>
      </c>
      <c r="C764" s="2">
        <f t="shared" si="417"/>
        <v>10386860</v>
      </c>
      <c r="D764" s="3">
        <f t="shared" si="423"/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4">
        <v>0</v>
      </c>
      <c r="L764" s="3">
        <v>0</v>
      </c>
      <c r="M764" s="3">
        <v>946.28</v>
      </c>
      <c r="N764" s="3">
        <f t="shared" ref="N764" si="426">M764*5500</f>
        <v>5204540</v>
      </c>
      <c r="O764" s="3">
        <v>0</v>
      </c>
      <c r="P764" s="3">
        <v>0</v>
      </c>
      <c r="Q764" s="3">
        <v>1727.44</v>
      </c>
      <c r="R764" s="3">
        <f t="shared" si="424"/>
        <v>5182320</v>
      </c>
      <c r="S764" s="3">
        <v>0</v>
      </c>
      <c r="T764" s="5">
        <v>0</v>
      </c>
      <c r="U764" s="3">
        <v>0</v>
      </c>
      <c r="V764" s="6">
        <f t="shared" si="425"/>
        <v>5500</v>
      </c>
    </row>
    <row r="765" spans="1:22" ht="24.9" customHeight="1">
      <c r="A765" s="37" t="s">
        <v>1962</v>
      </c>
      <c r="B765" s="8" t="s">
        <v>1017</v>
      </c>
      <c r="C765" s="2">
        <f t="shared" si="417"/>
        <v>7825276</v>
      </c>
      <c r="D765" s="3">
        <f t="shared" si="423"/>
        <v>7725276</v>
      </c>
      <c r="E765" s="3">
        <f>350*3961.68</f>
        <v>1386588</v>
      </c>
      <c r="F765" s="3">
        <f>1050*3961.68</f>
        <v>4159764</v>
      </c>
      <c r="G765" s="3">
        <f>300*3961.68</f>
        <v>1188504</v>
      </c>
      <c r="H765" s="3">
        <f>400*0</f>
        <v>0</v>
      </c>
      <c r="I765" s="3">
        <f>250*3961.68</f>
        <v>990420</v>
      </c>
      <c r="J765" s="3">
        <v>0</v>
      </c>
      <c r="K765" s="4">
        <v>0</v>
      </c>
      <c r="L765" s="3">
        <v>0</v>
      </c>
      <c r="M765" s="3">
        <v>0</v>
      </c>
      <c r="N765" s="20">
        <v>0</v>
      </c>
      <c r="O765" s="3">
        <v>0</v>
      </c>
      <c r="P765" s="3">
        <v>0</v>
      </c>
      <c r="Q765" s="3">
        <v>0</v>
      </c>
      <c r="R765" s="3">
        <f t="shared" si="424"/>
        <v>0</v>
      </c>
      <c r="S765" s="3">
        <v>0</v>
      </c>
      <c r="T765" s="5">
        <v>0</v>
      </c>
      <c r="U765" s="3">
        <v>100000</v>
      </c>
      <c r="V765" s="6" t="e">
        <f t="shared" si="425"/>
        <v>#DIV/0!</v>
      </c>
    </row>
    <row r="766" spans="1:22" ht="24.9" customHeight="1">
      <c r="A766" s="37" t="s">
        <v>1963</v>
      </c>
      <c r="B766" s="8" t="s">
        <v>1020</v>
      </c>
      <c r="C766" s="2">
        <f t="shared" si="417"/>
        <v>21934000</v>
      </c>
      <c r="D766" s="3">
        <f t="shared" si="423"/>
        <v>0</v>
      </c>
      <c r="E766" s="3">
        <v>0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4">
        <v>0</v>
      </c>
      <c r="L766" s="3">
        <v>0</v>
      </c>
      <c r="M766" s="3">
        <v>3137.2</v>
      </c>
      <c r="N766" s="3">
        <f t="shared" ref="N766" si="427">M766*5500</f>
        <v>17254600</v>
      </c>
      <c r="O766" s="3">
        <v>0</v>
      </c>
      <c r="P766" s="3">
        <v>0</v>
      </c>
      <c r="Q766" s="3">
        <v>1559.8</v>
      </c>
      <c r="R766" s="3">
        <f t="shared" si="424"/>
        <v>4679400</v>
      </c>
      <c r="S766" s="3">
        <v>0</v>
      </c>
      <c r="T766" s="5">
        <v>0</v>
      </c>
      <c r="U766" s="3">
        <v>0</v>
      </c>
      <c r="V766" s="6">
        <f t="shared" si="425"/>
        <v>5500</v>
      </c>
    </row>
    <row r="767" spans="1:22" ht="24.9" customHeight="1">
      <c r="A767" s="37" t="s">
        <v>1964</v>
      </c>
      <c r="B767" s="8" t="s">
        <v>11</v>
      </c>
      <c r="C767" s="2">
        <f t="shared" si="417"/>
        <v>2629500</v>
      </c>
      <c r="D767" s="3">
        <f t="shared" si="423"/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0</v>
      </c>
      <c r="N767" s="20">
        <v>0</v>
      </c>
      <c r="O767" s="3">
        <v>0</v>
      </c>
      <c r="P767" s="3">
        <v>0</v>
      </c>
      <c r="Q767" s="3">
        <v>876.5</v>
      </c>
      <c r="R767" s="3">
        <f t="shared" si="424"/>
        <v>2629500</v>
      </c>
      <c r="S767" s="3">
        <v>0</v>
      </c>
      <c r="T767" s="5">
        <v>0</v>
      </c>
      <c r="U767" s="3">
        <v>0</v>
      </c>
      <c r="V767" s="6" t="e">
        <f t="shared" si="425"/>
        <v>#DIV/0!</v>
      </c>
    </row>
    <row r="768" spans="1:22" ht="24.9" customHeight="1">
      <c r="A768" s="37" t="s">
        <v>1965</v>
      </c>
      <c r="B768" s="19" t="s">
        <v>59</v>
      </c>
      <c r="C768" s="2">
        <f t="shared" si="417"/>
        <v>3300444.4</v>
      </c>
      <c r="D768" s="3">
        <f t="shared" si="423"/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4">
        <v>0</v>
      </c>
      <c r="L768" s="3">
        <v>0</v>
      </c>
      <c r="M768" s="3">
        <v>895.4</v>
      </c>
      <c r="N768" s="3">
        <f>M768*3686</f>
        <v>3300444.4</v>
      </c>
      <c r="O768" s="3">
        <v>0</v>
      </c>
      <c r="P768" s="3">
        <v>0</v>
      </c>
      <c r="Q768" s="3">
        <v>0</v>
      </c>
      <c r="R768" s="3">
        <f t="shared" si="424"/>
        <v>0</v>
      </c>
      <c r="S768" s="3">
        <v>0</v>
      </c>
      <c r="T768" s="5">
        <v>0</v>
      </c>
      <c r="U768" s="3">
        <v>0</v>
      </c>
      <c r="V768" s="6">
        <f t="shared" si="425"/>
        <v>3686</v>
      </c>
    </row>
    <row r="769" spans="1:22" ht="24.9" customHeight="1">
      <c r="A769" s="37" t="s">
        <v>1966</v>
      </c>
      <c r="B769" s="43" t="s">
        <v>62</v>
      </c>
      <c r="C769" s="2">
        <f t="shared" si="417"/>
        <v>5281650</v>
      </c>
      <c r="D769" s="3">
        <f t="shared" si="423"/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960.3</v>
      </c>
      <c r="N769" s="3">
        <f t="shared" ref="N769" si="428">M769*5500</f>
        <v>5281650</v>
      </c>
      <c r="O769" s="3">
        <v>0</v>
      </c>
      <c r="P769" s="3">
        <v>0</v>
      </c>
      <c r="Q769" s="3">
        <v>0</v>
      </c>
      <c r="R769" s="3">
        <f t="shared" si="424"/>
        <v>0</v>
      </c>
      <c r="S769" s="3">
        <v>0</v>
      </c>
      <c r="T769" s="5">
        <v>0</v>
      </c>
      <c r="U769" s="3">
        <v>0</v>
      </c>
      <c r="V769" s="6">
        <f t="shared" si="425"/>
        <v>5500</v>
      </c>
    </row>
    <row r="770" spans="1:22" ht="24.9" customHeight="1">
      <c r="A770" s="37" t="s">
        <v>1967</v>
      </c>
      <c r="B770" s="44" t="s">
        <v>63</v>
      </c>
      <c r="C770" s="2">
        <f t="shared" si="417"/>
        <v>3763406</v>
      </c>
      <c r="D770" s="3">
        <f t="shared" si="423"/>
        <v>0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4">
        <v>0</v>
      </c>
      <c r="L770" s="3">
        <v>0</v>
      </c>
      <c r="M770" s="3">
        <v>1021</v>
      </c>
      <c r="N770" s="3">
        <f>M770*3686</f>
        <v>3763406</v>
      </c>
      <c r="O770" s="3">
        <v>0</v>
      </c>
      <c r="P770" s="3">
        <v>0</v>
      </c>
      <c r="Q770" s="3">
        <v>0</v>
      </c>
      <c r="R770" s="3">
        <f t="shared" si="424"/>
        <v>0</v>
      </c>
      <c r="S770" s="3">
        <v>0</v>
      </c>
      <c r="T770" s="5">
        <v>0</v>
      </c>
      <c r="U770" s="3">
        <v>0</v>
      </c>
      <c r="V770" s="6">
        <f t="shared" si="425"/>
        <v>3686</v>
      </c>
    </row>
    <row r="771" spans="1:22" ht="24.9" customHeight="1">
      <c r="A771" s="37" t="s">
        <v>1968</v>
      </c>
      <c r="B771" s="8" t="s">
        <v>1533</v>
      </c>
      <c r="C771" s="2">
        <f t="shared" si="417"/>
        <v>1072500</v>
      </c>
      <c r="D771" s="3">
        <f t="shared" si="423"/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195</v>
      </c>
      <c r="N771" s="52">
        <f>M771*5500</f>
        <v>1072500</v>
      </c>
      <c r="O771" s="3">
        <v>0</v>
      </c>
      <c r="P771" s="3">
        <v>0</v>
      </c>
      <c r="Q771" s="3">
        <v>0</v>
      </c>
      <c r="R771" s="3">
        <v>0</v>
      </c>
      <c r="S771" s="3">
        <v>0</v>
      </c>
      <c r="T771" s="3">
        <v>0</v>
      </c>
      <c r="U771" s="3">
        <v>0</v>
      </c>
      <c r="V771" s="7"/>
    </row>
    <row r="772" spans="1:22" ht="24.9" customHeight="1">
      <c r="A772" s="37" t="s">
        <v>1969</v>
      </c>
      <c r="B772" s="8" t="s">
        <v>60</v>
      </c>
      <c r="C772" s="2">
        <f t="shared" si="417"/>
        <v>1705550.0000000002</v>
      </c>
      <c r="D772" s="3">
        <f t="shared" si="423"/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4">
        <v>0</v>
      </c>
      <c r="L772" s="3">
        <v>0</v>
      </c>
      <c r="M772" s="3">
        <v>310.10000000000002</v>
      </c>
      <c r="N772" s="3">
        <f t="shared" ref="N772" si="429">M772*5500</f>
        <v>1705550.0000000002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6">
        <f t="shared" si="425"/>
        <v>5500</v>
      </c>
    </row>
    <row r="773" spans="1:22" ht="24.9" customHeight="1">
      <c r="A773" s="37" t="s">
        <v>1970</v>
      </c>
      <c r="B773" s="8" t="s">
        <v>35</v>
      </c>
      <c r="C773" s="2">
        <f t="shared" si="417"/>
        <v>24807951</v>
      </c>
      <c r="D773" s="3">
        <f t="shared" si="423"/>
        <v>8982051</v>
      </c>
      <c r="E773" s="3">
        <f>350*4606.18</f>
        <v>1612163</v>
      </c>
      <c r="F773" s="3">
        <f>1050*4606.18</f>
        <v>4836489</v>
      </c>
      <c r="G773" s="3">
        <f>300*4606.18</f>
        <v>1381854</v>
      </c>
      <c r="H773" s="3">
        <f>400*0</f>
        <v>0</v>
      </c>
      <c r="I773" s="3">
        <f>250*4606.18</f>
        <v>1151545</v>
      </c>
      <c r="J773" s="3">
        <v>0</v>
      </c>
      <c r="K773" s="4">
        <v>0</v>
      </c>
      <c r="L773" s="3">
        <v>0</v>
      </c>
      <c r="M773" s="3">
        <v>2057.6</v>
      </c>
      <c r="N773" s="3">
        <f t="shared" ref="N773:N776" si="430">M773*5500</f>
        <v>11316800</v>
      </c>
      <c r="O773" s="3">
        <v>0</v>
      </c>
      <c r="P773" s="3">
        <v>0</v>
      </c>
      <c r="Q773" s="3">
        <v>1469.7</v>
      </c>
      <c r="R773" s="3">
        <f t="shared" si="424"/>
        <v>4409100</v>
      </c>
      <c r="S773" s="3">
        <v>0</v>
      </c>
      <c r="T773" s="5">
        <v>0</v>
      </c>
      <c r="U773" s="3">
        <v>100000</v>
      </c>
      <c r="V773" s="6">
        <f t="shared" si="425"/>
        <v>5500</v>
      </c>
    </row>
    <row r="774" spans="1:22" ht="24.9" customHeight="1">
      <c r="A774" s="37" t="s">
        <v>1971</v>
      </c>
      <c r="B774" s="8" t="s">
        <v>64</v>
      </c>
      <c r="C774" s="2">
        <f t="shared" si="417"/>
        <v>13097316</v>
      </c>
      <c r="D774" s="3">
        <f t="shared" si="423"/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1206</v>
      </c>
      <c r="N774" s="3">
        <f t="shared" ref="N774" si="431">M774*3686</f>
        <v>4445316</v>
      </c>
      <c r="O774" s="3">
        <v>0</v>
      </c>
      <c r="P774" s="3">
        <v>0</v>
      </c>
      <c r="Q774" s="3">
        <v>2884</v>
      </c>
      <c r="R774" s="3">
        <f t="shared" si="424"/>
        <v>8652000</v>
      </c>
      <c r="S774" s="3">
        <v>0</v>
      </c>
      <c r="T774" s="3">
        <v>0</v>
      </c>
      <c r="U774" s="3">
        <v>0</v>
      </c>
      <c r="V774" s="6">
        <f t="shared" si="425"/>
        <v>3686</v>
      </c>
    </row>
    <row r="775" spans="1:22" ht="24.9" customHeight="1">
      <c r="A775" s="37" t="s">
        <v>1972</v>
      </c>
      <c r="B775" s="8" t="s">
        <v>65</v>
      </c>
      <c r="C775" s="2">
        <f t="shared" si="417"/>
        <v>3395700</v>
      </c>
      <c r="D775" s="3">
        <f t="shared" si="423"/>
        <v>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4">
        <v>0</v>
      </c>
      <c r="L775" s="3">
        <v>0</v>
      </c>
      <c r="M775" s="3">
        <v>617.4</v>
      </c>
      <c r="N775" s="3">
        <f t="shared" si="430"/>
        <v>3395700</v>
      </c>
      <c r="O775" s="3">
        <v>0</v>
      </c>
      <c r="P775" s="3">
        <v>0</v>
      </c>
      <c r="Q775" s="3">
        <v>0</v>
      </c>
      <c r="R775" s="3">
        <f t="shared" si="424"/>
        <v>0</v>
      </c>
      <c r="S775" s="3">
        <v>0</v>
      </c>
      <c r="T775" s="5">
        <v>0</v>
      </c>
      <c r="U775" s="3">
        <v>0</v>
      </c>
      <c r="V775" s="6">
        <f t="shared" si="425"/>
        <v>5500</v>
      </c>
    </row>
    <row r="776" spans="1:22" ht="24.9" customHeight="1">
      <c r="A776" s="37" t="s">
        <v>1973</v>
      </c>
      <c r="B776" s="8" t="s">
        <v>1018</v>
      </c>
      <c r="C776" s="2">
        <f t="shared" si="417"/>
        <v>4224000</v>
      </c>
      <c r="D776" s="3">
        <f t="shared" si="423"/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768</v>
      </c>
      <c r="N776" s="3">
        <f t="shared" si="430"/>
        <v>4224000</v>
      </c>
      <c r="O776" s="3">
        <v>0</v>
      </c>
      <c r="P776" s="3">
        <v>0</v>
      </c>
      <c r="Q776" s="3">
        <v>0</v>
      </c>
      <c r="R776" s="3">
        <f t="shared" si="424"/>
        <v>0</v>
      </c>
      <c r="S776" s="3">
        <v>0</v>
      </c>
      <c r="T776" s="5">
        <v>0</v>
      </c>
      <c r="U776" s="3">
        <v>0</v>
      </c>
      <c r="V776" s="6">
        <f t="shared" si="425"/>
        <v>5500</v>
      </c>
    </row>
    <row r="777" spans="1:22" ht="24.9" customHeight="1">
      <c r="A777" s="37" t="s">
        <v>1974</v>
      </c>
      <c r="B777" s="8" t="s">
        <v>66</v>
      </c>
      <c r="C777" s="2">
        <f t="shared" si="417"/>
        <v>2632356.9</v>
      </c>
      <c r="D777" s="3">
        <f t="shared" si="423"/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4">
        <v>0</v>
      </c>
      <c r="L777" s="3">
        <v>0</v>
      </c>
      <c r="M777" s="3">
        <v>714.15</v>
      </c>
      <c r="N777" s="3">
        <f>M777*3686</f>
        <v>2632356.9</v>
      </c>
      <c r="O777" s="3">
        <v>0</v>
      </c>
      <c r="P777" s="3">
        <v>0</v>
      </c>
      <c r="Q777" s="3">
        <v>0</v>
      </c>
      <c r="R777" s="3">
        <f t="shared" si="424"/>
        <v>0</v>
      </c>
      <c r="S777" s="3">
        <v>0</v>
      </c>
      <c r="T777" s="5">
        <v>0</v>
      </c>
      <c r="U777" s="3">
        <v>0</v>
      </c>
      <c r="V777" s="6">
        <f t="shared" si="425"/>
        <v>3686</v>
      </c>
    </row>
    <row r="778" spans="1:22" ht="24.9" customHeight="1">
      <c r="A778" s="37" t="s">
        <v>1975</v>
      </c>
      <c r="B778" s="8" t="s">
        <v>69</v>
      </c>
      <c r="C778" s="2">
        <f>D778+L778+N778+P778+R778+S778+T778+U778</f>
        <v>1453650</v>
      </c>
      <c r="D778" s="3">
        <f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264.3</v>
      </c>
      <c r="N778" s="3">
        <f>M778*5500</f>
        <v>1453650</v>
      </c>
      <c r="O778" s="3">
        <v>0</v>
      </c>
      <c r="P778" s="3">
        <v>0</v>
      </c>
      <c r="Q778" s="3">
        <v>0</v>
      </c>
      <c r="R778" s="3">
        <f>Q778*3000</f>
        <v>0</v>
      </c>
      <c r="S778" s="3">
        <v>0</v>
      </c>
      <c r="T778" s="5">
        <v>0</v>
      </c>
      <c r="U778" s="3">
        <v>0</v>
      </c>
      <c r="V778" s="6">
        <f>N778/M778</f>
        <v>5500</v>
      </c>
    </row>
    <row r="779" spans="1:22" ht="24.9" customHeight="1">
      <c r="A779" s="37" t="s">
        <v>1976</v>
      </c>
      <c r="B779" s="8" t="s">
        <v>67</v>
      </c>
      <c r="C779" s="2">
        <f t="shared" si="417"/>
        <v>2229341.5</v>
      </c>
      <c r="D779" s="3">
        <f t="shared" si="423"/>
        <v>2129341.5</v>
      </c>
      <c r="E779" s="3">
        <f>350*1091.97</f>
        <v>382189.5</v>
      </c>
      <c r="F779" s="3">
        <f>1050*1091.97</f>
        <v>1146568.5</v>
      </c>
      <c r="G779" s="3">
        <f>300*1091.97</f>
        <v>327591</v>
      </c>
      <c r="H779" s="3">
        <f>400*0</f>
        <v>0</v>
      </c>
      <c r="I779" s="3">
        <f>250*1091.97</f>
        <v>272992.5</v>
      </c>
      <c r="J779" s="3">
        <v>0</v>
      </c>
      <c r="K779" s="4">
        <v>0</v>
      </c>
      <c r="L779" s="3">
        <v>0</v>
      </c>
      <c r="M779" s="3">
        <v>0</v>
      </c>
      <c r="N779" s="20">
        <v>0</v>
      </c>
      <c r="O779" s="3">
        <v>0</v>
      </c>
      <c r="P779" s="3">
        <v>0</v>
      </c>
      <c r="Q779" s="3">
        <v>0</v>
      </c>
      <c r="R779" s="3">
        <f t="shared" si="424"/>
        <v>0</v>
      </c>
      <c r="S779" s="3">
        <v>0</v>
      </c>
      <c r="T779" s="5">
        <v>0</v>
      </c>
      <c r="U779" s="3">
        <v>100000</v>
      </c>
      <c r="V779" s="6" t="e">
        <f t="shared" si="425"/>
        <v>#DIV/0!</v>
      </c>
    </row>
    <row r="780" spans="1:22" ht="24.9" customHeight="1">
      <c r="A780" s="37" t="s">
        <v>1977</v>
      </c>
      <c r="B780" s="8" t="s">
        <v>68</v>
      </c>
      <c r="C780" s="2">
        <f t="shared" si="417"/>
        <v>3314783</v>
      </c>
      <c r="D780" s="3">
        <f t="shared" si="423"/>
        <v>496683</v>
      </c>
      <c r="E780" s="3">
        <f>350*551.87</f>
        <v>193154.5</v>
      </c>
      <c r="F780" s="3">
        <f>1050*0</f>
        <v>0</v>
      </c>
      <c r="G780" s="3">
        <f>300*551.87</f>
        <v>165561</v>
      </c>
      <c r="H780" s="3">
        <f>500*0</f>
        <v>0</v>
      </c>
      <c r="I780" s="3">
        <f>250*551.87</f>
        <v>137967.5</v>
      </c>
      <c r="J780" s="3">
        <v>0</v>
      </c>
      <c r="K780" s="4">
        <v>0</v>
      </c>
      <c r="L780" s="3">
        <v>0</v>
      </c>
      <c r="M780" s="3">
        <v>494.2</v>
      </c>
      <c r="N780" s="3">
        <f t="shared" ref="N780:N783" si="432">M780*5500</f>
        <v>2718100</v>
      </c>
      <c r="O780" s="3">
        <v>0</v>
      </c>
      <c r="P780" s="3">
        <v>0</v>
      </c>
      <c r="Q780" s="3">
        <v>0</v>
      </c>
      <c r="R780" s="3">
        <f t="shared" si="424"/>
        <v>0</v>
      </c>
      <c r="S780" s="3">
        <v>0</v>
      </c>
      <c r="T780" s="5">
        <v>0</v>
      </c>
      <c r="U780" s="3">
        <v>100000</v>
      </c>
      <c r="V780" s="6">
        <f t="shared" si="425"/>
        <v>5500</v>
      </c>
    </row>
    <row r="781" spans="1:22" ht="24.9" customHeight="1">
      <c r="A781" s="37" t="s">
        <v>1978</v>
      </c>
      <c r="B781" s="8" t="s">
        <v>70</v>
      </c>
      <c r="C781" s="2">
        <f t="shared" si="417"/>
        <v>1509199.9999999998</v>
      </c>
      <c r="D781" s="3">
        <f t="shared" si="423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274.39999999999998</v>
      </c>
      <c r="N781" s="3">
        <f t="shared" si="432"/>
        <v>1509199.9999999998</v>
      </c>
      <c r="O781" s="3">
        <v>0</v>
      </c>
      <c r="P781" s="3">
        <v>0</v>
      </c>
      <c r="Q781" s="3">
        <v>0</v>
      </c>
      <c r="R781" s="3">
        <f t="shared" si="424"/>
        <v>0</v>
      </c>
      <c r="S781" s="3">
        <v>0</v>
      </c>
      <c r="T781" s="5">
        <v>0</v>
      </c>
      <c r="U781" s="3">
        <v>0</v>
      </c>
      <c r="V781" s="6">
        <f t="shared" si="425"/>
        <v>5500</v>
      </c>
    </row>
    <row r="782" spans="1:22" ht="24.9" customHeight="1">
      <c r="A782" s="37" t="s">
        <v>1979</v>
      </c>
      <c r="B782" s="8" t="s">
        <v>71</v>
      </c>
      <c r="C782" s="2">
        <f t="shared" si="417"/>
        <v>1464265</v>
      </c>
      <c r="D782" s="3">
        <f t="shared" si="423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266.23</v>
      </c>
      <c r="N782" s="3">
        <f t="shared" si="432"/>
        <v>1464265</v>
      </c>
      <c r="O782" s="3">
        <v>0</v>
      </c>
      <c r="P782" s="3">
        <v>0</v>
      </c>
      <c r="Q782" s="3">
        <v>0</v>
      </c>
      <c r="R782" s="3">
        <f t="shared" si="424"/>
        <v>0</v>
      </c>
      <c r="S782" s="3">
        <v>0</v>
      </c>
      <c r="T782" s="5">
        <v>0</v>
      </c>
      <c r="U782" s="3">
        <v>0</v>
      </c>
      <c r="V782" s="6">
        <f t="shared" si="425"/>
        <v>5500</v>
      </c>
    </row>
    <row r="783" spans="1:22" ht="24.9" customHeight="1">
      <c r="A783" s="37" t="s">
        <v>1980</v>
      </c>
      <c r="B783" s="8" t="s">
        <v>988</v>
      </c>
      <c r="C783" s="2">
        <f t="shared" si="417"/>
        <v>6666659.9999999991</v>
      </c>
      <c r="D783" s="3">
        <f t="shared" si="423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1212.1199999999999</v>
      </c>
      <c r="N783" s="3">
        <f t="shared" si="432"/>
        <v>6666659.9999999991</v>
      </c>
      <c r="O783" s="3">
        <v>0</v>
      </c>
      <c r="P783" s="3">
        <v>0</v>
      </c>
      <c r="Q783" s="3">
        <v>0</v>
      </c>
      <c r="R783" s="3">
        <f t="shared" si="424"/>
        <v>0</v>
      </c>
      <c r="S783" s="3">
        <v>0</v>
      </c>
      <c r="T783" s="5">
        <v>0</v>
      </c>
      <c r="U783" s="3">
        <v>0</v>
      </c>
      <c r="V783" s="6">
        <f t="shared" si="425"/>
        <v>5500</v>
      </c>
    </row>
    <row r="784" spans="1:22" ht="42.9" customHeight="1">
      <c r="A784" s="53" t="s">
        <v>30</v>
      </c>
      <c r="B784" s="53"/>
      <c r="C784" s="2">
        <f>SUM(C785)</f>
        <v>1963500</v>
      </c>
      <c r="D784" s="2">
        <f t="shared" ref="D784:U784" si="433">SUM(D785)</f>
        <v>0</v>
      </c>
      <c r="E784" s="2">
        <f t="shared" si="433"/>
        <v>0</v>
      </c>
      <c r="F784" s="2">
        <f t="shared" si="433"/>
        <v>0</v>
      </c>
      <c r="G784" s="2">
        <f t="shared" si="433"/>
        <v>0</v>
      </c>
      <c r="H784" s="2">
        <f t="shared" si="433"/>
        <v>0</v>
      </c>
      <c r="I784" s="2">
        <f t="shared" si="433"/>
        <v>0</v>
      </c>
      <c r="J784" s="2">
        <f t="shared" si="433"/>
        <v>0</v>
      </c>
      <c r="K784" s="14">
        <f t="shared" si="433"/>
        <v>0</v>
      </c>
      <c r="L784" s="2">
        <f t="shared" si="433"/>
        <v>0</v>
      </c>
      <c r="M784" s="2">
        <f t="shared" si="433"/>
        <v>357</v>
      </c>
      <c r="N784" s="2">
        <f t="shared" si="433"/>
        <v>1963500</v>
      </c>
      <c r="O784" s="2">
        <f t="shared" si="433"/>
        <v>0</v>
      </c>
      <c r="P784" s="2">
        <f t="shared" si="433"/>
        <v>0</v>
      </c>
      <c r="Q784" s="2">
        <f t="shared" si="433"/>
        <v>0</v>
      </c>
      <c r="R784" s="2">
        <f t="shared" si="433"/>
        <v>0</v>
      </c>
      <c r="S784" s="2">
        <f t="shared" si="433"/>
        <v>0</v>
      </c>
      <c r="T784" s="2">
        <f t="shared" si="433"/>
        <v>0</v>
      </c>
      <c r="U784" s="2">
        <f t="shared" si="433"/>
        <v>0</v>
      </c>
      <c r="V784" s="18">
        <f>C784</f>
        <v>1963500</v>
      </c>
    </row>
    <row r="785" spans="1:258" ht="21.9" customHeight="1">
      <c r="A785" s="37" t="s">
        <v>1981</v>
      </c>
      <c r="B785" s="8" t="s">
        <v>31</v>
      </c>
      <c r="C785" s="2">
        <f t="shared" ref="C785" si="434">D785+L785+N785+P785+R785+S785+T785+U785</f>
        <v>1963500</v>
      </c>
      <c r="D785" s="3">
        <f t="shared" ref="D785" si="435">SUM(E785:J785)</f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357</v>
      </c>
      <c r="N785" s="3">
        <f t="shared" ref="N785" si="436">M785*5500</f>
        <v>1963500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6">
        <f>N785/M785</f>
        <v>5500</v>
      </c>
    </row>
    <row r="786" spans="1:258" ht="45" customHeight="1">
      <c r="A786" s="53" t="s">
        <v>28</v>
      </c>
      <c r="B786" s="53"/>
      <c r="C786" s="2">
        <f>SUM(C787:C788)</f>
        <v>6794924</v>
      </c>
      <c r="D786" s="2">
        <f t="shared" ref="D786:U786" si="437">SUM(D787:D788)</f>
        <v>293104</v>
      </c>
      <c r="E786" s="2">
        <f t="shared" si="437"/>
        <v>293104</v>
      </c>
      <c r="F786" s="2">
        <f t="shared" si="437"/>
        <v>0</v>
      </c>
      <c r="G786" s="2">
        <f t="shared" si="437"/>
        <v>0</v>
      </c>
      <c r="H786" s="2">
        <f t="shared" si="437"/>
        <v>0</v>
      </c>
      <c r="I786" s="2">
        <f t="shared" si="437"/>
        <v>0</v>
      </c>
      <c r="J786" s="2">
        <f t="shared" si="437"/>
        <v>0</v>
      </c>
      <c r="K786" s="14">
        <f t="shared" si="437"/>
        <v>0</v>
      </c>
      <c r="L786" s="2">
        <f t="shared" si="437"/>
        <v>0</v>
      </c>
      <c r="M786" s="2">
        <f t="shared" si="437"/>
        <v>746</v>
      </c>
      <c r="N786" s="2">
        <f t="shared" si="437"/>
        <v>4103000</v>
      </c>
      <c r="O786" s="2">
        <f t="shared" si="437"/>
        <v>0</v>
      </c>
      <c r="P786" s="2">
        <f t="shared" si="437"/>
        <v>0</v>
      </c>
      <c r="Q786" s="2">
        <f t="shared" si="437"/>
        <v>506</v>
      </c>
      <c r="R786" s="2">
        <f t="shared" si="437"/>
        <v>1518000</v>
      </c>
      <c r="S786" s="2">
        <f t="shared" si="437"/>
        <v>680820</v>
      </c>
      <c r="T786" s="2">
        <f t="shared" si="437"/>
        <v>0</v>
      </c>
      <c r="U786" s="2">
        <f t="shared" si="437"/>
        <v>200000</v>
      </c>
      <c r="V786" s="18">
        <f>C786</f>
        <v>6794924</v>
      </c>
    </row>
    <row r="787" spans="1:258" ht="21.9" customHeight="1">
      <c r="A787" s="37" t="s">
        <v>1982</v>
      </c>
      <c r="B787" s="8" t="s">
        <v>29</v>
      </c>
      <c r="C787" s="2">
        <f t="shared" si="417"/>
        <v>1890047.5</v>
      </c>
      <c r="D787" s="3">
        <f t="shared" ref="D787:D788" si="438">SUM(E787:J787)</f>
        <v>107047.50000000001</v>
      </c>
      <c r="E787" s="3">
        <f>350*305.85</f>
        <v>107047.50000000001</v>
      </c>
      <c r="F787" s="3">
        <f>1050*0</f>
        <v>0</v>
      </c>
      <c r="G787" s="3">
        <f>350*0</f>
        <v>0</v>
      </c>
      <c r="H787" s="3">
        <f>400*0</f>
        <v>0</v>
      </c>
      <c r="I787" s="3">
        <f>250*0</f>
        <v>0</v>
      </c>
      <c r="J787" s="3">
        <v>0</v>
      </c>
      <c r="K787" s="4">
        <v>0</v>
      </c>
      <c r="L787" s="3">
        <v>0</v>
      </c>
      <c r="M787" s="3">
        <v>306</v>
      </c>
      <c r="N787" s="3">
        <f t="shared" ref="N787:N788" si="439">M787*5500</f>
        <v>1683000</v>
      </c>
      <c r="O787" s="3">
        <v>0</v>
      </c>
      <c r="P787" s="3">
        <v>0</v>
      </c>
      <c r="Q787" s="3">
        <v>0</v>
      </c>
      <c r="R787" s="3">
        <f t="shared" ref="R787:R788" si="440">Q787*3000</f>
        <v>0</v>
      </c>
      <c r="S787" s="3">
        <v>0</v>
      </c>
      <c r="T787" s="3">
        <v>0</v>
      </c>
      <c r="U787" s="3">
        <v>100000</v>
      </c>
      <c r="V787" s="6">
        <f t="shared" ref="V787:V788" si="441">N787/M787</f>
        <v>5500</v>
      </c>
    </row>
    <row r="788" spans="1:258" ht="21.9" customHeight="1">
      <c r="A788" s="37" t="s">
        <v>1983</v>
      </c>
      <c r="B788" s="8" t="s">
        <v>1021</v>
      </c>
      <c r="C788" s="2">
        <f t="shared" si="417"/>
        <v>4904876.5</v>
      </c>
      <c r="D788" s="3">
        <f t="shared" si="438"/>
        <v>186056.5</v>
      </c>
      <c r="E788" s="3">
        <f>350*531.59</f>
        <v>186056.5</v>
      </c>
      <c r="F788" s="3">
        <f>1050*0</f>
        <v>0</v>
      </c>
      <c r="G788" s="3">
        <f>350*0</f>
        <v>0</v>
      </c>
      <c r="H788" s="3">
        <f>500*0</f>
        <v>0</v>
      </c>
      <c r="I788" s="3">
        <f>250*0</f>
        <v>0</v>
      </c>
      <c r="J788" s="3">
        <v>0</v>
      </c>
      <c r="K788" s="4">
        <v>0</v>
      </c>
      <c r="L788" s="3">
        <v>0</v>
      </c>
      <c r="M788" s="3">
        <v>440</v>
      </c>
      <c r="N788" s="3">
        <f t="shared" si="439"/>
        <v>2420000</v>
      </c>
      <c r="O788" s="3">
        <v>0</v>
      </c>
      <c r="P788" s="3">
        <v>0</v>
      </c>
      <c r="Q788" s="3">
        <v>506</v>
      </c>
      <c r="R788" s="3">
        <f t="shared" si="440"/>
        <v>1518000</v>
      </c>
      <c r="S788" s="3">
        <v>680820</v>
      </c>
      <c r="T788" s="3">
        <v>0</v>
      </c>
      <c r="U788" s="3">
        <v>100000</v>
      </c>
      <c r="V788" s="6">
        <f t="shared" si="441"/>
        <v>5500</v>
      </c>
    </row>
    <row r="789" spans="1:258" ht="45" customHeight="1">
      <c r="A789" s="53" t="s">
        <v>74</v>
      </c>
      <c r="B789" s="53"/>
      <c r="C789" s="2">
        <f>SUM(C790:C792)</f>
        <v>15415895</v>
      </c>
      <c r="D789" s="2">
        <f t="shared" ref="D789:U789" si="442">SUM(D790:D792)</f>
        <v>0</v>
      </c>
      <c r="E789" s="2">
        <f t="shared" si="442"/>
        <v>0</v>
      </c>
      <c r="F789" s="2">
        <f t="shared" si="442"/>
        <v>0</v>
      </c>
      <c r="G789" s="2">
        <f t="shared" si="442"/>
        <v>0</v>
      </c>
      <c r="H789" s="2">
        <f t="shared" si="442"/>
        <v>0</v>
      </c>
      <c r="I789" s="2">
        <f t="shared" si="442"/>
        <v>0</v>
      </c>
      <c r="J789" s="2">
        <f t="shared" si="442"/>
        <v>0</v>
      </c>
      <c r="K789" s="14">
        <f t="shared" si="442"/>
        <v>0</v>
      </c>
      <c r="L789" s="2">
        <f t="shared" si="442"/>
        <v>0</v>
      </c>
      <c r="M789" s="2">
        <f t="shared" si="442"/>
        <v>1091.1500000000001</v>
      </c>
      <c r="N789" s="2">
        <f t="shared" si="442"/>
        <v>6001325</v>
      </c>
      <c r="O789" s="2">
        <f t="shared" si="442"/>
        <v>0</v>
      </c>
      <c r="P789" s="2">
        <f t="shared" si="442"/>
        <v>0</v>
      </c>
      <c r="Q789" s="2">
        <f t="shared" si="442"/>
        <v>3138.19</v>
      </c>
      <c r="R789" s="2">
        <f t="shared" si="442"/>
        <v>9414570</v>
      </c>
      <c r="S789" s="2">
        <f t="shared" si="442"/>
        <v>0</v>
      </c>
      <c r="T789" s="2">
        <f t="shared" si="442"/>
        <v>0</v>
      </c>
      <c r="U789" s="2">
        <f t="shared" si="442"/>
        <v>0</v>
      </c>
    </row>
    <row r="790" spans="1:258" ht="21.9" customHeight="1">
      <c r="A790" s="36" t="s">
        <v>1984</v>
      </c>
      <c r="B790" s="8" t="s">
        <v>984</v>
      </c>
      <c r="C790" s="2">
        <f t="shared" si="417"/>
        <v>9414570</v>
      </c>
      <c r="D790" s="3">
        <f t="shared" ref="D790:D792" si="443">SUM(E790:J790)</f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11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3138.19</v>
      </c>
      <c r="R790" s="3">
        <f t="shared" ref="R790:R792" si="444">Q790*3000</f>
        <v>9414570</v>
      </c>
      <c r="S790" s="5">
        <v>0</v>
      </c>
      <c r="T790" s="5">
        <v>0</v>
      </c>
      <c r="U790" s="5">
        <v>0</v>
      </c>
      <c r="V790" s="6" t="e">
        <f t="shared" ref="V790:V792" si="445">N790/M790</f>
        <v>#DIV/0!</v>
      </c>
    </row>
    <row r="791" spans="1:258" s="6" customFormat="1" ht="21.9" customHeight="1">
      <c r="A791" s="36" t="s">
        <v>1985</v>
      </c>
      <c r="B791" s="8" t="s">
        <v>72</v>
      </c>
      <c r="C791" s="2">
        <f t="shared" si="417"/>
        <v>3658325</v>
      </c>
      <c r="D791" s="3">
        <f t="shared" si="443"/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11">
        <v>0</v>
      </c>
      <c r="L791" s="5">
        <v>0</v>
      </c>
      <c r="M791" s="5">
        <v>665.15</v>
      </c>
      <c r="N791" s="3">
        <f t="shared" ref="N791:N792" si="446">M791*5500</f>
        <v>3658325</v>
      </c>
      <c r="O791" s="5">
        <v>0</v>
      </c>
      <c r="P791" s="5">
        <v>0</v>
      </c>
      <c r="Q791" s="5">
        <v>0</v>
      </c>
      <c r="R791" s="3">
        <f t="shared" si="444"/>
        <v>0</v>
      </c>
      <c r="S791" s="5">
        <v>0</v>
      </c>
      <c r="T791" s="5">
        <v>0</v>
      </c>
      <c r="U791" s="5">
        <v>0</v>
      </c>
      <c r="V791" s="6">
        <f t="shared" si="445"/>
        <v>5500</v>
      </c>
    </row>
    <row r="792" spans="1:258" s="6" customFormat="1" ht="21.9" customHeight="1">
      <c r="A792" s="36" t="s">
        <v>1986</v>
      </c>
      <c r="B792" s="8" t="s">
        <v>1011</v>
      </c>
      <c r="C792" s="2">
        <f t="shared" si="417"/>
        <v>2343000</v>
      </c>
      <c r="D792" s="3">
        <f t="shared" si="443"/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11">
        <v>0</v>
      </c>
      <c r="L792" s="5">
        <v>0</v>
      </c>
      <c r="M792" s="5">
        <v>426</v>
      </c>
      <c r="N792" s="3">
        <f t="shared" si="446"/>
        <v>2343000</v>
      </c>
      <c r="O792" s="5">
        <v>0</v>
      </c>
      <c r="P792" s="5">
        <v>0</v>
      </c>
      <c r="Q792" s="5">
        <v>0</v>
      </c>
      <c r="R792" s="3">
        <f t="shared" si="444"/>
        <v>0</v>
      </c>
      <c r="S792" s="5">
        <v>0</v>
      </c>
      <c r="T792" s="5">
        <v>0</v>
      </c>
      <c r="U792" s="5">
        <v>0</v>
      </c>
      <c r="V792" s="6">
        <f t="shared" si="445"/>
        <v>5500</v>
      </c>
    </row>
    <row r="793" spans="1:258" ht="45" customHeight="1">
      <c r="A793" s="53" t="s">
        <v>2</v>
      </c>
      <c r="B793" s="53"/>
      <c r="C793" s="2">
        <f>SUM(C794:C795)</f>
        <v>2465025</v>
      </c>
      <c r="D793" s="2">
        <f t="shared" ref="D793:U793" si="447">SUM(D794:D795)</f>
        <v>2265025</v>
      </c>
      <c r="E793" s="2">
        <f t="shared" si="447"/>
        <v>535010</v>
      </c>
      <c r="F793" s="2">
        <f t="shared" si="447"/>
        <v>643965</v>
      </c>
      <c r="G793" s="2">
        <f t="shared" si="447"/>
        <v>458580</v>
      </c>
      <c r="H793" s="2">
        <f t="shared" si="447"/>
        <v>245319.99999999997</v>
      </c>
      <c r="I793" s="2">
        <f t="shared" si="447"/>
        <v>382150</v>
      </c>
      <c r="J793" s="2">
        <f t="shared" si="447"/>
        <v>0</v>
      </c>
      <c r="K793" s="14">
        <f t="shared" si="447"/>
        <v>0</v>
      </c>
      <c r="L793" s="2">
        <f t="shared" si="447"/>
        <v>0</v>
      </c>
      <c r="M793" s="2">
        <f t="shared" si="447"/>
        <v>0</v>
      </c>
      <c r="N793" s="2">
        <f t="shared" si="447"/>
        <v>0</v>
      </c>
      <c r="O793" s="2">
        <f t="shared" si="447"/>
        <v>0</v>
      </c>
      <c r="P793" s="2">
        <f t="shared" si="447"/>
        <v>0</v>
      </c>
      <c r="Q793" s="2">
        <f t="shared" si="447"/>
        <v>0</v>
      </c>
      <c r="R793" s="2">
        <f t="shared" si="447"/>
        <v>0</v>
      </c>
      <c r="S793" s="2">
        <f t="shared" si="447"/>
        <v>0</v>
      </c>
      <c r="T793" s="2">
        <f t="shared" si="447"/>
        <v>0</v>
      </c>
      <c r="U793" s="2">
        <f t="shared" si="447"/>
        <v>200000</v>
      </c>
    </row>
    <row r="794" spans="1:258" s="17" customFormat="1" ht="21.9" customHeight="1">
      <c r="A794" s="36" t="s">
        <v>831</v>
      </c>
      <c r="B794" s="8" t="s">
        <v>75</v>
      </c>
      <c r="C794" s="2">
        <f t="shared" si="417"/>
        <v>923770</v>
      </c>
      <c r="D794" s="3">
        <f t="shared" ref="D794:D795" si="448">SUM(E794:J794)</f>
        <v>823770</v>
      </c>
      <c r="E794" s="3">
        <f>350*915.3</f>
        <v>320355</v>
      </c>
      <c r="F794" s="3">
        <f>1050*0</f>
        <v>0</v>
      </c>
      <c r="G794" s="3">
        <f>300*915.3</f>
        <v>274590</v>
      </c>
      <c r="H794" s="3">
        <f>400*0</f>
        <v>0</v>
      </c>
      <c r="I794" s="3">
        <f>250*915.3</f>
        <v>228825</v>
      </c>
      <c r="J794" s="3">
        <f>350*0</f>
        <v>0</v>
      </c>
      <c r="K794" s="4">
        <v>0</v>
      </c>
      <c r="L794" s="3">
        <v>0</v>
      </c>
      <c r="M794" s="5">
        <v>0</v>
      </c>
      <c r="N794" s="5">
        <v>0</v>
      </c>
      <c r="O794" s="3">
        <v>0</v>
      </c>
      <c r="P794" s="3">
        <v>0</v>
      </c>
      <c r="Q794" s="3">
        <v>0</v>
      </c>
      <c r="R794" s="3">
        <f t="shared" ref="R794:R795" si="449">Q794*3000</f>
        <v>0</v>
      </c>
      <c r="S794" s="3">
        <v>0</v>
      </c>
      <c r="T794" s="3">
        <v>0</v>
      </c>
      <c r="U794" s="3">
        <v>100000</v>
      </c>
      <c r="V794" s="6" t="e">
        <f t="shared" ref="V794:V795" si="450">N794/M794</f>
        <v>#DIV/0!</v>
      </c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  <c r="DL794" s="7"/>
      <c r="DM794" s="7"/>
      <c r="DN794" s="7"/>
      <c r="DO794" s="7"/>
      <c r="DP794" s="7"/>
      <c r="DQ794" s="7"/>
      <c r="DR794" s="7"/>
      <c r="DS794" s="7"/>
      <c r="DT794" s="7"/>
      <c r="DU794" s="7"/>
      <c r="DV794" s="7"/>
      <c r="DW794" s="7"/>
      <c r="DX794" s="7"/>
      <c r="DY794" s="7"/>
      <c r="DZ794" s="7"/>
      <c r="EA794" s="7"/>
      <c r="EB794" s="7"/>
      <c r="EC794" s="7"/>
      <c r="ED794" s="7"/>
      <c r="EE794" s="7"/>
      <c r="EF794" s="7"/>
      <c r="EG794" s="7"/>
      <c r="EH794" s="7"/>
      <c r="EI794" s="7"/>
      <c r="EJ794" s="7"/>
      <c r="EK794" s="7"/>
      <c r="EL794" s="7"/>
      <c r="EM794" s="7"/>
      <c r="EN794" s="7"/>
      <c r="EO794" s="7"/>
      <c r="EP794" s="7"/>
      <c r="EQ794" s="7"/>
      <c r="ER794" s="7"/>
      <c r="ES794" s="7"/>
      <c r="ET794" s="7"/>
      <c r="EU794" s="7"/>
      <c r="EV794" s="7"/>
      <c r="EW794" s="7"/>
      <c r="EX794" s="7"/>
      <c r="EY794" s="7"/>
      <c r="EZ794" s="7"/>
      <c r="FA794" s="7"/>
      <c r="FB794" s="7"/>
      <c r="FC794" s="7"/>
      <c r="FD794" s="7"/>
      <c r="FE794" s="7"/>
      <c r="FF794" s="7"/>
      <c r="FG794" s="7"/>
      <c r="FH794" s="7"/>
      <c r="FI794" s="7"/>
      <c r="FJ794" s="7"/>
      <c r="FK794" s="7"/>
      <c r="FL794" s="7"/>
      <c r="FM794" s="7"/>
      <c r="FN794" s="7"/>
      <c r="FO794" s="7"/>
      <c r="FP794" s="7"/>
      <c r="FQ794" s="7"/>
      <c r="FR794" s="7"/>
      <c r="FS794" s="7"/>
      <c r="FT794" s="7"/>
      <c r="FU794" s="7"/>
      <c r="FV794" s="7"/>
      <c r="FW794" s="7"/>
      <c r="FX794" s="7"/>
      <c r="FY794" s="7"/>
      <c r="FZ794" s="7"/>
      <c r="GA794" s="7"/>
      <c r="GB794" s="7"/>
      <c r="GC794" s="7"/>
      <c r="GD794" s="7"/>
      <c r="GE794" s="7"/>
      <c r="GF794" s="7"/>
      <c r="GG794" s="7"/>
      <c r="GH794" s="7"/>
      <c r="GI794" s="7"/>
      <c r="GJ794" s="7"/>
      <c r="GK794" s="7"/>
      <c r="GL794" s="7"/>
      <c r="GM794" s="7"/>
      <c r="GN794" s="7"/>
      <c r="GO794" s="7"/>
      <c r="GP794" s="7"/>
      <c r="GQ794" s="7"/>
      <c r="GR794" s="7"/>
      <c r="GS794" s="7"/>
      <c r="GT794" s="7"/>
      <c r="GU794" s="7"/>
      <c r="GV794" s="7"/>
      <c r="GW794" s="7"/>
      <c r="GX794" s="7"/>
      <c r="GY794" s="7"/>
      <c r="GZ794" s="7"/>
      <c r="HA794" s="7"/>
      <c r="HB794" s="7"/>
      <c r="HC794" s="7"/>
      <c r="HD794" s="7"/>
      <c r="HE794" s="7"/>
      <c r="HF794" s="7"/>
      <c r="HG794" s="7"/>
      <c r="HH794" s="7"/>
      <c r="HI794" s="7"/>
      <c r="HJ794" s="7"/>
      <c r="HK794" s="7"/>
      <c r="HL794" s="7"/>
      <c r="HM794" s="7"/>
      <c r="HN794" s="7"/>
      <c r="HO794" s="7"/>
      <c r="HP794" s="7"/>
      <c r="HQ794" s="7"/>
      <c r="HR794" s="7"/>
      <c r="HS794" s="7"/>
      <c r="HT794" s="7"/>
      <c r="HU794" s="7"/>
      <c r="HV794" s="7"/>
      <c r="HW794" s="7"/>
      <c r="HX794" s="7"/>
      <c r="HY794" s="7"/>
      <c r="HZ794" s="7"/>
      <c r="IA794" s="7"/>
      <c r="IB794" s="7"/>
      <c r="IC794" s="7"/>
      <c r="ID794" s="7"/>
      <c r="IE794" s="7"/>
      <c r="IF794" s="7"/>
      <c r="IG794" s="7"/>
      <c r="IH794" s="7"/>
      <c r="II794" s="7"/>
      <c r="IJ794" s="7"/>
      <c r="IK794" s="7"/>
      <c r="IL794" s="7"/>
      <c r="IM794" s="7"/>
      <c r="IN794" s="7"/>
      <c r="IO794" s="7"/>
      <c r="IP794" s="7"/>
      <c r="IQ794" s="7"/>
      <c r="IR794" s="7"/>
      <c r="IS794" s="7"/>
      <c r="IT794" s="7"/>
      <c r="IU794" s="7"/>
      <c r="IV794" s="7"/>
      <c r="IW794" s="7"/>
      <c r="IX794" s="7"/>
    </row>
    <row r="795" spans="1:258" ht="21.9" customHeight="1">
      <c r="A795" s="36" t="s">
        <v>832</v>
      </c>
      <c r="B795" s="8" t="s">
        <v>76</v>
      </c>
      <c r="C795" s="2">
        <f t="shared" si="417"/>
        <v>1541255</v>
      </c>
      <c r="D795" s="3">
        <f t="shared" si="448"/>
        <v>1441255</v>
      </c>
      <c r="E795" s="3">
        <f>350*613.3</f>
        <v>214654.99999999997</v>
      </c>
      <c r="F795" s="3">
        <f>1050*613.3</f>
        <v>643965</v>
      </c>
      <c r="G795" s="3">
        <f>300*613.3</f>
        <v>183990</v>
      </c>
      <c r="H795" s="3">
        <f>400*613.3</f>
        <v>245319.99999999997</v>
      </c>
      <c r="I795" s="3">
        <f>250*613.3</f>
        <v>153325</v>
      </c>
      <c r="J795" s="3">
        <f>350*0</f>
        <v>0</v>
      </c>
      <c r="K795" s="11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3">
        <f t="shared" si="449"/>
        <v>0</v>
      </c>
      <c r="S795" s="5">
        <v>0</v>
      </c>
      <c r="T795" s="3">
        <v>0</v>
      </c>
      <c r="U795" s="5">
        <v>100000</v>
      </c>
      <c r="V795" s="6" t="e">
        <f t="shared" si="450"/>
        <v>#DIV/0!</v>
      </c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6"/>
      <c r="EB795" s="6"/>
      <c r="EC795" s="6"/>
      <c r="ED795" s="6"/>
      <c r="EE795" s="6"/>
      <c r="EF795" s="6"/>
      <c r="EG795" s="6"/>
      <c r="EH795" s="6"/>
      <c r="EI795" s="6"/>
      <c r="EJ795" s="6"/>
      <c r="EK795" s="6"/>
      <c r="EL795" s="6"/>
      <c r="EM795" s="6"/>
      <c r="EN795" s="6"/>
      <c r="EO795" s="6"/>
      <c r="EP795" s="6"/>
      <c r="EQ795" s="6"/>
      <c r="ER795" s="6"/>
      <c r="ES795" s="6"/>
      <c r="ET795" s="6"/>
      <c r="EU795" s="6"/>
      <c r="EV795" s="6"/>
      <c r="EW795" s="6"/>
      <c r="EX795" s="6"/>
      <c r="EY795" s="6"/>
      <c r="EZ795" s="6"/>
      <c r="FA795" s="6"/>
      <c r="FB795" s="6"/>
      <c r="FC795" s="6"/>
      <c r="FD795" s="6"/>
      <c r="FE795" s="6"/>
      <c r="FF795" s="6"/>
      <c r="FG795" s="6"/>
      <c r="FH795" s="6"/>
      <c r="FI795" s="6"/>
      <c r="FJ795" s="6"/>
      <c r="FK795" s="6"/>
      <c r="FL795" s="6"/>
      <c r="FM795" s="6"/>
      <c r="FN795" s="6"/>
      <c r="FO795" s="6"/>
      <c r="FP795" s="6"/>
      <c r="FQ795" s="6"/>
      <c r="FR795" s="6"/>
      <c r="FS795" s="6"/>
      <c r="FT795" s="6"/>
      <c r="FU795" s="6"/>
      <c r="FV795" s="6"/>
      <c r="FW795" s="6"/>
      <c r="FX795" s="6"/>
      <c r="FY795" s="6"/>
      <c r="FZ795" s="6"/>
      <c r="GA795" s="6"/>
      <c r="GB795" s="6"/>
      <c r="GC795" s="6"/>
      <c r="GD795" s="6"/>
      <c r="GE795" s="6"/>
      <c r="GF795" s="6"/>
      <c r="GG795" s="6"/>
      <c r="GH795" s="6"/>
      <c r="GI795" s="6"/>
      <c r="GJ795" s="6"/>
      <c r="GK795" s="6"/>
      <c r="GL795" s="6"/>
      <c r="GM795" s="6"/>
      <c r="GN795" s="6"/>
      <c r="GO795" s="6"/>
      <c r="GP795" s="6"/>
      <c r="GQ795" s="6"/>
      <c r="GR795" s="6"/>
      <c r="GS795" s="6"/>
      <c r="GT795" s="6"/>
      <c r="GU795" s="6"/>
      <c r="GV795" s="6"/>
      <c r="GW795" s="6"/>
      <c r="GX795" s="6"/>
      <c r="GY795" s="6"/>
      <c r="GZ795" s="6"/>
      <c r="HA795" s="6"/>
      <c r="HB795" s="6"/>
      <c r="HC795" s="6"/>
      <c r="HD795" s="6"/>
      <c r="HE795" s="6"/>
      <c r="HF795" s="6"/>
      <c r="HG795" s="6"/>
      <c r="HH795" s="6"/>
      <c r="HI795" s="6"/>
      <c r="HJ795" s="6"/>
      <c r="HK795" s="6"/>
      <c r="HL795" s="6"/>
      <c r="HM795" s="6"/>
      <c r="HN795" s="6"/>
      <c r="HO795" s="6"/>
      <c r="HP795" s="6"/>
      <c r="HQ795" s="6"/>
      <c r="HR795" s="6"/>
      <c r="HS795" s="6"/>
      <c r="HT795" s="6"/>
      <c r="HU795" s="6"/>
      <c r="HV795" s="6"/>
      <c r="HW795" s="6"/>
      <c r="HX795" s="6"/>
      <c r="HY795" s="6"/>
      <c r="HZ795" s="6"/>
      <c r="IA795" s="6"/>
      <c r="IB795" s="6"/>
      <c r="IC795" s="6"/>
      <c r="ID795" s="6"/>
      <c r="IE795" s="6"/>
      <c r="IF795" s="6"/>
      <c r="IG795" s="6"/>
      <c r="IH795" s="6"/>
      <c r="II795" s="6"/>
      <c r="IJ795" s="6"/>
      <c r="IK795" s="6"/>
      <c r="IL795" s="6"/>
      <c r="IM795" s="6"/>
      <c r="IN795" s="6"/>
      <c r="IO795" s="6"/>
      <c r="IP795" s="6"/>
      <c r="IQ795" s="6"/>
      <c r="IR795" s="6"/>
      <c r="IS795" s="6"/>
      <c r="IT795" s="6"/>
      <c r="IU795" s="6"/>
      <c r="IV795" s="6"/>
      <c r="IW795" s="6"/>
      <c r="IX795" s="6"/>
    </row>
    <row r="796" spans="1:258" ht="45" customHeight="1">
      <c r="A796" s="53" t="s">
        <v>81</v>
      </c>
      <c r="B796" s="53"/>
      <c r="C796" s="2">
        <f>SUM(C797:C798)</f>
        <v>2060850</v>
      </c>
      <c r="D796" s="2">
        <f t="shared" ref="D796:U796" si="451">SUM(D797:D798)</f>
        <v>0</v>
      </c>
      <c r="E796" s="2">
        <f t="shared" si="451"/>
        <v>0</v>
      </c>
      <c r="F796" s="2">
        <f t="shared" si="451"/>
        <v>0</v>
      </c>
      <c r="G796" s="2">
        <f t="shared" si="451"/>
        <v>0</v>
      </c>
      <c r="H796" s="2">
        <f t="shared" si="451"/>
        <v>0</v>
      </c>
      <c r="I796" s="2">
        <f t="shared" si="451"/>
        <v>0</v>
      </c>
      <c r="J796" s="2">
        <f t="shared" si="451"/>
        <v>0</v>
      </c>
      <c r="K796" s="14">
        <f t="shared" si="451"/>
        <v>0</v>
      </c>
      <c r="L796" s="2">
        <f t="shared" si="451"/>
        <v>0</v>
      </c>
      <c r="M796" s="2">
        <f t="shared" si="451"/>
        <v>374.7</v>
      </c>
      <c r="N796" s="2">
        <f t="shared" si="451"/>
        <v>2060850</v>
      </c>
      <c r="O796" s="2">
        <f t="shared" si="451"/>
        <v>0</v>
      </c>
      <c r="P796" s="2">
        <f t="shared" si="451"/>
        <v>0</v>
      </c>
      <c r="Q796" s="2">
        <f t="shared" si="451"/>
        <v>0</v>
      </c>
      <c r="R796" s="2">
        <f t="shared" si="451"/>
        <v>0</v>
      </c>
      <c r="S796" s="2">
        <f t="shared" si="451"/>
        <v>0</v>
      </c>
      <c r="T796" s="2">
        <f t="shared" si="451"/>
        <v>0</v>
      </c>
      <c r="U796" s="2">
        <f t="shared" si="451"/>
        <v>0</v>
      </c>
    </row>
    <row r="797" spans="1:258" ht="21.9" customHeight="1">
      <c r="A797" s="37" t="s">
        <v>833</v>
      </c>
      <c r="B797" s="1" t="s">
        <v>82</v>
      </c>
      <c r="C797" s="2">
        <f t="shared" si="417"/>
        <v>1015849.9999999999</v>
      </c>
      <c r="D797" s="3">
        <f t="shared" ref="D797:D798" si="452">SUM(E797:J797)</f>
        <v>0</v>
      </c>
      <c r="E797" s="3">
        <v>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4">
        <v>0</v>
      </c>
      <c r="L797" s="3">
        <v>0</v>
      </c>
      <c r="M797" s="3">
        <v>184.7</v>
      </c>
      <c r="N797" s="3">
        <f t="shared" ref="N797:N798" si="453">M797*5500</f>
        <v>1015849.9999999999</v>
      </c>
      <c r="O797" s="3">
        <v>0</v>
      </c>
      <c r="P797" s="3">
        <v>0</v>
      </c>
      <c r="Q797" s="3">
        <v>0</v>
      </c>
      <c r="R797" s="3">
        <f t="shared" ref="R797:R798" si="454">Q797*3000</f>
        <v>0</v>
      </c>
      <c r="S797" s="3">
        <v>0</v>
      </c>
      <c r="T797" s="3">
        <v>0</v>
      </c>
      <c r="U797" s="3">
        <v>0</v>
      </c>
      <c r="V797" s="6">
        <f t="shared" ref="V797:V798" si="455">N797/M797</f>
        <v>5500</v>
      </c>
    </row>
    <row r="798" spans="1:258" s="17" customFormat="1" ht="21.9" customHeight="1">
      <c r="A798" s="37" t="s">
        <v>834</v>
      </c>
      <c r="B798" s="1" t="s">
        <v>83</v>
      </c>
      <c r="C798" s="2">
        <f t="shared" si="417"/>
        <v>1045000</v>
      </c>
      <c r="D798" s="3">
        <f t="shared" si="452"/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190</v>
      </c>
      <c r="N798" s="3">
        <f t="shared" si="453"/>
        <v>1045000</v>
      </c>
      <c r="O798" s="3">
        <v>0</v>
      </c>
      <c r="P798" s="3">
        <v>0</v>
      </c>
      <c r="Q798" s="3">
        <v>0</v>
      </c>
      <c r="R798" s="3">
        <f t="shared" si="454"/>
        <v>0</v>
      </c>
      <c r="S798" s="3">
        <v>0</v>
      </c>
      <c r="T798" s="3">
        <v>0</v>
      </c>
      <c r="U798" s="3">
        <v>0</v>
      </c>
      <c r="V798" s="6">
        <f t="shared" si="455"/>
        <v>5500</v>
      </c>
    </row>
    <row r="799" spans="1:258" ht="45" customHeight="1">
      <c r="A799" s="53" t="s">
        <v>823</v>
      </c>
      <c r="B799" s="53"/>
      <c r="C799" s="2">
        <f>SUM(C800:C802)</f>
        <v>11442633</v>
      </c>
      <c r="D799" s="2">
        <f t="shared" ref="D799:U799" si="456">SUM(D800:D802)</f>
        <v>3267333</v>
      </c>
      <c r="E799" s="2">
        <f t="shared" si="456"/>
        <v>571193</v>
      </c>
      <c r="F799" s="2">
        <f t="shared" si="456"/>
        <v>1302399</v>
      </c>
      <c r="G799" s="2">
        <f t="shared" si="456"/>
        <v>489594</v>
      </c>
      <c r="H799" s="2">
        <f t="shared" si="456"/>
        <v>496152</v>
      </c>
      <c r="I799" s="2">
        <f t="shared" si="456"/>
        <v>407995</v>
      </c>
      <c r="J799" s="2">
        <f t="shared" si="456"/>
        <v>0</v>
      </c>
      <c r="K799" s="14">
        <f t="shared" si="456"/>
        <v>0</v>
      </c>
      <c r="L799" s="2">
        <f t="shared" si="456"/>
        <v>0</v>
      </c>
      <c r="M799" s="2">
        <f t="shared" si="456"/>
        <v>1128.5999999999999</v>
      </c>
      <c r="N799" s="2">
        <f t="shared" si="456"/>
        <v>6207300</v>
      </c>
      <c r="O799" s="2">
        <f t="shared" si="456"/>
        <v>0</v>
      </c>
      <c r="P799" s="2">
        <f t="shared" si="456"/>
        <v>0</v>
      </c>
      <c r="Q799" s="2">
        <f t="shared" si="456"/>
        <v>556</v>
      </c>
      <c r="R799" s="2">
        <f t="shared" si="456"/>
        <v>1668000</v>
      </c>
      <c r="S799" s="2">
        <f t="shared" si="456"/>
        <v>0</v>
      </c>
      <c r="T799" s="2">
        <f t="shared" si="456"/>
        <v>0</v>
      </c>
      <c r="U799" s="2">
        <f t="shared" si="456"/>
        <v>300000</v>
      </c>
    </row>
    <row r="800" spans="1:258" ht="21.9" customHeight="1">
      <c r="A800" s="37" t="s">
        <v>835</v>
      </c>
      <c r="B800" s="8" t="s">
        <v>85</v>
      </c>
      <c r="C800" s="2">
        <f t="shared" si="417"/>
        <v>2055139.9999999998</v>
      </c>
      <c r="D800" s="3">
        <f t="shared" ref="D800:D802" si="457">SUM(E800:J800)</f>
        <v>352440</v>
      </c>
      <c r="E800" s="3">
        <f>350*391.6</f>
        <v>137060</v>
      </c>
      <c r="F800" s="3">
        <v>0</v>
      </c>
      <c r="G800" s="3">
        <f>300*391.6</f>
        <v>117480</v>
      </c>
      <c r="H800" s="3">
        <v>0</v>
      </c>
      <c r="I800" s="3">
        <f>250*391.6</f>
        <v>97900</v>
      </c>
      <c r="J800" s="3">
        <f>350*0</f>
        <v>0</v>
      </c>
      <c r="K800" s="4">
        <v>0</v>
      </c>
      <c r="L800" s="3">
        <v>0</v>
      </c>
      <c r="M800" s="5">
        <v>291.39999999999998</v>
      </c>
      <c r="N800" s="3">
        <f t="shared" ref="N800:N803" si="458">M800*5500</f>
        <v>1602699.9999999998</v>
      </c>
      <c r="O800" s="3">
        <v>0</v>
      </c>
      <c r="P800" s="3">
        <v>0</v>
      </c>
      <c r="Q800" s="3">
        <v>0</v>
      </c>
      <c r="R800" s="3">
        <f t="shared" ref="R800:R802" si="459">Q800*3000</f>
        <v>0</v>
      </c>
      <c r="S800" s="3">
        <v>0</v>
      </c>
      <c r="T800" s="3">
        <v>0</v>
      </c>
      <c r="U800" s="3">
        <v>100000</v>
      </c>
      <c r="V800" s="6">
        <f t="shared" ref="V800:V803" si="460">N800/M800</f>
        <v>5500</v>
      </c>
    </row>
    <row r="801" spans="1:22" ht="21.9" customHeight="1">
      <c r="A801" s="37" t="s">
        <v>836</v>
      </c>
      <c r="B801" s="8" t="s">
        <v>1010</v>
      </c>
      <c r="C801" s="2">
        <f t="shared" si="417"/>
        <v>6294980</v>
      </c>
      <c r="D801" s="3">
        <f t="shared" si="457"/>
        <v>1754980</v>
      </c>
      <c r="E801" s="3">
        <f>350*746.8</f>
        <v>261379.99999999997</v>
      </c>
      <c r="F801" s="3">
        <f>1050*746.8</f>
        <v>784140</v>
      </c>
      <c r="G801" s="3">
        <f>300*746.8</f>
        <v>224040</v>
      </c>
      <c r="H801" s="3">
        <f>400*746.8</f>
        <v>298720</v>
      </c>
      <c r="I801" s="3">
        <f>250*746.8</f>
        <v>186700</v>
      </c>
      <c r="J801" s="3">
        <v>0</v>
      </c>
      <c r="K801" s="4">
        <v>0</v>
      </c>
      <c r="L801" s="3">
        <v>0</v>
      </c>
      <c r="M801" s="5">
        <v>504</v>
      </c>
      <c r="N801" s="3">
        <f t="shared" si="458"/>
        <v>2772000</v>
      </c>
      <c r="O801" s="3">
        <v>0</v>
      </c>
      <c r="P801" s="3">
        <v>0</v>
      </c>
      <c r="Q801" s="3">
        <v>556</v>
      </c>
      <c r="R801" s="3">
        <f t="shared" si="459"/>
        <v>1668000</v>
      </c>
      <c r="S801" s="3">
        <v>0</v>
      </c>
      <c r="T801" s="3">
        <v>0</v>
      </c>
      <c r="U801" s="3">
        <v>100000</v>
      </c>
      <c r="V801" s="6">
        <f t="shared" si="460"/>
        <v>5500</v>
      </c>
    </row>
    <row r="802" spans="1:22" ht="21.9" customHeight="1">
      <c r="A802" s="37" t="s">
        <v>837</v>
      </c>
      <c r="B802" s="8" t="s">
        <v>86</v>
      </c>
      <c r="C802" s="2">
        <f t="shared" si="417"/>
        <v>3092513</v>
      </c>
      <c r="D802" s="3">
        <f t="shared" si="457"/>
        <v>1159913</v>
      </c>
      <c r="E802" s="3">
        <f>350*493.58</f>
        <v>172753</v>
      </c>
      <c r="F802" s="3">
        <f>1050*493.58</f>
        <v>518259</v>
      </c>
      <c r="G802" s="3">
        <f>300*493.58</f>
        <v>148074</v>
      </c>
      <c r="H802" s="3">
        <f>400*493.58</f>
        <v>197432</v>
      </c>
      <c r="I802" s="3">
        <f>250*493.58</f>
        <v>123395</v>
      </c>
      <c r="J802" s="3">
        <v>0</v>
      </c>
      <c r="K802" s="4">
        <v>0</v>
      </c>
      <c r="L802" s="3">
        <v>0</v>
      </c>
      <c r="M802" s="5">
        <v>333.2</v>
      </c>
      <c r="N802" s="3">
        <f t="shared" si="458"/>
        <v>1832600</v>
      </c>
      <c r="O802" s="3">
        <v>0</v>
      </c>
      <c r="P802" s="3">
        <v>0</v>
      </c>
      <c r="Q802" s="3">
        <v>0</v>
      </c>
      <c r="R802" s="3">
        <f t="shared" si="459"/>
        <v>0</v>
      </c>
      <c r="S802" s="3">
        <v>0</v>
      </c>
      <c r="T802" s="3">
        <v>0</v>
      </c>
      <c r="U802" s="3">
        <v>100000</v>
      </c>
      <c r="V802" s="6">
        <f t="shared" si="460"/>
        <v>5500</v>
      </c>
    </row>
    <row r="803" spans="1:22" ht="21.9" customHeight="1">
      <c r="A803" s="37" t="s">
        <v>838</v>
      </c>
      <c r="B803" s="8" t="s">
        <v>89</v>
      </c>
      <c r="C803" s="2">
        <f t="shared" si="417"/>
        <v>3135000</v>
      </c>
      <c r="D803" s="3">
        <f t="shared" ref="D803" si="461">SUM(E803:J803)</f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4">
        <v>0</v>
      </c>
      <c r="L803" s="3">
        <v>0</v>
      </c>
      <c r="M803" s="3">
        <v>570</v>
      </c>
      <c r="N803" s="3">
        <f t="shared" si="458"/>
        <v>3135000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6">
        <f t="shared" si="460"/>
        <v>5500</v>
      </c>
    </row>
    <row r="804" spans="1:22" ht="45" customHeight="1">
      <c r="A804" s="53" t="s">
        <v>969</v>
      </c>
      <c r="B804" s="53"/>
      <c r="C804" s="2">
        <f>SUM(C805)</f>
        <v>3873617.4000000004</v>
      </c>
      <c r="D804" s="2">
        <f t="shared" ref="D804:U804" si="462">SUM(D805)</f>
        <v>0</v>
      </c>
      <c r="E804" s="2">
        <f t="shared" si="462"/>
        <v>0</v>
      </c>
      <c r="F804" s="2">
        <f t="shared" si="462"/>
        <v>0</v>
      </c>
      <c r="G804" s="2">
        <f t="shared" si="462"/>
        <v>0</v>
      </c>
      <c r="H804" s="2">
        <f t="shared" si="462"/>
        <v>0</v>
      </c>
      <c r="I804" s="2">
        <f t="shared" si="462"/>
        <v>0</v>
      </c>
      <c r="J804" s="2">
        <f t="shared" si="462"/>
        <v>0</v>
      </c>
      <c r="K804" s="14">
        <f t="shared" si="462"/>
        <v>0</v>
      </c>
      <c r="L804" s="2">
        <f t="shared" si="462"/>
        <v>0</v>
      </c>
      <c r="M804" s="2">
        <f t="shared" si="462"/>
        <v>1050.9000000000001</v>
      </c>
      <c r="N804" s="2">
        <f t="shared" si="462"/>
        <v>3873617.4000000004</v>
      </c>
      <c r="O804" s="2">
        <f t="shared" si="462"/>
        <v>0</v>
      </c>
      <c r="P804" s="2">
        <f t="shared" si="462"/>
        <v>0</v>
      </c>
      <c r="Q804" s="2">
        <f t="shared" si="462"/>
        <v>0</v>
      </c>
      <c r="R804" s="2">
        <f t="shared" si="462"/>
        <v>0</v>
      </c>
      <c r="S804" s="2">
        <f t="shared" si="462"/>
        <v>0</v>
      </c>
      <c r="T804" s="2">
        <f t="shared" si="462"/>
        <v>0</v>
      </c>
      <c r="U804" s="2">
        <f t="shared" si="462"/>
        <v>0</v>
      </c>
      <c r="V804" s="18">
        <f>C804</f>
        <v>3873617.4000000004</v>
      </c>
    </row>
    <row r="805" spans="1:22" ht="21.9" customHeight="1">
      <c r="A805" s="37" t="s">
        <v>839</v>
      </c>
      <c r="B805" s="8" t="s">
        <v>970</v>
      </c>
      <c r="C805" s="2">
        <f t="shared" si="417"/>
        <v>3873617.4000000004</v>
      </c>
      <c r="D805" s="3">
        <f t="shared" ref="D805" si="463">SUM(E805:J805)</f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5">
        <v>1050.9000000000001</v>
      </c>
      <c r="N805" s="3">
        <f>M805*3686</f>
        <v>3873617.4000000004</v>
      </c>
      <c r="O805" s="3">
        <v>0</v>
      </c>
      <c r="P805" s="3">
        <v>0</v>
      </c>
      <c r="Q805" s="3">
        <v>0</v>
      </c>
      <c r="R805" s="3">
        <f>Q805*3000</f>
        <v>0</v>
      </c>
      <c r="S805" s="3">
        <v>0</v>
      </c>
      <c r="T805" s="3">
        <v>0</v>
      </c>
      <c r="U805" s="3">
        <v>0</v>
      </c>
      <c r="V805" s="6">
        <f t="shared" ref="V805" si="464">N805/M805</f>
        <v>3686</v>
      </c>
    </row>
    <row r="806" spans="1:22" ht="45" customHeight="1">
      <c r="A806" s="53" t="s">
        <v>93</v>
      </c>
      <c r="B806" s="53"/>
      <c r="C806" s="2">
        <f>SUM(C807:C808)</f>
        <v>5000000</v>
      </c>
      <c r="D806" s="2">
        <f t="shared" ref="D806:U806" si="465">SUM(D807:D808)</f>
        <v>0</v>
      </c>
      <c r="E806" s="2">
        <f t="shared" si="465"/>
        <v>0</v>
      </c>
      <c r="F806" s="2">
        <f t="shared" si="465"/>
        <v>0</v>
      </c>
      <c r="G806" s="2">
        <f t="shared" si="465"/>
        <v>0</v>
      </c>
      <c r="H806" s="2">
        <f t="shared" si="465"/>
        <v>0</v>
      </c>
      <c r="I806" s="2">
        <f t="shared" si="465"/>
        <v>0</v>
      </c>
      <c r="J806" s="2">
        <f t="shared" si="465"/>
        <v>0</v>
      </c>
      <c r="K806" s="14">
        <f t="shared" si="465"/>
        <v>2</v>
      </c>
      <c r="L806" s="2">
        <f t="shared" si="465"/>
        <v>4600000</v>
      </c>
      <c r="M806" s="2">
        <f t="shared" si="465"/>
        <v>0</v>
      </c>
      <c r="N806" s="2">
        <f t="shared" si="465"/>
        <v>0</v>
      </c>
      <c r="O806" s="2">
        <f t="shared" si="465"/>
        <v>0</v>
      </c>
      <c r="P806" s="2">
        <f t="shared" si="465"/>
        <v>0</v>
      </c>
      <c r="Q806" s="2">
        <f t="shared" si="465"/>
        <v>0</v>
      </c>
      <c r="R806" s="2">
        <f t="shared" si="465"/>
        <v>0</v>
      </c>
      <c r="S806" s="2">
        <f t="shared" si="465"/>
        <v>0</v>
      </c>
      <c r="T806" s="2">
        <f t="shared" si="465"/>
        <v>0</v>
      </c>
      <c r="U806" s="2">
        <f t="shared" si="465"/>
        <v>400000</v>
      </c>
    </row>
    <row r="807" spans="1:22" ht="21.9" customHeight="1">
      <c r="A807" s="37" t="s">
        <v>840</v>
      </c>
      <c r="B807" s="8" t="s">
        <v>97</v>
      </c>
      <c r="C807" s="2">
        <f t="shared" si="417"/>
        <v>2500000</v>
      </c>
      <c r="D807" s="3">
        <f t="shared" ref="D807:D808" si="466">SUM(E807:J807)</f>
        <v>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4">
        <v>1</v>
      </c>
      <c r="L807" s="3">
        <v>2300000</v>
      </c>
      <c r="M807" s="5">
        <v>0</v>
      </c>
      <c r="N807" s="5">
        <v>0</v>
      </c>
      <c r="O807" s="3">
        <v>0</v>
      </c>
      <c r="P807" s="3">
        <v>0</v>
      </c>
      <c r="Q807" s="3">
        <v>0</v>
      </c>
      <c r="R807" s="3">
        <f t="shared" ref="R807:R808" si="467">Q807*3000</f>
        <v>0</v>
      </c>
      <c r="S807" s="3">
        <v>0</v>
      </c>
      <c r="T807" s="3">
        <v>0</v>
      </c>
      <c r="U807" s="3">
        <v>200000</v>
      </c>
      <c r="V807" s="6" t="e">
        <f t="shared" ref="V807:V808" si="468">N807/M807</f>
        <v>#DIV/0!</v>
      </c>
    </row>
    <row r="808" spans="1:22" ht="21.9" customHeight="1">
      <c r="A808" s="37" t="s">
        <v>1219</v>
      </c>
      <c r="B808" s="8" t="s">
        <v>101</v>
      </c>
      <c r="C808" s="2">
        <f t="shared" si="417"/>
        <v>2500000</v>
      </c>
      <c r="D808" s="3">
        <f t="shared" si="466"/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4">
        <v>1</v>
      </c>
      <c r="L808" s="3">
        <v>2300000</v>
      </c>
      <c r="M808" s="5">
        <v>0</v>
      </c>
      <c r="N808" s="5">
        <v>0</v>
      </c>
      <c r="O808" s="3">
        <v>0</v>
      </c>
      <c r="P808" s="3">
        <v>0</v>
      </c>
      <c r="Q808" s="3">
        <v>0</v>
      </c>
      <c r="R808" s="3">
        <f t="shared" si="467"/>
        <v>0</v>
      </c>
      <c r="S808" s="3">
        <v>0</v>
      </c>
      <c r="T808" s="3">
        <v>0</v>
      </c>
      <c r="U808" s="3">
        <v>200000</v>
      </c>
      <c r="V808" s="6" t="e">
        <f t="shared" si="468"/>
        <v>#DIV/0!</v>
      </c>
    </row>
    <row r="809" spans="1:22" ht="45" customHeight="1">
      <c r="A809" s="53" t="s">
        <v>102</v>
      </c>
      <c r="B809" s="53"/>
      <c r="C809" s="2">
        <f>SUM(C810:C813)</f>
        <v>11245600</v>
      </c>
      <c r="D809" s="2">
        <f t="shared" ref="D809:U809" si="469">SUM(D810:D813)</f>
        <v>0</v>
      </c>
      <c r="E809" s="2">
        <f t="shared" si="469"/>
        <v>0</v>
      </c>
      <c r="F809" s="2">
        <f t="shared" si="469"/>
        <v>0</v>
      </c>
      <c r="G809" s="2">
        <f t="shared" si="469"/>
        <v>0</v>
      </c>
      <c r="H809" s="2">
        <f t="shared" si="469"/>
        <v>0</v>
      </c>
      <c r="I809" s="2">
        <f t="shared" si="469"/>
        <v>0</v>
      </c>
      <c r="J809" s="2">
        <f t="shared" si="469"/>
        <v>0</v>
      </c>
      <c r="K809" s="14">
        <f t="shared" si="469"/>
        <v>0</v>
      </c>
      <c r="L809" s="2">
        <f t="shared" si="469"/>
        <v>0</v>
      </c>
      <c r="M809" s="2">
        <f t="shared" si="469"/>
        <v>2325</v>
      </c>
      <c r="N809" s="2">
        <f t="shared" si="469"/>
        <v>11245600</v>
      </c>
      <c r="O809" s="2">
        <f t="shared" si="469"/>
        <v>0</v>
      </c>
      <c r="P809" s="2">
        <f t="shared" si="469"/>
        <v>0</v>
      </c>
      <c r="Q809" s="2">
        <f t="shared" si="469"/>
        <v>0</v>
      </c>
      <c r="R809" s="2">
        <f t="shared" si="469"/>
        <v>0</v>
      </c>
      <c r="S809" s="2">
        <f t="shared" si="469"/>
        <v>0</v>
      </c>
      <c r="T809" s="2">
        <f t="shared" si="469"/>
        <v>0</v>
      </c>
      <c r="U809" s="2">
        <f t="shared" si="469"/>
        <v>0</v>
      </c>
    </row>
    <row r="810" spans="1:22" ht="21" customHeight="1">
      <c r="A810" s="37" t="s">
        <v>841</v>
      </c>
      <c r="B810" s="8" t="s">
        <v>104</v>
      </c>
      <c r="C810" s="2">
        <f t="shared" si="417"/>
        <v>2480500</v>
      </c>
      <c r="D810" s="3">
        <f t="shared" ref="D810:D813" si="470">SUM(E810:J810)</f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4">
        <v>0</v>
      </c>
      <c r="L810" s="3">
        <v>0</v>
      </c>
      <c r="M810" s="5">
        <v>451</v>
      </c>
      <c r="N810" s="3">
        <f t="shared" ref="N810:N811" si="471">M810*5500</f>
        <v>2480500</v>
      </c>
      <c r="O810" s="3">
        <v>0</v>
      </c>
      <c r="P810" s="3">
        <v>0</v>
      </c>
      <c r="Q810" s="3">
        <v>0</v>
      </c>
      <c r="R810" s="3">
        <f t="shared" ref="R810:R813" si="472">Q810*3000</f>
        <v>0</v>
      </c>
      <c r="S810" s="3">
        <v>0</v>
      </c>
      <c r="T810" s="3">
        <v>0</v>
      </c>
      <c r="U810" s="3">
        <v>0</v>
      </c>
      <c r="V810" s="6">
        <f t="shared" ref="V810:V813" si="473">N810/M810</f>
        <v>5500</v>
      </c>
    </row>
    <row r="811" spans="1:22" ht="21" customHeight="1">
      <c r="A811" s="37" t="s">
        <v>842</v>
      </c>
      <c r="B811" s="8" t="s">
        <v>106</v>
      </c>
      <c r="C811" s="2">
        <f t="shared" si="417"/>
        <v>3250500</v>
      </c>
      <c r="D811" s="3">
        <f t="shared" si="470"/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v>0</v>
      </c>
      <c r="K811" s="4">
        <v>0</v>
      </c>
      <c r="L811" s="3">
        <v>0</v>
      </c>
      <c r="M811" s="5">
        <v>591</v>
      </c>
      <c r="N811" s="3">
        <f t="shared" si="471"/>
        <v>3250500</v>
      </c>
      <c r="O811" s="3">
        <v>0</v>
      </c>
      <c r="P811" s="3">
        <v>0</v>
      </c>
      <c r="Q811" s="3">
        <v>0</v>
      </c>
      <c r="R811" s="3">
        <f t="shared" si="472"/>
        <v>0</v>
      </c>
      <c r="S811" s="3">
        <v>0</v>
      </c>
      <c r="T811" s="3">
        <v>0</v>
      </c>
      <c r="U811" s="3">
        <v>0</v>
      </c>
      <c r="V811" s="6">
        <f t="shared" si="473"/>
        <v>5500</v>
      </c>
    </row>
    <row r="812" spans="1:22" ht="21" customHeight="1">
      <c r="A812" s="37" t="s">
        <v>843</v>
      </c>
      <c r="B812" s="8" t="s">
        <v>107</v>
      </c>
      <c r="C812" s="2">
        <f t="shared" si="417"/>
        <v>3133100</v>
      </c>
      <c r="D812" s="3">
        <f t="shared" si="470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5">
        <v>850</v>
      </c>
      <c r="N812" s="3">
        <f>M812*3686</f>
        <v>3133100</v>
      </c>
      <c r="O812" s="3">
        <v>0</v>
      </c>
      <c r="P812" s="3">
        <v>0</v>
      </c>
      <c r="Q812" s="3">
        <v>0</v>
      </c>
      <c r="R812" s="3">
        <f t="shared" si="472"/>
        <v>0</v>
      </c>
      <c r="S812" s="3">
        <v>0</v>
      </c>
      <c r="T812" s="3">
        <v>0</v>
      </c>
      <c r="U812" s="3">
        <v>0</v>
      </c>
      <c r="V812" s="6">
        <f t="shared" si="473"/>
        <v>3686</v>
      </c>
    </row>
    <row r="813" spans="1:22" ht="21" customHeight="1">
      <c r="A813" s="37" t="s">
        <v>844</v>
      </c>
      <c r="B813" s="8" t="s">
        <v>109</v>
      </c>
      <c r="C813" s="2">
        <f t="shared" si="417"/>
        <v>2381500</v>
      </c>
      <c r="D813" s="3">
        <f t="shared" si="470"/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4">
        <v>0</v>
      </c>
      <c r="L813" s="3">
        <v>0</v>
      </c>
      <c r="M813" s="5">
        <v>433</v>
      </c>
      <c r="N813" s="3">
        <f t="shared" ref="N813" si="474">M813*5500</f>
        <v>2381500</v>
      </c>
      <c r="O813" s="3">
        <v>0</v>
      </c>
      <c r="P813" s="3">
        <v>0</v>
      </c>
      <c r="Q813" s="3">
        <v>0</v>
      </c>
      <c r="R813" s="3">
        <f t="shared" si="472"/>
        <v>0</v>
      </c>
      <c r="S813" s="3">
        <v>0</v>
      </c>
      <c r="T813" s="3">
        <v>0</v>
      </c>
      <c r="U813" s="3">
        <v>0</v>
      </c>
      <c r="V813" s="6">
        <f t="shared" si="473"/>
        <v>5500</v>
      </c>
    </row>
    <row r="814" spans="1:22" ht="45" customHeight="1">
      <c r="A814" s="53" t="s">
        <v>116</v>
      </c>
      <c r="B814" s="53"/>
      <c r="C814" s="2">
        <f>SUM(C815)</f>
        <v>1276000</v>
      </c>
      <c r="D814" s="2">
        <f t="shared" ref="D814:U814" si="475">SUM(D815)</f>
        <v>0</v>
      </c>
      <c r="E814" s="2">
        <f t="shared" si="475"/>
        <v>0</v>
      </c>
      <c r="F814" s="2">
        <f t="shared" si="475"/>
        <v>0</v>
      </c>
      <c r="G814" s="2">
        <f t="shared" si="475"/>
        <v>0</v>
      </c>
      <c r="H814" s="2">
        <f t="shared" si="475"/>
        <v>0</v>
      </c>
      <c r="I814" s="2">
        <f t="shared" si="475"/>
        <v>0</v>
      </c>
      <c r="J814" s="2">
        <f t="shared" si="475"/>
        <v>0</v>
      </c>
      <c r="K814" s="14">
        <f t="shared" si="475"/>
        <v>0</v>
      </c>
      <c r="L814" s="2">
        <f t="shared" si="475"/>
        <v>0</v>
      </c>
      <c r="M814" s="2">
        <f t="shared" si="475"/>
        <v>232</v>
      </c>
      <c r="N814" s="2">
        <f t="shared" si="475"/>
        <v>1276000</v>
      </c>
      <c r="O814" s="2">
        <f t="shared" si="475"/>
        <v>0</v>
      </c>
      <c r="P814" s="2">
        <f t="shared" si="475"/>
        <v>0</v>
      </c>
      <c r="Q814" s="2">
        <f t="shared" si="475"/>
        <v>0</v>
      </c>
      <c r="R814" s="2">
        <f t="shared" si="475"/>
        <v>0</v>
      </c>
      <c r="S814" s="2">
        <f t="shared" si="475"/>
        <v>0</v>
      </c>
      <c r="T814" s="2">
        <f t="shared" si="475"/>
        <v>0</v>
      </c>
      <c r="U814" s="2">
        <f t="shared" si="475"/>
        <v>0</v>
      </c>
    </row>
    <row r="815" spans="1:22" ht="21.9" customHeight="1">
      <c r="A815" s="36" t="s">
        <v>845</v>
      </c>
      <c r="B815" s="8" t="s">
        <v>117</v>
      </c>
      <c r="C815" s="2">
        <f t="shared" si="417"/>
        <v>1276000</v>
      </c>
      <c r="D815" s="3">
        <f t="shared" ref="D815" si="476">SUM(E815:J815)</f>
        <v>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11">
        <v>0</v>
      </c>
      <c r="L815" s="5">
        <v>0</v>
      </c>
      <c r="M815" s="5">
        <v>232</v>
      </c>
      <c r="N815" s="3">
        <f t="shared" ref="N815" si="477">M815*5500</f>
        <v>1276000</v>
      </c>
      <c r="O815" s="5">
        <v>0</v>
      </c>
      <c r="P815" s="5">
        <v>0</v>
      </c>
      <c r="Q815" s="5">
        <v>0</v>
      </c>
      <c r="R815" s="3">
        <f>Q815*3000</f>
        <v>0</v>
      </c>
      <c r="S815" s="5">
        <v>0</v>
      </c>
      <c r="T815" s="5">
        <v>0</v>
      </c>
      <c r="U815" s="5">
        <v>0</v>
      </c>
      <c r="V815" s="6">
        <f t="shared" ref="V815" si="478">N815/M815</f>
        <v>5500</v>
      </c>
    </row>
    <row r="816" spans="1:22" ht="45" customHeight="1">
      <c r="A816" s="53" t="s">
        <v>1200</v>
      </c>
      <c r="B816" s="53"/>
      <c r="C816" s="2">
        <f>SUM(C817:C821)</f>
        <v>20922169.800000001</v>
      </c>
      <c r="D816" s="2">
        <f t="shared" ref="D816:U816" si="479">SUM(D817:D821)</f>
        <v>2193020</v>
      </c>
      <c r="E816" s="2">
        <f t="shared" si="479"/>
        <v>326620</v>
      </c>
      <c r="F816" s="2">
        <f t="shared" si="479"/>
        <v>979860</v>
      </c>
      <c r="G816" s="2">
        <f t="shared" si="479"/>
        <v>279960</v>
      </c>
      <c r="H816" s="2">
        <f t="shared" si="479"/>
        <v>373280</v>
      </c>
      <c r="I816" s="2">
        <f t="shared" si="479"/>
        <v>233300</v>
      </c>
      <c r="J816" s="2">
        <f t="shared" si="479"/>
        <v>0</v>
      </c>
      <c r="K816" s="14">
        <f t="shared" si="479"/>
        <v>0</v>
      </c>
      <c r="L816" s="2">
        <f t="shared" si="479"/>
        <v>0</v>
      </c>
      <c r="M816" s="2">
        <f t="shared" si="479"/>
        <v>4724.3</v>
      </c>
      <c r="N816" s="2">
        <f t="shared" si="479"/>
        <v>18629149.800000001</v>
      </c>
      <c r="O816" s="2">
        <f t="shared" si="479"/>
        <v>0</v>
      </c>
      <c r="P816" s="2">
        <f t="shared" si="479"/>
        <v>0</v>
      </c>
      <c r="Q816" s="2">
        <f t="shared" si="479"/>
        <v>0</v>
      </c>
      <c r="R816" s="2">
        <f t="shared" si="479"/>
        <v>0</v>
      </c>
      <c r="S816" s="2">
        <f t="shared" si="479"/>
        <v>0</v>
      </c>
      <c r="T816" s="2">
        <f t="shared" si="479"/>
        <v>0</v>
      </c>
      <c r="U816" s="2">
        <f t="shared" si="479"/>
        <v>100000</v>
      </c>
      <c r="V816" s="18">
        <f>C816+C1292</f>
        <v>20922169.800000001</v>
      </c>
    </row>
    <row r="817" spans="1:22" ht="21.9" customHeight="1">
      <c r="A817" s="37" t="s">
        <v>846</v>
      </c>
      <c r="B817" s="8" t="s">
        <v>1201</v>
      </c>
      <c r="C817" s="2">
        <f t="shared" si="417"/>
        <v>5053506</v>
      </c>
      <c r="D817" s="3">
        <f t="shared" ref="D817:D821" si="480">SUM(E817:J817)</f>
        <v>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4">
        <v>0</v>
      </c>
      <c r="L817" s="3">
        <v>0</v>
      </c>
      <c r="M817" s="5">
        <v>1371</v>
      </c>
      <c r="N817" s="5">
        <f>M817*3686</f>
        <v>5053506</v>
      </c>
      <c r="O817" s="5">
        <v>0</v>
      </c>
      <c r="P817" s="5">
        <v>0</v>
      </c>
      <c r="Q817" s="5">
        <v>0</v>
      </c>
      <c r="R817" s="3">
        <f t="shared" ref="R817:R821" si="481">Q817*3000</f>
        <v>0</v>
      </c>
      <c r="S817" s="5">
        <v>0</v>
      </c>
      <c r="T817" s="5">
        <v>0</v>
      </c>
      <c r="U817" s="5">
        <v>0</v>
      </c>
      <c r="V817" s="6">
        <f t="shared" ref="V817:V821" si="482">N817/M817</f>
        <v>3686</v>
      </c>
    </row>
    <row r="818" spans="1:22" ht="21.9" customHeight="1">
      <c r="A818" s="37" t="s">
        <v>847</v>
      </c>
      <c r="B818" s="8" t="s">
        <v>1287</v>
      </c>
      <c r="C818" s="2">
        <f t="shared" ref="C818" si="483">D818+L818+N818+P818+R818+S818+T818+U818</f>
        <v>3685000</v>
      </c>
      <c r="D818" s="3">
        <f t="shared" ref="D818" si="484">SUM(E818:J818)</f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4">
        <v>0</v>
      </c>
      <c r="L818" s="3">
        <v>0</v>
      </c>
      <c r="M818" s="5">
        <v>670</v>
      </c>
      <c r="N818" s="5">
        <f>M818*5500</f>
        <v>3685000</v>
      </c>
      <c r="O818" s="5">
        <v>0</v>
      </c>
      <c r="P818" s="5">
        <v>0</v>
      </c>
      <c r="Q818" s="5">
        <v>0</v>
      </c>
      <c r="R818" s="3">
        <v>0</v>
      </c>
      <c r="S818" s="5">
        <v>0</v>
      </c>
      <c r="T818" s="5">
        <v>0</v>
      </c>
      <c r="U818" s="5">
        <v>0</v>
      </c>
    </row>
    <row r="819" spans="1:22" ht="21.9" customHeight="1">
      <c r="A819" s="37" t="s">
        <v>848</v>
      </c>
      <c r="B819" s="8" t="s">
        <v>1288</v>
      </c>
      <c r="C819" s="2">
        <f t="shared" ref="C819" si="485">D819+L819+N819+P819+R819+S819+T819+U819</f>
        <v>2293020</v>
      </c>
      <c r="D819" s="3">
        <f t="shared" ref="D819" si="486">SUM(E819:J819)</f>
        <v>2193020</v>
      </c>
      <c r="E819" s="3">
        <f>350*933.2</f>
        <v>326620</v>
      </c>
      <c r="F819" s="3">
        <f>1050*933.2</f>
        <v>979860</v>
      </c>
      <c r="G819" s="3">
        <f>300*933.2</f>
        <v>279960</v>
      </c>
      <c r="H819" s="3">
        <f>400*933.2</f>
        <v>373280</v>
      </c>
      <c r="I819" s="3">
        <f>250*933.2</f>
        <v>233300</v>
      </c>
      <c r="J819" s="3">
        <v>0</v>
      </c>
      <c r="K819" s="4">
        <v>0</v>
      </c>
      <c r="L819" s="3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3">
        <v>0</v>
      </c>
      <c r="S819" s="5">
        <v>0</v>
      </c>
      <c r="T819" s="5">
        <v>0</v>
      </c>
      <c r="U819" s="5">
        <v>100000</v>
      </c>
    </row>
    <row r="820" spans="1:22" ht="21.9" customHeight="1">
      <c r="A820" s="37" t="s">
        <v>849</v>
      </c>
      <c r="B820" s="8" t="s">
        <v>1202</v>
      </c>
      <c r="C820" s="2">
        <f t="shared" si="417"/>
        <v>4542257.8</v>
      </c>
      <c r="D820" s="3">
        <f t="shared" si="480"/>
        <v>0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4">
        <v>0</v>
      </c>
      <c r="L820" s="3">
        <v>0</v>
      </c>
      <c r="M820" s="5">
        <v>1232.3</v>
      </c>
      <c r="N820" s="5">
        <f>M820*3686</f>
        <v>4542257.8</v>
      </c>
      <c r="O820" s="5">
        <v>0</v>
      </c>
      <c r="P820" s="5">
        <v>0</v>
      </c>
      <c r="Q820" s="5">
        <v>0</v>
      </c>
      <c r="R820" s="3">
        <f t="shared" si="481"/>
        <v>0</v>
      </c>
      <c r="S820" s="5">
        <v>0</v>
      </c>
      <c r="T820" s="5">
        <v>0</v>
      </c>
      <c r="U820" s="5">
        <v>0</v>
      </c>
      <c r="V820" s="6">
        <f t="shared" si="482"/>
        <v>3686</v>
      </c>
    </row>
    <row r="821" spans="1:22" ht="21.9" customHeight="1">
      <c r="A821" s="37" t="s">
        <v>850</v>
      </c>
      <c r="B821" s="8" t="s">
        <v>1203</v>
      </c>
      <c r="C821" s="2">
        <f t="shared" si="417"/>
        <v>5348386</v>
      </c>
      <c r="D821" s="3">
        <f t="shared" si="480"/>
        <v>0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4">
        <v>0</v>
      </c>
      <c r="L821" s="3">
        <v>0</v>
      </c>
      <c r="M821" s="5">
        <v>1451</v>
      </c>
      <c r="N821" s="5">
        <f>M821*3686</f>
        <v>5348386</v>
      </c>
      <c r="O821" s="5">
        <v>0</v>
      </c>
      <c r="P821" s="5">
        <v>0</v>
      </c>
      <c r="Q821" s="5">
        <v>0</v>
      </c>
      <c r="R821" s="3">
        <f t="shared" si="481"/>
        <v>0</v>
      </c>
      <c r="S821" s="5">
        <v>0</v>
      </c>
      <c r="T821" s="5">
        <v>0</v>
      </c>
      <c r="U821" s="5">
        <v>0</v>
      </c>
      <c r="V821" s="6">
        <f t="shared" si="482"/>
        <v>3686</v>
      </c>
    </row>
    <row r="822" spans="1:22" ht="45" customHeight="1">
      <c r="A822" s="53" t="s">
        <v>1198</v>
      </c>
      <c r="B822" s="53"/>
      <c r="C822" s="2">
        <f>SUM(C823)</f>
        <v>271026</v>
      </c>
      <c r="D822" s="2">
        <f t="shared" ref="D822:U822" si="487">SUM(D823)</f>
        <v>271026</v>
      </c>
      <c r="E822" s="2">
        <f t="shared" si="487"/>
        <v>150570</v>
      </c>
      <c r="F822" s="2">
        <f t="shared" si="487"/>
        <v>0</v>
      </c>
      <c r="G822" s="2">
        <f t="shared" si="487"/>
        <v>12906</v>
      </c>
      <c r="H822" s="2">
        <f t="shared" si="487"/>
        <v>0</v>
      </c>
      <c r="I822" s="2">
        <f t="shared" si="487"/>
        <v>107550</v>
      </c>
      <c r="J822" s="2">
        <f t="shared" si="487"/>
        <v>0</v>
      </c>
      <c r="K822" s="14">
        <f t="shared" si="487"/>
        <v>0</v>
      </c>
      <c r="L822" s="2">
        <f t="shared" si="487"/>
        <v>0</v>
      </c>
      <c r="M822" s="2">
        <f t="shared" si="487"/>
        <v>0</v>
      </c>
      <c r="N822" s="2">
        <f t="shared" si="487"/>
        <v>0</v>
      </c>
      <c r="O822" s="2">
        <f t="shared" si="487"/>
        <v>0</v>
      </c>
      <c r="P822" s="2">
        <f t="shared" si="487"/>
        <v>0</v>
      </c>
      <c r="Q822" s="2">
        <f t="shared" si="487"/>
        <v>0</v>
      </c>
      <c r="R822" s="2">
        <f t="shared" si="487"/>
        <v>0</v>
      </c>
      <c r="S822" s="2">
        <f t="shared" si="487"/>
        <v>0</v>
      </c>
      <c r="T822" s="2">
        <f t="shared" si="487"/>
        <v>0</v>
      </c>
      <c r="U822" s="2">
        <f t="shared" si="487"/>
        <v>0</v>
      </c>
      <c r="V822" s="18">
        <f>C822+C1290</f>
        <v>271026</v>
      </c>
    </row>
    <row r="823" spans="1:22" ht="21.9" customHeight="1">
      <c r="A823" s="37" t="s">
        <v>851</v>
      </c>
      <c r="B823" s="8" t="s">
        <v>1199</v>
      </c>
      <c r="C823" s="2">
        <f>D823+L823+N823+P823+R823+S823+T823+U823</f>
        <v>271026</v>
      </c>
      <c r="D823" s="3">
        <f t="shared" ref="D823" si="488">SUM(E823:J823)</f>
        <v>271026</v>
      </c>
      <c r="E823" s="3">
        <f>350*430.2</f>
        <v>150570</v>
      </c>
      <c r="F823" s="3">
        <v>0</v>
      </c>
      <c r="G823" s="3">
        <f>30*430.2</f>
        <v>12906</v>
      </c>
      <c r="H823" s="3">
        <v>0</v>
      </c>
      <c r="I823" s="3">
        <f>250*430.2</f>
        <v>107550</v>
      </c>
      <c r="J823" s="3">
        <v>0</v>
      </c>
      <c r="K823" s="4">
        <v>0</v>
      </c>
      <c r="L823" s="3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6" t="e">
        <f t="shared" ref="V823" si="489">N823/M823</f>
        <v>#DIV/0!</v>
      </c>
    </row>
    <row r="824" spans="1:22" ht="45" customHeight="1">
      <c r="A824" s="53" t="s">
        <v>124</v>
      </c>
      <c r="B824" s="53"/>
      <c r="C824" s="2">
        <f>SUM(C825:C828)</f>
        <v>5048950</v>
      </c>
      <c r="D824" s="2">
        <f t="shared" ref="D824:U824" si="490">SUM(D825:D828)</f>
        <v>0</v>
      </c>
      <c r="E824" s="2">
        <f t="shared" si="490"/>
        <v>0</v>
      </c>
      <c r="F824" s="2">
        <f t="shared" si="490"/>
        <v>0</v>
      </c>
      <c r="G824" s="2">
        <f t="shared" si="490"/>
        <v>0</v>
      </c>
      <c r="H824" s="2">
        <f t="shared" si="490"/>
        <v>0</v>
      </c>
      <c r="I824" s="2">
        <f t="shared" si="490"/>
        <v>0</v>
      </c>
      <c r="J824" s="2">
        <f t="shared" si="490"/>
        <v>0</v>
      </c>
      <c r="K824" s="14">
        <f t="shared" si="490"/>
        <v>0</v>
      </c>
      <c r="L824" s="2">
        <f t="shared" si="490"/>
        <v>0</v>
      </c>
      <c r="M824" s="2">
        <f t="shared" si="490"/>
        <v>808.9</v>
      </c>
      <c r="N824" s="2">
        <f t="shared" si="490"/>
        <v>4448950</v>
      </c>
      <c r="O824" s="2">
        <f t="shared" si="490"/>
        <v>0</v>
      </c>
      <c r="P824" s="2">
        <f t="shared" si="490"/>
        <v>0</v>
      </c>
      <c r="Q824" s="2">
        <f t="shared" si="490"/>
        <v>0</v>
      </c>
      <c r="R824" s="2">
        <f t="shared" si="490"/>
        <v>0</v>
      </c>
      <c r="S824" s="2">
        <f t="shared" si="490"/>
        <v>0</v>
      </c>
      <c r="T824" s="2">
        <f t="shared" si="490"/>
        <v>0</v>
      </c>
      <c r="U824" s="2">
        <f t="shared" si="490"/>
        <v>600000</v>
      </c>
    </row>
    <row r="825" spans="1:22" ht="21.9" customHeight="1">
      <c r="A825" s="37" t="s">
        <v>852</v>
      </c>
      <c r="B825" s="1" t="s">
        <v>119</v>
      </c>
      <c r="C825" s="2">
        <f t="shared" si="417"/>
        <v>3073950</v>
      </c>
      <c r="D825" s="3">
        <f t="shared" ref="D825:D826" si="491">SUM(E825:J825)</f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4">
        <v>0</v>
      </c>
      <c r="L825" s="3">
        <v>0</v>
      </c>
      <c r="M825" s="5">
        <v>558.9</v>
      </c>
      <c r="N825" s="3">
        <f t="shared" ref="N825:N826" si="492">M825*5500</f>
        <v>3073950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6">
        <f t="shared" ref="V825:V826" si="493">N825/M825</f>
        <v>5500</v>
      </c>
    </row>
    <row r="826" spans="1:22" ht="21.9" customHeight="1">
      <c r="A826" s="37" t="s">
        <v>853</v>
      </c>
      <c r="B826" s="1" t="s">
        <v>120</v>
      </c>
      <c r="C826" s="2">
        <f t="shared" si="417"/>
        <v>1375000</v>
      </c>
      <c r="D826" s="3">
        <f t="shared" si="491"/>
        <v>0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4">
        <v>0</v>
      </c>
      <c r="L826" s="3">
        <v>0</v>
      </c>
      <c r="M826" s="5">
        <v>250</v>
      </c>
      <c r="N826" s="3">
        <f t="shared" si="492"/>
        <v>1375000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6">
        <f t="shared" si="493"/>
        <v>5500</v>
      </c>
    </row>
    <row r="827" spans="1:22" ht="21.9" customHeight="1">
      <c r="A827" s="37" t="s">
        <v>854</v>
      </c>
      <c r="B827" s="1" t="s">
        <v>1535</v>
      </c>
      <c r="C827" s="2">
        <f t="shared" ref="C827" si="494">D827+L827+N827+P827+R827+S827+T827+U827</f>
        <v>300000</v>
      </c>
      <c r="D827" s="3">
        <f t="shared" ref="D827" si="495">SUM(E827:J827)</f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4">
        <v>0</v>
      </c>
      <c r="L827" s="3">
        <v>0</v>
      </c>
      <c r="M827" s="5">
        <v>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300000</v>
      </c>
    </row>
    <row r="828" spans="1:22" ht="21.9" customHeight="1">
      <c r="A828" s="37" t="s">
        <v>855</v>
      </c>
      <c r="B828" s="1" t="s">
        <v>1291</v>
      </c>
      <c r="C828" s="2">
        <f t="shared" ref="C828" si="496">D828+L828+N828+P828+R828+S828+T828+U828</f>
        <v>300000</v>
      </c>
      <c r="D828" s="3">
        <f t="shared" ref="D828" si="497">SUM(E828:J828)</f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  <c r="K828" s="4">
        <v>0</v>
      </c>
      <c r="L828" s="3">
        <v>0</v>
      </c>
      <c r="M828" s="5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300000</v>
      </c>
    </row>
    <row r="829" spans="1:22" ht="45" customHeight="1">
      <c r="A829" s="53" t="s">
        <v>127</v>
      </c>
      <c r="B829" s="53"/>
      <c r="C829" s="2">
        <f>SUM(C830)</f>
        <v>1870000</v>
      </c>
      <c r="D829" s="2">
        <f t="shared" ref="D829:U829" si="498">SUM(D830)</f>
        <v>0</v>
      </c>
      <c r="E829" s="2">
        <f t="shared" si="498"/>
        <v>0</v>
      </c>
      <c r="F829" s="2">
        <f t="shared" si="498"/>
        <v>0</v>
      </c>
      <c r="G829" s="2">
        <f t="shared" si="498"/>
        <v>0</v>
      </c>
      <c r="H829" s="2">
        <f t="shared" si="498"/>
        <v>0</v>
      </c>
      <c r="I829" s="2">
        <f t="shared" si="498"/>
        <v>0</v>
      </c>
      <c r="J829" s="2">
        <f t="shared" si="498"/>
        <v>0</v>
      </c>
      <c r="K829" s="14">
        <f t="shared" si="498"/>
        <v>0</v>
      </c>
      <c r="L829" s="2">
        <f t="shared" si="498"/>
        <v>0</v>
      </c>
      <c r="M829" s="2">
        <f t="shared" si="498"/>
        <v>340</v>
      </c>
      <c r="N829" s="2">
        <f t="shared" si="498"/>
        <v>1870000</v>
      </c>
      <c r="O829" s="2">
        <f t="shared" si="498"/>
        <v>0</v>
      </c>
      <c r="P829" s="2">
        <f t="shared" si="498"/>
        <v>0</v>
      </c>
      <c r="Q829" s="2">
        <f t="shared" si="498"/>
        <v>0</v>
      </c>
      <c r="R829" s="2">
        <f t="shared" si="498"/>
        <v>0</v>
      </c>
      <c r="S829" s="2">
        <f t="shared" si="498"/>
        <v>0</v>
      </c>
      <c r="T829" s="2">
        <f t="shared" si="498"/>
        <v>0</v>
      </c>
      <c r="U829" s="2">
        <f t="shared" si="498"/>
        <v>0</v>
      </c>
    </row>
    <row r="830" spans="1:22" ht="21.9" customHeight="1">
      <c r="A830" s="37" t="s">
        <v>856</v>
      </c>
      <c r="B830" s="24" t="s">
        <v>126</v>
      </c>
      <c r="C830" s="2">
        <f t="shared" ref="C830:C905" si="499">D830+L830+N830+P830+R830+S830+T830+U830</f>
        <v>1870000</v>
      </c>
      <c r="D830" s="3">
        <f t="shared" ref="D830" si="500">SUM(E830:J830)</f>
        <v>0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4">
        <v>0</v>
      </c>
      <c r="L830" s="3">
        <v>0</v>
      </c>
      <c r="M830" s="3">
        <v>340</v>
      </c>
      <c r="N830" s="3">
        <f t="shared" ref="N830" si="501">M830*5500</f>
        <v>1870000</v>
      </c>
      <c r="O830" s="3">
        <v>0</v>
      </c>
      <c r="P830" s="3">
        <v>0</v>
      </c>
      <c r="Q830" s="3">
        <v>0</v>
      </c>
      <c r="R830" s="5">
        <v>0</v>
      </c>
      <c r="S830" s="3">
        <v>0</v>
      </c>
      <c r="T830" s="3">
        <v>0</v>
      </c>
      <c r="U830" s="3">
        <v>0</v>
      </c>
      <c r="V830" s="6">
        <f t="shared" ref="V830" si="502">N830/M830</f>
        <v>5500</v>
      </c>
    </row>
    <row r="831" spans="1:22" ht="45" customHeight="1">
      <c r="A831" s="53" t="s">
        <v>1029</v>
      </c>
      <c r="B831" s="53"/>
      <c r="C831" s="2">
        <f>SUM(C832)</f>
        <v>10265805</v>
      </c>
      <c r="D831" s="2">
        <f t="shared" ref="D831:U831" si="503">SUM(D832)</f>
        <v>2316865</v>
      </c>
      <c r="E831" s="2">
        <f t="shared" si="503"/>
        <v>345065</v>
      </c>
      <c r="F831" s="2">
        <f t="shared" si="503"/>
        <v>1035195</v>
      </c>
      <c r="G831" s="2">
        <f t="shared" si="503"/>
        <v>295770</v>
      </c>
      <c r="H831" s="2">
        <f t="shared" si="503"/>
        <v>394360</v>
      </c>
      <c r="I831" s="2">
        <f t="shared" si="503"/>
        <v>246475</v>
      </c>
      <c r="J831" s="2">
        <f t="shared" si="503"/>
        <v>0</v>
      </c>
      <c r="K831" s="14">
        <f t="shared" si="503"/>
        <v>0</v>
      </c>
      <c r="L831" s="2">
        <f t="shared" si="503"/>
        <v>0</v>
      </c>
      <c r="M831" s="2">
        <f t="shared" si="503"/>
        <v>1072</v>
      </c>
      <c r="N831" s="2">
        <f t="shared" si="503"/>
        <v>5896000</v>
      </c>
      <c r="O831" s="2">
        <f t="shared" si="503"/>
        <v>0</v>
      </c>
      <c r="P831" s="2">
        <f t="shared" si="503"/>
        <v>0</v>
      </c>
      <c r="Q831" s="2">
        <f t="shared" si="503"/>
        <v>514.5</v>
      </c>
      <c r="R831" s="2">
        <f t="shared" si="503"/>
        <v>1543500</v>
      </c>
      <c r="S831" s="2">
        <f t="shared" si="503"/>
        <v>409440</v>
      </c>
      <c r="T831" s="2">
        <f t="shared" si="503"/>
        <v>0</v>
      </c>
      <c r="U831" s="2">
        <f t="shared" si="503"/>
        <v>100000</v>
      </c>
      <c r="V831" s="18">
        <f>C831</f>
        <v>10265805</v>
      </c>
    </row>
    <row r="832" spans="1:22" ht="21" customHeight="1">
      <c r="A832" s="37" t="s">
        <v>857</v>
      </c>
      <c r="B832" s="8" t="s">
        <v>1030</v>
      </c>
      <c r="C832" s="2">
        <f t="shared" si="499"/>
        <v>10265805</v>
      </c>
      <c r="D832" s="3">
        <f t="shared" ref="D832" si="504">SUM(E832:J832)</f>
        <v>2316865</v>
      </c>
      <c r="E832" s="3">
        <f>350*985.9</f>
        <v>345065</v>
      </c>
      <c r="F832" s="3">
        <f>1050*985.9</f>
        <v>1035195</v>
      </c>
      <c r="G832" s="3">
        <f>300*985.9</f>
        <v>295770</v>
      </c>
      <c r="H832" s="3">
        <f>400*985.9</f>
        <v>394360</v>
      </c>
      <c r="I832" s="3">
        <f>250*985.9</f>
        <v>246475</v>
      </c>
      <c r="J832" s="3">
        <v>0</v>
      </c>
      <c r="K832" s="4">
        <v>0</v>
      </c>
      <c r="L832" s="3">
        <v>0</v>
      </c>
      <c r="M832" s="3">
        <v>1072</v>
      </c>
      <c r="N832" s="3">
        <f t="shared" ref="N832" si="505">M832*5500</f>
        <v>5896000</v>
      </c>
      <c r="O832" s="3">
        <v>0</v>
      </c>
      <c r="P832" s="3">
        <v>0</v>
      </c>
      <c r="Q832" s="3">
        <v>514.5</v>
      </c>
      <c r="R832" s="3">
        <f>Q832*3000</f>
        <v>1543500</v>
      </c>
      <c r="S832" s="3">
        <v>409440</v>
      </c>
      <c r="T832" s="3">
        <v>0</v>
      </c>
      <c r="U832" s="3">
        <v>100000</v>
      </c>
      <c r="V832" s="6">
        <f t="shared" ref="V832" si="506">N832/M832</f>
        <v>5500</v>
      </c>
    </row>
    <row r="833" spans="1:22" ht="45" customHeight="1">
      <c r="A833" s="53" t="s">
        <v>131</v>
      </c>
      <c r="B833" s="53"/>
      <c r="C833" s="2">
        <f>SUM(C834)</f>
        <v>3133100</v>
      </c>
      <c r="D833" s="2">
        <f t="shared" ref="D833:U833" si="507">SUM(D834)</f>
        <v>0</v>
      </c>
      <c r="E833" s="2">
        <f t="shared" si="507"/>
        <v>0</v>
      </c>
      <c r="F833" s="2">
        <f t="shared" si="507"/>
        <v>0</v>
      </c>
      <c r="G833" s="2">
        <f t="shared" si="507"/>
        <v>0</v>
      </c>
      <c r="H833" s="2">
        <f t="shared" si="507"/>
        <v>0</v>
      </c>
      <c r="I833" s="2">
        <f t="shared" si="507"/>
        <v>0</v>
      </c>
      <c r="J833" s="2">
        <f t="shared" si="507"/>
        <v>0</v>
      </c>
      <c r="K833" s="14">
        <f t="shared" si="507"/>
        <v>0</v>
      </c>
      <c r="L833" s="2">
        <f t="shared" si="507"/>
        <v>0</v>
      </c>
      <c r="M833" s="2">
        <f t="shared" si="507"/>
        <v>850</v>
      </c>
      <c r="N833" s="2">
        <f t="shared" si="507"/>
        <v>3133100</v>
      </c>
      <c r="O833" s="2">
        <f t="shared" si="507"/>
        <v>0</v>
      </c>
      <c r="P833" s="2">
        <f t="shared" si="507"/>
        <v>0</v>
      </c>
      <c r="Q833" s="2">
        <f t="shared" si="507"/>
        <v>0</v>
      </c>
      <c r="R833" s="2">
        <f t="shared" si="507"/>
        <v>0</v>
      </c>
      <c r="S833" s="2">
        <f t="shared" si="507"/>
        <v>0</v>
      </c>
      <c r="T833" s="2">
        <f t="shared" si="507"/>
        <v>0</v>
      </c>
      <c r="U833" s="2">
        <f t="shared" si="507"/>
        <v>0</v>
      </c>
    </row>
    <row r="834" spans="1:22" ht="21.9" customHeight="1">
      <c r="A834" s="37" t="s">
        <v>858</v>
      </c>
      <c r="B834" s="8" t="s">
        <v>1536</v>
      </c>
      <c r="C834" s="2">
        <f t="shared" ref="C834" si="508">D834+L834+N834+P834+R834+S834+T834+U834</f>
        <v>3133100</v>
      </c>
      <c r="D834" s="3">
        <f t="shared" ref="D834" si="509">SUM(E834:J834)</f>
        <v>0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4">
        <v>0</v>
      </c>
      <c r="L834" s="3">
        <v>0</v>
      </c>
      <c r="M834" s="3">
        <v>850</v>
      </c>
      <c r="N834" s="3">
        <f>M834*3686</f>
        <v>3133100</v>
      </c>
      <c r="O834" s="3">
        <v>0</v>
      </c>
      <c r="P834" s="3">
        <v>0</v>
      </c>
      <c r="Q834" s="3">
        <v>0</v>
      </c>
      <c r="R834" s="5">
        <v>0</v>
      </c>
      <c r="S834" s="3">
        <v>0</v>
      </c>
      <c r="T834" s="3">
        <v>0</v>
      </c>
      <c r="U834" s="3">
        <v>0</v>
      </c>
      <c r="V834" s="6">
        <f t="shared" ref="V834" si="510">N834/M834</f>
        <v>3686</v>
      </c>
    </row>
    <row r="835" spans="1:22" ht="45" customHeight="1">
      <c r="A835" s="53" t="s">
        <v>1209</v>
      </c>
      <c r="B835" s="53"/>
      <c r="C835" s="2">
        <f>SUM(C836)</f>
        <v>2523950</v>
      </c>
      <c r="D835" s="2">
        <f t="shared" ref="D835:U835" si="511">SUM(D836)</f>
        <v>0</v>
      </c>
      <c r="E835" s="2">
        <f t="shared" si="511"/>
        <v>0</v>
      </c>
      <c r="F835" s="2">
        <f t="shared" si="511"/>
        <v>0</v>
      </c>
      <c r="G835" s="2">
        <f t="shared" si="511"/>
        <v>0</v>
      </c>
      <c r="H835" s="2">
        <f t="shared" si="511"/>
        <v>0</v>
      </c>
      <c r="I835" s="2">
        <f t="shared" si="511"/>
        <v>0</v>
      </c>
      <c r="J835" s="2">
        <f t="shared" si="511"/>
        <v>0</v>
      </c>
      <c r="K835" s="14">
        <f t="shared" si="511"/>
        <v>0</v>
      </c>
      <c r="L835" s="2">
        <f t="shared" si="511"/>
        <v>0</v>
      </c>
      <c r="M835" s="2">
        <f t="shared" si="511"/>
        <v>458.9</v>
      </c>
      <c r="N835" s="2">
        <f t="shared" si="511"/>
        <v>2523950</v>
      </c>
      <c r="O835" s="2">
        <f t="shared" si="511"/>
        <v>0</v>
      </c>
      <c r="P835" s="2">
        <f t="shared" si="511"/>
        <v>0</v>
      </c>
      <c r="Q835" s="2">
        <f t="shared" si="511"/>
        <v>0</v>
      </c>
      <c r="R835" s="2">
        <f t="shared" si="511"/>
        <v>0</v>
      </c>
      <c r="S835" s="2">
        <f t="shared" si="511"/>
        <v>0</v>
      </c>
      <c r="T835" s="2">
        <f t="shared" si="511"/>
        <v>0</v>
      </c>
      <c r="U835" s="2">
        <f t="shared" si="511"/>
        <v>0</v>
      </c>
      <c r="V835" s="18">
        <f>C835</f>
        <v>2523950</v>
      </c>
    </row>
    <row r="836" spans="1:22" ht="21" customHeight="1">
      <c r="A836" s="37" t="s">
        <v>859</v>
      </c>
      <c r="B836" s="8" t="s">
        <v>130</v>
      </c>
      <c r="C836" s="2">
        <f t="shared" si="499"/>
        <v>2523950</v>
      </c>
      <c r="D836" s="3">
        <f t="shared" ref="D836" si="512">SUM(E836:J836)</f>
        <v>0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4">
        <v>0</v>
      </c>
      <c r="L836" s="3">
        <v>0</v>
      </c>
      <c r="M836" s="3">
        <v>458.9</v>
      </c>
      <c r="N836" s="3">
        <f t="shared" ref="N836" si="513">M836*5500</f>
        <v>2523950</v>
      </c>
      <c r="O836" s="3">
        <v>0</v>
      </c>
      <c r="P836" s="3">
        <v>0</v>
      </c>
      <c r="Q836" s="3">
        <v>0</v>
      </c>
      <c r="R836" s="5">
        <v>0</v>
      </c>
      <c r="S836" s="3">
        <v>0</v>
      </c>
      <c r="T836" s="3">
        <v>0</v>
      </c>
      <c r="U836" s="3">
        <v>0</v>
      </c>
      <c r="V836" s="6">
        <f t="shared" ref="V836" si="514">N836/M836</f>
        <v>5500</v>
      </c>
    </row>
    <row r="837" spans="1:22" ht="45" customHeight="1">
      <c r="A837" s="53" t="s">
        <v>142</v>
      </c>
      <c r="B837" s="53"/>
      <c r="C837" s="2">
        <f>SUM(C838:C839)</f>
        <v>600000</v>
      </c>
      <c r="D837" s="2">
        <f t="shared" ref="D837:U837" si="515">SUM(D838:D839)</f>
        <v>0</v>
      </c>
      <c r="E837" s="2">
        <f t="shared" si="515"/>
        <v>0</v>
      </c>
      <c r="F837" s="2">
        <f t="shared" si="515"/>
        <v>0</v>
      </c>
      <c r="G837" s="2">
        <f t="shared" si="515"/>
        <v>0</v>
      </c>
      <c r="H837" s="2">
        <f t="shared" si="515"/>
        <v>0</v>
      </c>
      <c r="I837" s="2">
        <f t="shared" si="515"/>
        <v>0</v>
      </c>
      <c r="J837" s="2">
        <f t="shared" si="515"/>
        <v>0</v>
      </c>
      <c r="K837" s="14">
        <f t="shared" si="515"/>
        <v>0</v>
      </c>
      <c r="L837" s="2">
        <f t="shared" si="515"/>
        <v>0</v>
      </c>
      <c r="M837" s="2">
        <f t="shared" si="515"/>
        <v>0</v>
      </c>
      <c r="N837" s="2">
        <f t="shared" si="515"/>
        <v>0</v>
      </c>
      <c r="O837" s="2">
        <f t="shared" si="515"/>
        <v>0</v>
      </c>
      <c r="P837" s="2">
        <f t="shared" si="515"/>
        <v>0</v>
      </c>
      <c r="Q837" s="2">
        <f t="shared" si="515"/>
        <v>0</v>
      </c>
      <c r="R837" s="2">
        <f t="shared" si="515"/>
        <v>0</v>
      </c>
      <c r="S837" s="2">
        <f t="shared" si="515"/>
        <v>0</v>
      </c>
      <c r="T837" s="2">
        <f t="shared" si="515"/>
        <v>0</v>
      </c>
      <c r="U837" s="2">
        <f t="shared" si="515"/>
        <v>600000</v>
      </c>
      <c r="V837" s="18">
        <f>C837</f>
        <v>600000</v>
      </c>
    </row>
    <row r="838" spans="1:22" ht="21.9" customHeight="1">
      <c r="A838" s="37" t="s">
        <v>860</v>
      </c>
      <c r="B838" s="8" t="s">
        <v>143</v>
      </c>
      <c r="C838" s="2">
        <f t="shared" ref="C838" si="516">D838+L838+N838+P838+R838+S838+T838+U838</f>
        <v>300000</v>
      </c>
      <c r="D838" s="3">
        <f t="shared" ref="D838" si="517">SUM(E838:J838)</f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4">
        <v>0</v>
      </c>
      <c r="L838" s="3">
        <v>0</v>
      </c>
      <c r="M838" s="3">
        <v>0</v>
      </c>
      <c r="N838" s="3">
        <f t="shared" ref="N838" si="518">M838*5500</f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 s="3">
        <v>0</v>
      </c>
      <c r="U838" s="3">
        <v>300000</v>
      </c>
      <c r="V838" s="6" t="e">
        <f t="shared" ref="V838" si="519">N838/M838</f>
        <v>#DIV/0!</v>
      </c>
    </row>
    <row r="839" spans="1:22" ht="21.9" customHeight="1">
      <c r="A839" s="37" t="s">
        <v>861</v>
      </c>
      <c r="B839" s="8" t="s">
        <v>144</v>
      </c>
      <c r="C839" s="2">
        <f>D839+L839+N839+P839+R839+S839+T839+U839</f>
        <v>300000</v>
      </c>
      <c r="D839" s="3">
        <f t="shared" ref="D839" si="520">SUM(E839:J839)</f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4">
        <v>0</v>
      </c>
      <c r="L839" s="3">
        <v>0</v>
      </c>
      <c r="M839" s="3">
        <v>0</v>
      </c>
      <c r="N839" s="3">
        <f t="shared" ref="N839" si="521">M839*5500</f>
        <v>0</v>
      </c>
      <c r="O839" s="3">
        <v>0</v>
      </c>
      <c r="P839" s="3">
        <v>0</v>
      </c>
      <c r="Q839" s="3">
        <v>0</v>
      </c>
      <c r="R839" s="3">
        <v>0</v>
      </c>
      <c r="S839" s="3">
        <v>0</v>
      </c>
      <c r="T839" s="3">
        <v>0</v>
      </c>
      <c r="U839" s="3">
        <v>300000</v>
      </c>
      <c r="V839" s="6" t="e">
        <f t="shared" ref="V839" si="522">N839/M839</f>
        <v>#DIV/0!</v>
      </c>
    </row>
    <row r="840" spans="1:22" ht="45" customHeight="1">
      <c r="A840" s="53" t="s">
        <v>146</v>
      </c>
      <c r="B840" s="53"/>
      <c r="C840" s="2">
        <f>SUM(C841)</f>
        <v>3401179.5</v>
      </c>
      <c r="D840" s="2">
        <f t="shared" ref="D840:U840" si="523">SUM(D841)</f>
        <v>111779.5</v>
      </c>
      <c r="E840" s="2">
        <f t="shared" si="523"/>
        <v>111779.5</v>
      </c>
      <c r="F840" s="2">
        <f t="shared" si="523"/>
        <v>0</v>
      </c>
      <c r="G840" s="2">
        <f t="shared" si="523"/>
        <v>0</v>
      </c>
      <c r="H840" s="2">
        <f t="shared" si="523"/>
        <v>0</v>
      </c>
      <c r="I840" s="2">
        <f t="shared" si="523"/>
        <v>0</v>
      </c>
      <c r="J840" s="2">
        <f t="shared" si="523"/>
        <v>0</v>
      </c>
      <c r="K840" s="14">
        <f t="shared" si="523"/>
        <v>0</v>
      </c>
      <c r="L840" s="2">
        <f t="shared" si="523"/>
        <v>0</v>
      </c>
      <c r="M840" s="2">
        <f t="shared" si="523"/>
        <v>283</v>
      </c>
      <c r="N840" s="2">
        <f t="shared" si="523"/>
        <v>1556500</v>
      </c>
      <c r="O840" s="2">
        <f t="shared" si="523"/>
        <v>126.2</v>
      </c>
      <c r="P840" s="2">
        <f t="shared" si="523"/>
        <v>151440</v>
      </c>
      <c r="Q840" s="2">
        <f t="shared" si="523"/>
        <v>493.82</v>
      </c>
      <c r="R840" s="2">
        <f t="shared" si="523"/>
        <v>1481460</v>
      </c>
      <c r="S840" s="2">
        <f t="shared" si="523"/>
        <v>0</v>
      </c>
      <c r="T840" s="2">
        <f t="shared" si="523"/>
        <v>0</v>
      </c>
      <c r="U840" s="2">
        <f t="shared" si="523"/>
        <v>100000</v>
      </c>
      <c r="V840" s="18">
        <f>C840</f>
        <v>3401179.5</v>
      </c>
    </row>
    <row r="841" spans="1:22" ht="21" customHeight="1">
      <c r="A841" s="37" t="s">
        <v>862</v>
      </c>
      <c r="B841" s="42" t="s">
        <v>147</v>
      </c>
      <c r="C841" s="2">
        <f t="shared" si="499"/>
        <v>3401179.5</v>
      </c>
      <c r="D841" s="3">
        <f t="shared" ref="D841" si="524">SUM(E841:J841)</f>
        <v>111779.5</v>
      </c>
      <c r="E841" s="3">
        <f>350*319.37</f>
        <v>111779.5</v>
      </c>
      <c r="F841" s="3">
        <f>1050*0</f>
        <v>0</v>
      </c>
      <c r="G841" s="3">
        <f>300*0</f>
        <v>0</v>
      </c>
      <c r="H841" s="3">
        <f>400*0</f>
        <v>0</v>
      </c>
      <c r="I841" s="3">
        <f>250*0</f>
        <v>0</v>
      </c>
      <c r="J841" s="3">
        <v>0</v>
      </c>
      <c r="K841" s="4">
        <v>0</v>
      </c>
      <c r="L841" s="3">
        <v>0</v>
      </c>
      <c r="M841" s="3">
        <v>283</v>
      </c>
      <c r="N841" s="3">
        <f t="shared" ref="N841" si="525">M841*5500</f>
        <v>1556500</v>
      </c>
      <c r="O841" s="3">
        <v>126.2</v>
      </c>
      <c r="P841" s="3">
        <v>151440</v>
      </c>
      <c r="Q841" s="3">
        <v>493.82</v>
      </c>
      <c r="R841" s="3">
        <f>Q841*3000</f>
        <v>1481460</v>
      </c>
      <c r="S841" s="3">
        <v>0</v>
      </c>
      <c r="T841" s="3">
        <v>0</v>
      </c>
      <c r="U841" s="3">
        <v>100000</v>
      </c>
      <c r="V841" s="6">
        <f t="shared" ref="V841" si="526">N841/M841</f>
        <v>5500</v>
      </c>
    </row>
    <row r="842" spans="1:22" ht="45" customHeight="1">
      <c r="A842" s="53" t="s">
        <v>148</v>
      </c>
      <c r="B842" s="53"/>
      <c r="C842" s="2">
        <f>SUM(C843:C846)</f>
        <v>11100350</v>
      </c>
      <c r="D842" s="2">
        <f t="shared" ref="D842:U842" si="527">SUM(D843:D846)</f>
        <v>1005615</v>
      </c>
      <c r="E842" s="2">
        <f t="shared" si="527"/>
        <v>180495.00000000003</v>
      </c>
      <c r="F842" s="2">
        <f t="shared" si="527"/>
        <v>541485</v>
      </c>
      <c r="G842" s="2">
        <f t="shared" si="527"/>
        <v>154710</v>
      </c>
      <c r="H842" s="2">
        <f t="shared" si="527"/>
        <v>0</v>
      </c>
      <c r="I842" s="2">
        <f t="shared" si="527"/>
        <v>128925.00000000001</v>
      </c>
      <c r="J842" s="2">
        <f t="shared" si="527"/>
        <v>0</v>
      </c>
      <c r="K842" s="14">
        <f t="shared" si="527"/>
        <v>0</v>
      </c>
      <c r="L842" s="2">
        <f t="shared" si="527"/>
        <v>0</v>
      </c>
      <c r="M842" s="2">
        <f t="shared" si="527"/>
        <v>1071.1300000000001</v>
      </c>
      <c r="N842" s="2">
        <f t="shared" si="527"/>
        <v>5891215</v>
      </c>
      <c r="O842" s="2">
        <f t="shared" si="527"/>
        <v>0</v>
      </c>
      <c r="P842" s="2">
        <f t="shared" si="527"/>
        <v>0</v>
      </c>
      <c r="Q842" s="2">
        <f t="shared" si="527"/>
        <v>1367.84</v>
      </c>
      <c r="R842" s="2">
        <f t="shared" si="527"/>
        <v>4103519.9999999995</v>
      </c>
      <c r="S842" s="2">
        <f t="shared" si="527"/>
        <v>0</v>
      </c>
      <c r="T842" s="2">
        <f t="shared" si="527"/>
        <v>0</v>
      </c>
      <c r="U842" s="2">
        <f t="shared" si="527"/>
        <v>100000</v>
      </c>
    </row>
    <row r="843" spans="1:22" ht="21" customHeight="1">
      <c r="A843" s="37" t="s">
        <v>863</v>
      </c>
      <c r="B843" s="8" t="s">
        <v>152</v>
      </c>
      <c r="C843" s="2">
        <f t="shared" si="499"/>
        <v>7289340</v>
      </c>
      <c r="D843" s="3">
        <f t="shared" ref="D843:D846" si="528">SUM(E843:J843)</f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4">
        <v>0</v>
      </c>
      <c r="L843" s="3">
        <v>0</v>
      </c>
      <c r="M843" s="3">
        <v>579.24</v>
      </c>
      <c r="N843" s="3">
        <f t="shared" ref="N843:N844" si="529">M843*5500</f>
        <v>3185820</v>
      </c>
      <c r="O843" s="3">
        <v>0</v>
      </c>
      <c r="P843" s="3">
        <v>0</v>
      </c>
      <c r="Q843" s="3">
        <v>1367.84</v>
      </c>
      <c r="R843" s="3">
        <f>Q843*3000</f>
        <v>4103519.9999999995</v>
      </c>
      <c r="S843" s="3">
        <v>0</v>
      </c>
      <c r="T843" s="3">
        <v>0</v>
      </c>
      <c r="U843" s="3">
        <v>0</v>
      </c>
      <c r="V843" s="6">
        <f t="shared" ref="V843:V846" si="530">N843/M843</f>
        <v>5500</v>
      </c>
    </row>
    <row r="844" spans="1:22" ht="21" customHeight="1">
      <c r="A844" s="37" t="s">
        <v>1279</v>
      </c>
      <c r="B844" s="8" t="s">
        <v>154</v>
      </c>
      <c r="C844" s="2">
        <f t="shared" si="499"/>
        <v>1306140</v>
      </c>
      <c r="D844" s="3">
        <f t="shared" si="528"/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4">
        <v>0</v>
      </c>
      <c r="L844" s="3">
        <v>0</v>
      </c>
      <c r="M844" s="3">
        <v>237.48</v>
      </c>
      <c r="N844" s="3">
        <f t="shared" si="529"/>
        <v>1306140</v>
      </c>
      <c r="O844" s="3">
        <v>0</v>
      </c>
      <c r="P844" s="3">
        <v>0</v>
      </c>
      <c r="Q844" s="3">
        <v>0</v>
      </c>
      <c r="R844" s="5">
        <v>0</v>
      </c>
      <c r="S844" s="3">
        <v>0</v>
      </c>
      <c r="T844" s="3">
        <v>0</v>
      </c>
      <c r="U844" s="3">
        <v>0</v>
      </c>
      <c r="V844" s="6">
        <f t="shared" si="530"/>
        <v>5500</v>
      </c>
    </row>
    <row r="845" spans="1:22" ht="21" customHeight="1">
      <c r="A845" s="37" t="s">
        <v>864</v>
      </c>
      <c r="B845" s="8" t="s">
        <v>155</v>
      </c>
      <c r="C845" s="2">
        <f t="shared" si="499"/>
        <v>1105615</v>
      </c>
      <c r="D845" s="3">
        <f t="shared" si="528"/>
        <v>1005615</v>
      </c>
      <c r="E845" s="3">
        <f>350*515.7</f>
        <v>180495.00000000003</v>
      </c>
      <c r="F845" s="3">
        <f>1050*515.7</f>
        <v>541485</v>
      </c>
      <c r="G845" s="3">
        <f>300*515.7</f>
        <v>154710</v>
      </c>
      <c r="H845" s="3">
        <f>400*0</f>
        <v>0</v>
      </c>
      <c r="I845" s="3">
        <f>250*515.7</f>
        <v>128925.00000000001</v>
      </c>
      <c r="J845" s="3">
        <v>0</v>
      </c>
      <c r="K845" s="4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5">
        <v>0</v>
      </c>
      <c r="S845" s="3">
        <v>0</v>
      </c>
      <c r="T845" s="3">
        <v>0</v>
      </c>
      <c r="U845" s="3">
        <v>100000</v>
      </c>
      <c r="V845" s="6" t="e">
        <f t="shared" si="530"/>
        <v>#DIV/0!</v>
      </c>
    </row>
    <row r="846" spans="1:22" ht="21" customHeight="1">
      <c r="A846" s="37" t="s">
        <v>1280</v>
      </c>
      <c r="B846" s="8" t="s">
        <v>156</v>
      </c>
      <c r="C846" s="2">
        <f t="shared" si="499"/>
        <v>1399255</v>
      </c>
      <c r="D846" s="3">
        <f t="shared" si="528"/>
        <v>0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4">
        <v>0</v>
      </c>
      <c r="L846" s="3">
        <v>0</v>
      </c>
      <c r="M846" s="3">
        <v>254.41</v>
      </c>
      <c r="N846" s="3">
        <f t="shared" ref="N846" si="531">M846*5500</f>
        <v>1399255</v>
      </c>
      <c r="O846" s="3">
        <v>0</v>
      </c>
      <c r="P846" s="3">
        <v>0</v>
      </c>
      <c r="Q846" s="3">
        <v>0</v>
      </c>
      <c r="R846" s="5">
        <v>0</v>
      </c>
      <c r="S846" s="3">
        <v>0</v>
      </c>
      <c r="T846" s="3">
        <v>0</v>
      </c>
      <c r="U846" s="3">
        <v>0</v>
      </c>
      <c r="V846" s="6">
        <f t="shared" si="530"/>
        <v>5500</v>
      </c>
    </row>
    <row r="847" spans="1:22" ht="45" customHeight="1">
      <c r="A847" s="53" t="s">
        <v>1220</v>
      </c>
      <c r="B847" s="53"/>
      <c r="C847" s="2">
        <f>SUM(C848)</f>
        <v>1315270</v>
      </c>
      <c r="D847" s="2">
        <f t="shared" ref="D847:U847" si="532">SUM(D848)</f>
        <v>0</v>
      </c>
      <c r="E847" s="2">
        <f t="shared" si="532"/>
        <v>0</v>
      </c>
      <c r="F847" s="2">
        <f t="shared" si="532"/>
        <v>0</v>
      </c>
      <c r="G847" s="2">
        <f t="shared" si="532"/>
        <v>0</v>
      </c>
      <c r="H847" s="2">
        <f t="shared" si="532"/>
        <v>0</v>
      </c>
      <c r="I847" s="2">
        <f t="shared" si="532"/>
        <v>0</v>
      </c>
      <c r="J847" s="2">
        <f t="shared" si="532"/>
        <v>0</v>
      </c>
      <c r="K847" s="14">
        <f t="shared" si="532"/>
        <v>0</v>
      </c>
      <c r="L847" s="2">
        <f t="shared" si="532"/>
        <v>0</v>
      </c>
      <c r="M847" s="2">
        <f t="shared" si="532"/>
        <v>239.14</v>
      </c>
      <c r="N847" s="2">
        <f t="shared" si="532"/>
        <v>1315270</v>
      </c>
      <c r="O847" s="2">
        <f t="shared" si="532"/>
        <v>0</v>
      </c>
      <c r="P847" s="2">
        <f t="shared" si="532"/>
        <v>0</v>
      </c>
      <c r="Q847" s="2">
        <f t="shared" si="532"/>
        <v>0</v>
      </c>
      <c r="R847" s="2">
        <f t="shared" si="532"/>
        <v>0</v>
      </c>
      <c r="S847" s="2">
        <f t="shared" si="532"/>
        <v>0</v>
      </c>
      <c r="T847" s="2">
        <f t="shared" si="532"/>
        <v>0</v>
      </c>
      <c r="U847" s="2">
        <f t="shared" si="532"/>
        <v>0</v>
      </c>
    </row>
    <row r="848" spans="1:22" ht="21.9" customHeight="1">
      <c r="A848" s="37" t="s">
        <v>865</v>
      </c>
      <c r="B848" s="8" t="s">
        <v>160</v>
      </c>
      <c r="C848" s="2">
        <f t="shared" si="499"/>
        <v>1315270</v>
      </c>
      <c r="D848" s="3">
        <f t="shared" ref="D848" si="533">SUM(E848:J848)</f>
        <v>0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4">
        <v>0</v>
      </c>
      <c r="L848" s="3">
        <v>0</v>
      </c>
      <c r="M848" s="3">
        <v>239.14</v>
      </c>
      <c r="N848" s="3">
        <f t="shared" ref="N848" si="534">M848*5500</f>
        <v>1315270</v>
      </c>
      <c r="O848" s="3">
        <v>0</v>
      </c>
      <c r="P848" s="3">
        <v>0</v>
      </c>
      <c r="Q848" s="3">
        <v>0</v>
      </c>
      <c r="R848" s="5">
        <v>0</v>
      </c>
      <c r="S848" s="3">
        <v>0</v>
      </c>
      <c r="T848" s="3">
        <v>0</v>
      </c>
      <c r="U848" s="3">
        <v>0</v>
      </c>
      <c r="V848" s="6">
        <f t="shared" ref="V848" si="535">N848/M848</f>
        <v>5500</v>
      </c>
    </row>
    <row r="849" spans="1:22" ht="45" customHeight="1">
      <c r="A849" s="53" t="s">
        <v>163</v>
      </c>
      <c r="B849" s="53"/>
      <c r="C849" s="2">
        <f>SUM(C850:C864)</f>
        <v>88036412.599999994</v>
      </c>
      <c r="D849" s="2">
        <f t="shared" ref="D849:U849" si="536">SUM(D850:D864)</f>
        <v>22923560</v>
      </c>
      <c r="E849" s="2">
        <f t="shared" si="536"/>
        <v>4633160</v>
      </c>
      <c r="F849" s="2">
        <f t="shared" si="536"/>
        <v>12003075</v>
      </c>
      <c r="G849" s="2">
        <f t="shared" si="536"/>
        <v>3429450</v>
      </c>
      <c r="H849" s="2">
        <f t="shared" si="536"/>
        <v>0</v>
      </c>
      <c r="I849" s="2">
        <f t="shared" si="536"/>
        <v>2857875</v>
      </c>
      <c r="J849" s="2">
        <f t="shared" si="536"/>
        <v>0</v>
      </c>
      <c r="K849" s="14">
        <f t="shared" si="536"/>
        <v>0</v>
      </c>
      <c r="L849" s="2">
        <f t="shared" si="536"/>
        <v>0</v>
      </c>
      <c r="M849" s="2">
        <f t="shared" si="536"/>
        <v>7297.6</v>
      </c>
      <c r="N849" s="2">
        <f t="shared" si="536"/>
        <v>38596532.600000001</v>
      </c>
      <c r="O849" s="2">
        <f t="shared" si="536"/>
        <v>507.1</v>
      </c>
      <c r="P849" s="2">
        <f t="shared" si="536"/>
        <v>608520</v>
      </c>
      <c r="Q849" s="2">
        <f t="shared" si="536"/>
        <v>8202.6</v>
      </c>
      <c r="R849" s="2">
        <f t="shared" si="536"/>
        <v>24607800</v>
      </c>
      <c r="S849" s="2">
        <f t="shared" si="536"/>
        <v>0</v>
      </c>
      <c r="T849" s="2">
        <f t="shared" si="536"/>
        <v>0</v>
      </c>
      <c r="U849" s="2">
        <f t="shared" si="536"/>
        <v>1300000</v>
      </c>
    </row>
    <row r="850" spans="1:22" ht="21.9" customHeight="1">
      <c r="A850" s="37" t="s">
        <v>866</v>
      </c>
      <c r="B850" s="1" t="s">
        <v>192</v>
      </c>
      <c r="C850" s="2">
        <f t="shared" si="499"/>
        <v>6017000</v>
      </c>
      <c r="D850" s="3">
        <f t="shared" ref="D850:D864" si="537">SUM(E850:J850)</f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4">
        <v>0</v>
      </c>
      <c r="L850" s="3">
        <v>0</v>
      </c>
      <c r="M850" s="3">
        <v>735.8</v>
      </c>
      <c r="N850" s="3">
        <f t="shared" ref="N850:N857" si="538">M850*5500</f>
        <v>4046899.9999999995</v>
      </c>
      <c r="O850" s="3">
        <v>0</v>
      </c>
      <c r="P850" s="3">
        <f>O850*410</f>
        <v>0</v>
      </c>
      <c r="Q850" s="3">
        <v>656.7</v>
      </c>
      <c r="R850" s="3">
        <f t="shared" ref="R850:R864" si="539">Q850*3000</f>
        <v>1970100.0000000002</v>
      </c>
      <c r="S850" s="3">
        <f>S901</f>
        <v>0</v>
      </c>
      <c r="T850" s="3">
        <v>0</v>
      </c>
      <c r="U850" s="3">
        <v>0</v>
      </c>
      <c r="V850" s="6">
        <f t="shared" ref="V850:V864" si="540">N850/M850</f>
        <v>5500</v>
      </c>
    </row>
    <row r="851" spans="1:22" ht="21.9" customHeight="1">
      <c r="A851" s="37" t="s">
        <v>867</v>
      </c>
      <c r="B851" s="1" t="s">
        <v>193</v>
      </c>
      <c r="C851" s="2">
        <f t="shared" si="499"/>
        <v>5666190</v>
      </c>
      <c r="D851" s="3">
        <f t="shared" si="537"/>
        <v>1798290</v>
      </c>
      <c r="E851" s="3">
        <f>350*922.2</f>
        <v>322770</v>
      </c>
      <c r="F851" s="3">
        <f>1050*922.2</f>
        <v>968310</v>
      </c>
      <c r="G851" s="3">
        <f>300*922.2</f>
        <v>276660</v>
      </c>
      <c r="H851" s="3">
        <f>400*0</f>
        <v>0</v>
      </c>
      <c r="I851" s="3">
        <f>250*922.2</f>
        <v>230550</v>
      </c>
      <c r="J851" s="3">
        <v>0</v>
      </c>
      <c r="K851" s="4">
        <v>0</v>
      </c>
      <c r="L851" s="3">
        <v>0</v>
      </c>
      <c r="M851" s="3">
        <v>306.8</v>
      </c>
      <c r="N851" s="3">
        <f t="shared" si="538"/>
        <v>1687400</v>
      </c>
      <c r="O851" s="3">
        <v>0</v>
      </c>
      <c r="P851" s="3">
        <f>O851*410</f>
        <v>0</v>
      </c>
      <c r="Q851" s="3">
        <v>693.5</v>
      </c>
      <c r="R851" s="3">
        <f t="shared" si="539"/>
        <v>2080500</v>
      </c>
      <c r="S851" s="3">
        <f>S903</f>
        <v>0</v>
      </c>
      <c r="T851" s="3">
        <v>0</v>
      </c>
      <c r="U851" s="3">
        <v>100000</v>
      </c>
      <c r="V851" s="6">
        <f t="shared" si="540"/>
        <v>5500</v>
      </c>
    </row>
    <row r="852" spans="1:22" ht="21.9" customHeight="1">
      <c r="A852" s="37" t="s">
        <v>868</v>
      </c>
      <c r="B852" s="1" t="s">
        <v>194</v>
      </c>
      <c r="C852" s="2">
        <f t="shared" si="499"/>
        <v>6601640</v>
      </c>
      <c r="D852" s="3">
        <f t="shared" si="537"/>
        <v>519540.00000000006</v>
      </c>
      <c r="E852" s="3">
        <f>350*1484.4</f>
        <v>519540.00000000006</v>
      </c>
      <c r="F852" s="3">
        <f>1050*0</f>
        <v>0</v>
      </c>
      <c r="G852" s="3">
        <f>300*0</f>
        <v>0</v>
      </c>
      <c r="H852" s="3">
        <f>400*0</f>
        <v>0</v>
      </c>
      <c r="I852" s="3">
        <f>250*0</f>
        <v>0</v>
      </c>
      <c r="J852" s="3">
        <v>0</v>
      </c>
      <c r="K852" s="4">
        <v>0</v>
      </c>
      <c r="L852" s="3">
        <v>0</v>
      </c>
      <c r="M852" s="3">
        <v>688.6</v>
      </c>
      <c r="N852" s="3">
        <f t="shared" si="538"/>
        <v>3787300</v>
      </c>
      <c r="O852" s="3">
        <v>0</v>
      </c>
      <c r="P852" s="3">
        <f>O852*410</f>
        <v>0</v>
      </c>
      <c r="Q852" s="3">
        <v>731.6</v>
      </c>
      <c r="R852" s="3">
        <f t="shared" si="539"/>
        <v>2194800</v>
      </c>
      <c r="S852" s="3">
        <f t="shared" ref="S852:S855" si="541">S905</f>
        <v>0</v>
      </c>
      <c r="T852" s="3">
        <v>0</v>
      </c>
      <c r="U852" s="3">
        <v>100000</v>
      </c>
      <c r="V852" s="6">
        <f t="shared" si="540"/>
        <v>5500</v>
      </c>
    </row>
    <row r="853" spans="1:22" ht="21.9" customHeight="1">
      <c r="A853" s="37" t="s">
        <v>869</v>
      </c>
      <c r="B853" s="1" t="s">
        <v>195</v>
      </c>
      <c r="C853" s="2">
        <f t="shared" si="499"/>
        <v>6106100</v>
      </c>
      <c r="D853" s="3">
        <f t="shared" si="537"/>
        <v>2414100</v>
      </c>
      <c r="E853" s="3">
        <f>350*1238</f>
        <v>433300</v>
      </c>
      <c r="F853" s="3">
        <f>1050*1238</f>
        <v>1299900</v>
      </c>
      <c r="G853" s="3">
        <f>300*1238</f>
        <v>371400</v>
      </c>
      <c r="H853" s="3">
        <v>0</v>
      </c>
      <c r="I853" s="3">
        <f>250*1238</f>
        <v>309500</v>
      </c>
      <c r="J853" s="3">
        <f>350*0</f>
        <v>0</v>
      </c>
      <c r="K853" s="4">
        <v>0</v>
      </c>
      <c r="L853" s="3">
        <v>0</v>
      </c>
      <c r="M853" s="3">
        <v>476.2</v>
      </c>
      <c r="N853" s="3">
        <f t="shared" si="538"/>
        <v>2619100</v>
      </c>
      <c r="O853" s="3">
        <v>0</v>
      </c>
      <c r="P853" s="3">
        <f>O853*410</f>
        <v>0</v>
      </c>
      <c r="Q853" s="3">
        <v>324.3</v>
      </c>
      <c r="R853" s="3">
        <f t="shared" si="539"/>
        <v>972900</v>
      </c>
      <c r="S853" s="3">
        <f t="shared" si="541"/>
        <v>0</v>
      </c>
      <c r="T853" s="3">
        <v>0</v>
      </c>
      <c r="U853" s="3">
        <v>100000</v>
      </c>
      <c r="V853" s="6">
        <f t="shared" si="540"/>
        <v>5500</v>
      </c>
    </row>
    <row r="854" spans="1:22" ht="21.9" customHeight="1">
      <c r="A854" s="37" t="s">
        <v>870</v>
      </c>
      <c r="B854" s="1" t="s">
        <v>196</v>
      </c>
      <c r="C854" s="2">
        <f t="shared" si="499"/>
        <v>6597900</v>
      </c>
      <c r="D854" s="3">
        <f t="shared" si="537"/>
        <v>2554500</v>
      </c>
      <c r="E854" s="3">
        <f>350*1310</f>
        <v>458500</v>
      </c>
      <c r="F854" s="3">
        <f>1050*1310</f>
        <v>1375500</v>
      </c>
      <c r="G854" s="3">
        <f>300*1310</f>
        <v>393000</v>
      </c>
      <c r="H854" s="3">
        <v>0</v>
      </c>
      <c r="I854" s="3">
        <f>250*1310</f>
        <v>327500</v>
      </c>
      <c r="J854" s="3">
        <f>350*0</f>
        <v>0</v>
      </c>
      <c r="K854" s="4">
        <v>0</v>
      </c>
      <c r="L854" s="3">
        <v>0</v>
      </c>
      <c r="M854" s="3">
        <v>582.79999999999995</v>
      </c>
      <c r="N854" s="3">
        <f t="shared" si="538"/>
        <v>3205399.9999999995</v>
      </c>
      <c r="O854" s="3">
        <v>0</v>
      </c>
      <c r="P854" s="3">
        <f>O854*410</f>
        <v>0</v>
      </c>
      <c r="Q854" s="3">
        <v>246</v>
      </c>
      <c r="R854" s="3">
        <f t="shared" si="539"/>
        <v>738000</v>
      </c>
      <c r="S854" s="3">
        <f t="shared" si="541"/>
        <v>0</v>
      </c>
      <c r="T854" s="3">
        <v>0</v>
      </c>
      <c r="U854" s="3">
        <v>100000</v>
      </c>
      <c r="V854" s="6">
        <f t="shared" si="540"/>
        <v>5500</v>
      </c>
    </row>
    <row r="855" spans="1:22" ht="21.9" customHeight="1">
      <c r="A855" s="37" t="s">
        <v>871</v>
      </c>
      <c r="B855" s="1" t="s">
        <v>197</v>
      </c>
      <c r="C855" s="2">
        <f t="shared" si="499"/>
        <v>2099245</v>
      </c>
      <c r="D855" s="3">
        <f t="shared" si="537"/>
        <v>112595</v>
      </c>
      <c r="E855" s="3">
        <f>350*321.7</f>
        <v>112595</v>
      </c>
      <c r="F855" s="3">
        <f>1050*0</f>
        <v>0</v>
      </c>
      <c r="G855" s="3">
        <f>300*0</f>
        <v>0</v>
      </c>
      <c r="H855" s="3">
        <f>400*0</f>
        <v>0</v>
      </c>
      <c r="I855" s="3">
        <f>250*0</f>
        <v>0</v>
      </c>
      <c r="J855" s="3">
        <v>0</v>
      </c>
      <c r="K855" s="4">
        <v>0</v>
      </c>
      <c r="L855" s="3">
        <v>0</v>
      </c>
      <c r="M855" s="3">
        <v>176.5</v>
      </c>
      <c r="N855" s="3">
        <f t="shared" si="538"/>
        <v>970750</v>
      </c>
      <c r="O855" s="3">
        <v>0</v>
      </c>
      <c r="P855" s="3">
        <v>0</v>
      </c>
      <c r="Q855" s="3">
        <v>305.3</v>
      </c>
      <c r="R855" s="3">
        <f t="shared" si="539"/>
        <v>915900</v>
      </c>
      <c r="S855" s="3">
        <f t="shared" si="541"/>
        <v>0</v>
      </c>
      <c r="T855" s="3">
        <v>0</v>
      </c>
      <c r="U855" s="3">
        <v>100000</v>
      </c>
      <c r="V855" s="6">
        <f t="shared" si="540"/>
        <v>5500</v>
      </c>
    </row>
    <row r="856" spans="1:22" ht="21.9" customHeight="1">
      <c r="A856" s="37" t="s">
        <v>872</v>
      </c>
      <c r="B856" s="1" t="s">
        <v>198</v>
      </c>
      <c r="C856" s="2">
        <f t="shared" si="499"/>
        <v>11319415</v>
      </c>
      <c r="D856" s="3">
        <f t="shared" si="537"/>
        <v>4260165</v>
      </c>
      <c r="E856" s="3">
        <f>350*2184.7</f>
        <v>764644.99999999988</v>
      </c>
      <c r="F856" s="3">
        <f>1050*2184.7</f>
        <v>2293935</v>
      </c>
      <c r="G856" s="3">
        <f>300*2184.7</f>
        <v>655410</v>
      </c>
      <c r="H856" s="3">
        <f>400*0</f>
        <v>0</v>
      </c>
      <c r="I856" s="3">
        <f>250*2184.7</f>
        <v>546175</v>
      </c>
      <c r="J856" s="3">
        <v>0</v>
      </c>
      <c r="K856" s="4">
        <v>0</v>
      </c>
      <c r="L856" s="3">
        <v>0</v>
      </c>
      <c r="M856" s="3">
        <v>657.9</v>
      </c>
      <c r="N856" s="3">
        <f t="shared" si="538"/>
        <v>3618450</v>
      </c>
      <c r="O856" s="3">
        <v>0</v>
      </c>
      <c r="P856" s="3">
        <v>0</v>
      </c>
      <c r="Q856" s="3">
        <v>1113.5999999999999</v>
      </c>
      <c r="R856" s="3">
        <f t="shared" si="539"/>
        <v>3340799.9999999995</v>
      </c>
      <c r="S856" s="3">
        <f>S910</f>
        <v>0</v>
      </c>
      <c r="T856" s="3">
        <v>0</v>
      </c>
      <c r="U856" s="3">
        <v>100000</v>
      </c>
      <c r="V856" s="6">
        <f t="shared" si="540"/>
        <v>5500</v>
      </c>
    </row>
    <row r="857" spans="1:22" ht="21.9" customHeight="1">
      <c r="A857" s="37" t="s">
        <v>873</v>
      </c>
      <c r="B857" s="1" t="s">
        <v>199</v>
      </c>
      <c r="C857" s="2">
        <f t="shared" si="499"/>
        <v>7035445</v>
      </c>
      <c r="D857" s="3">
        <f t="shared" si="537"/>
        <v>1896375</v>
      </c>
      <c r="E857" s="3">
        <f>350*972.5</f>
        <v>340375</v>
      </c>
      <c r="F857" s="3">
        <f>1050*972.5</f>
        <v>1021125</v>
      </c>
      <c r="G857" s="3">
        <f>300*972.5</f>
        <v>291750</v>
      </c>
      <c r="H857" s="3">
        <f>400*0</f>
        <v>0</v>
      </c>
      <c r="I857" s="3">
        <f>250*972.5</f>
        <v>243125</v>
      </c>
      <c r="J857" s="3">
        <v>0</v>
      </c>
      <c r="K857" s="4">
        <v>0</v>
      </c>
      <c r="L857" s="3">
        <v>0</v>
      </c>
      <c r="M857" s="3">
        <v>620.70000000000005</v>
      </c>
      <c r="N857" s="3">
        <f t="shared" si="538"/>
        <v>3413850.0000000005</v>
      </c>
      <c r="O857" s="3">
        <v>507.1</v>
      </c>
      <c r="P857" s="3">
        <f>O857*1200</f>
        <v>608520</v>
      </c>
      <c r="Q857" s="3">
        <v>338.9</v>
      </c>
      <c r="R857" s="3">
        <f t="shared" si="539"/>
        <v>1016699.9999999999</v>
      </c>
      <c r="S857" s="3">
        <v>0</v>
      </c>
      <c r="T857" s="3">
        <v>0</v>
      </c>
      <c r="U857" s="3">
        <v>100000</v>
      </c>
      <c r="V857" s="6">
        <f t="shared" si="540"/>
        <v>5500</v>
      </c>
    </row>
    <row r="858" spans="1:22" ht="21.9" customHeight="1">
      <c r="A858" s="37" t="s">
        <v>874</v>
      </c>
      <c r="B858" s="1" t="s">
        <v>200</v>
      </c>
      <c r="C858" s="2">
        <f t="shared" si="499"/>
        <v>200000</v>
      </c>
      <c r="D858" s="3">
        <f t="shared" si="537"/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4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f t="shared" si="539"/>
        <v>0</v>
      </c>
      <c r="S858" s="3">
        <v>0</v>
      </c>
      <c r="T858" s="3">
        <v>0</v>
      </c>
      <c r="U858" s="3">
        <v>200000</v>
      </c>
      <c r="V858" s="6" t="e">
        <f t="shared" si="540"/>
        <v>#DIV/0!</v>
      </c>
    </row>
    <row r="859" spans="1:22" ht="21.9" customHeight="1">
      <c r="A859" s="37" t="s">
        <v>875</v>
      </c>
      <c r="B859" s="1" t="s">
        <v>201</v>
      </c>
      <c r="C859" s="2">
        <f t="shared" si="499"/>
        <v>3129782.6</v>
      </c>
      <c r="D859" s="3">
        <f t="shared" si="537"/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4">
        <v>0</v>
      </c>
      <c r="L859" s="3">
        <v>0</v>
      </c>
      <c r="M859" s="3">
        <v>849.1</v>
      </c>
      <c r="N859" s="3">
        <f>M859*3686</f>
        <v>3129782.6</v>
      </c>
      <c r="O859" s="3">
        <v>0</v>
      </c>
      <c r="P859" s="3">
        <v>0</v>
      </c>
      <c r="Q859" s="3">
        <v>0</v>
      </c>
      <c r="R859" s="3">
        <f t="shared" si="539"/>
        <v>0</v>
      </c>
      <c r="S859" s="3">
        <v>0</v>
      </c>
      <c r="T859" s="3">
        <v>0</v>
      </c>
      <c r="U859" s="3">
        <v>0</v>
      </c>
      <c r="V859" s="6">
        <f t="shared" si="540"/>
        <v>3686</v>
      </c>
    </row>
    <row r="860" spans="1:22" ht="21.9" customHeight="1">
      <c r="A860" s="37" t="s">
        <v>876</v>
      </c>
      <c r="B860" s="21" t="s">
        <v>202</v>
      </c>
      <c r="C860" s="2">
        <f t="shared" si="499"/>
        <v>15573195</v>
      </c>
      <c r="D860" s="3">
        <f t="shared" si="537"/>
        <v>5253495</v>
      </c>
      <c r="E860" s="3">
        <f>350*2694.1</f>
        <v>942935</v>
      </c>
      <c r="F860" s="3">
        <f>1050*2694.1</f>
        <v>2828805</v>
      </c>
      <c r="G860" s="3">
        <f>300*2694.1</f>
        <v>808230</v>
      </c>
      <c r="H860" s="3">
        <f>400*0</f>
        <v>0</v>
      </c>
      <c r="I860" s="3">
        <f>250*2694.1</f>
        <v>673525</v>
      </c>
      <c r="J860" s="3">
        <v>0</v>
      </c>
      <c r="K860" s="4">
        <v>0</v>
      </c>
      <c r="L860" s="3">
        <v>0</v>
      </c>
      <c r="M860" s="3">
        <v>781.4</v>
      </c>
      <c r="N860" s="3">
        <f t="shared" ref="N860:N864" si="542">M860*5500</f>
        <v>4297700</v>
      </c>
      <c r="O860" s="3">
        <v>0</v>
      </c>
      <c r="P860" s="3">
        <v>0</v>
      </c>
      <c r="Q860" s="3">
        <v>1974</v>
      </c>
      <c r="R860" s="3">
        <f t="shared" si="539"/>
        <v>5922000</v>
      </c>
      <c r="S860" s="3">
        <f t="shared" ref="S860" si="543">S912</f>
        <v>0</v>
      </c>
      <c r="T860" s="3">
        <v>0</v>
      </c>
      <c r="U860" s="3">
        <v>100000</v>
      </c>
      <c r="V860" s="6">
        <f t="shared" si="540"/>
        <v>5500</v>
      </c>
    </row>
    <row r="861" spans="1:22" ht="21.9" customHeight="1">
      <c r="A861" s="37" t="s">
        <v>877</v>
      </c>
      <c r="B861" s="1" t="s">
        <v>206</v>
      </c>
      <c r="C861" s="2">
        <f t="shared" si="499"/>
        <v>3694900</v>
      </c>
      <c r="D861" s="3">
        <f t="shared" si="537"/>
        <v>0</v>
      </c>
      <c r="E861" s="3">
        <v>0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4">
        <v>0</v>
      </c>
      <c r="L861" s="3">
        <v>0</v>
      </c>
      <c r="M861" s="3">
        <v>415</v>
      </c>
      <c r="N861" s="3">
        <f t="shared" si="542"/>
        <v>2282500</v>
      </c>
      <c r="O861" s="3">
        <v>0</v>
      </c>
      <c r="P861" s="3">
        <v>0</v>
      </c>
      <c r="Q861" s="3">
        <v>470.8</v>
      </c>
      <c r="R861" s="3">
        <f t="shared" si="539"/>
        <v>1412400</v>
      </c>
      <c r="S861" s="3">
        <f>S914</f>
        <v>0</v>
      </c>
      <c r="T861" s="3">
        <v>0</v>
      </c>
      <c r="U861" s="3">
        <v>0</v>
      </c>
      <c r="V861" s="6">
        <f t="shared" si="540"/>
        <v>5500</v>
      </c>
    </row>
    <row r="862" spans="1:22" ht="21.9" customHeight="1">
      <c r="A862" s="37" t="s">
        <v>878</v>
      </c>
      <c r="B862" s="1" t="s">
        <v>203</v>
      </c>
      <c r="C862" s="2">
        <f t="shared" si="499"/>
        <v>4245065</v>
      </c>
      <c r="D862" s="3">
        <f t="shared" si="537"/>
        <v>1354665</v>
      </c>
      <c r="E862" s="3">
        <f>350*694.7</f>
        <v>243145.00000000003</v>
      </c>
      <c r="F862" s="3">
        <f>1050*694.7</f>
        <v>729435</v>
      </c>
      <c r="G862" s="3">
        <f>300*694.7</f>
        <v>208410</v>
      </c>
      <c r="H862" s="3">
        <f>400*0</f>
        <v>0</v>
      </c>
      <c r="I862" s="3">
        <f>250*694.7</f>
        <v>173675</v>
      </c>
      <c r="J862" s="3">
        <v>0</v>
      </c>
      <c r="K862" s="4">
        <v>0</v>
      </c>
      <c r="L862" s="3">
        <v>0</v>
      </c>
      <c r="M862" s="3">
        <v>254.8</v>
      </c>
      <c r="N862" s="3">
        <f t="shared" si="542"/>
        <v>1401400</v>
      </c>
      <c r="O862" s="3">
        <v>0</v>
      </c>
      <c r="P862" s="3">
        <v>0</v>
      </c>
      <c r="Q862" s="3">
        <v>463</v>
      </c>
      <c r="R862" s="3">
        <f t="shared" si="539"/>
        <v>1389000</v>
      </c>
      <c r="S862" s="3">
        <f>S915</f>
        <v>0</v>
      </c>
      <c r="T862" s="3">
        <v>0</v>
      </c>
      <c r="U862" s="3">
        <v>100000</v>
      </c>
      <c r="V862" s="6">
        <f t="shared" si="540"/>
        <v>5500</v>
      </c>
    </row>
    <row r="863" spans="1:22" ht="21.9" customHeight="1">
      <c r="A863" s="37" t="s">
        <v>879</v>
      </c>
      <c r="B863" s="1" t="s">
        <v>204</v>
      </c>
      <c r="C863" s="2">
        <f t="shared" si="499"/>
        <v>4985375</v>
      </c>
      <c r="D863" s="3">
        <f t="shared" si="537"/>
        <v>1367925</v>
      </c>
      <c r="E863" s="3">
        <f>350*701.5</f>
        <v>245525</v>
      </c>
      <c r="F863" s="3">
        <f>1050*701.5</f>
        <v>736575</v>
      </c>
      <c r="G863" s="3">
        <f>300*701.5</f>
        <v>210450</v>
      </c>
      <c r="H863" s="3">
        <f>400*0</f>
        <v>0</v>
      </c>
      <c r="I863" s="3">
        <f>250*701.5</f>
        <v>175375</v>
      </c>
      <c r="J863" s="3">
        <v>0</v>
      </c>
      <c r="K863" s="4">
        <v>0</v>
      </c>
      <c r="L863" s="3">
        <v>0</v>
      </c>
      <c r="M863" s="3">
        <v>384.1</v>
      </c>
      <c r="N863" s="3">
        <f t="shared" si="542"/>
        <v>2112550</v>
      </c>
      <c r="O863" s="3">
        <v>0</v>
      </c>
      <c r="P863" s="3">
        <v>0</v>
      </c>
      <c r="Q863" s="3">
        <v>468.3</v>
      </c>
      <c r="R863" s="3">
        <f t="shared" si="539"/>
        <v>1404900</v>
      </c>
      <c r="S863" s="3">
        <f>S916</f>
        <v>0</v>
      </c>
      <c r="T863" s="3">
        <v>0</v>
      </c>
      <c r="U863" s="3">
        <v>100000</v>
      </c>
      <c r="V863" s="6">
        <f t="shared" si="540"/>
        <v>5500</v>
      </c>
    </row>
    <row r="864" spans="1:22" ht="21.9" customHeight="1">
      <c r="A864" s="37" t="s">
        <v>880</v>
      </c>
      <c r="B864" s="1" t="s">
        <v>205</v>
      </c>
      <c r="C864" s="2">
        <f t="shared" si="499"/>
        <v>4765160</v>
      </c>
      <c r="D864" s="3">
        <f t="shared" si="537"/>
        <v>1391910</v>
      </c>
      <c r="E864" s="3">
        <f>350*713.8</f>
        <v>249829.99999999997</v>
      </c>
      <c r="F864" s="3">
        <f>1050*713.8</f>
        <v>749490</v>
      </c>
      <c r="G864" s="3">
        <f>300*713.8</f>
        <v>214140</v>
      </c>
      <c r="H864" s="3">
        <f>400*0</f>
        <v>0</v>
      </c>
      <c r="I864" s="3">
        <f>250*713.8</f>
        <v>178450</v>
      </c>
      <c r="J864" s="3">
        <v>0</v>
      </c>
      <c r="K864" s="4">
        <v>0</v>
      </c>
      <c r="L864" s="3">
        <v>0</v>
      </c>
      <c r="M864" s="3">
        <v>367.9</v>
      </c>
      <c r="N864" s="3">
        <f t="shared" si="542"/>
        <v>2023449.9999999998</v>
      </c>
      <c r="O864" s="3">
        <v>0</v>
      </c>
      <c r="P864" s="3">
        <v>0</v>
      </c>
      <c r="Q864" s="3">
        <v>416.6</v>
      </c>
      <c r="R864" s="3">
        <f t="shared" si="539"/>
        <v>1249800</v>
      </c>
      <c r="S864" s="3">
        <v>0</v>
      </c>
      <c r="T864" s="3">
        <v>0</v>
      </c>
      <c r="U864" s="3">
        <v>100000</v>
      </c>
      <c r="V864" s="6">
        <f t="shared" si="540"/>
        <v>5500</v>
      </c>
    </row>
    <row r="865" spans="1:22" ht="45" customHeight="1">
      <c r="A865" s="53" t="s">
        <v>221</v>
      </c>
      <c r="B865" s="53"/>
      <c r="C865" s="2">
        <f>SUM(C869:C872)</f>
        <v>12297580</v>
      </c>
      <c r="D865" s="2">
        <f t="shared" ref="D865:U865" si="544">SUM(D869:D872)</f>
        <v>2532255</v>
      </c>
      <c r="E865" s="2">
        <f t="shared" si="544"/>
        <v>1273125</v>
      </c>
      <c r="F865" s="2">
        <f t="shared" si="544"/>
        <v>768600</v>
      </c>
      <c r="G865" s="2">
        <f t="shared" si="544"/>
        <v>307530</v>
      </c>
      <c r="H865" s="2">
        <f t="shared" si="544"/>
        <v>0</v>
      </c>
      <c r="I865" s="2">
        <f t="shared" si="544"/>
        <v>183000</v>
      </c>
      <c r="J865" s="2">
        <f t="shared" si="544"/>
        <v>0</v>
      </c>
      <c r="K865" s="14">
        <f t="shared" si="544"/>
        <v>0</v>
      </c>
      <c r="L865" s="2">
        <f t="shared" si="544"/>
        <v>0</v>
      </c>
      <c r="M865" s="2">
        <f t="shared" si="544"/>
        <v>987.75</v>
      </c>
      <c r="N865" s="2">
        <f t="shared" si="544"/>
        <v>5432625</v>
      </c>
      <c r="O865" s="2">
        <f t="shared" si="544"/>
        <v>0</v>
      </c>
      <c r="P865" s="2">
        <f t="shared" si="544"/>
        <v>0</v>
      </c>
      <c r="Q865" s="2">
        <f t="shared" si="544"/>
        <v>1310.9</v>
      </c>
      <c r="R865" s="2">
        <f t="shared" si="544"/>
        <v>3932700</v>
      </c>
      <c r="S865" s="2">
        <f t="shared" si="544"/>
        <v>0</v>
      </c>
      <c r="T865" s="2">
        <f t="shared" si="544"/>
        <v>0</v>
      </c>
      <c r="U865" s="2">
        <f t="shared" si="544"/>
        <v>400000</v>
      </c>
    </row>
    <row r="866" spans="1:22" ht="21.9" customHeight="1">
      <c r="A866" s="37" t="s">
        <v>881</v>
      </c>
      <c r="B866" s="8" t="s">
        <v>212</v>
      </c>
      <c r="C866" s="2">
        <f t="shared" ref="C866" si="545">D866+L866+N866+P866+R866+S866+T866+U866</f>
        <v>5056582</v>
      </c>
      <c r="D866" s="3">
        <f t="shared" ref="D866" si="546">SUM(E866:J866)</f>
        <v>1003017</v>
      </c>
      <c r="E866" s="3">
        <f>350*590.01</f>
        <v>206503.5</v>
      </c>
      <c r="F866" s="3">
        <f>1050*590.01</f>
        <v>619510.5</v>
      </c>
      <c r="G866" s="3">
        <f>300*590.01</f>
        <v>177003</v>
      </c>
      <c r="H866" s="3">
        <f>400*0</f>
        <v>0</v>
      </c>
      <c r="I866" s="3">
        <f>250*0</f>
        <v>0</v>
      </c>
      <c r="J866" s="3">
        <f t="shared" ref="J866" si="547">350*0</f>
        <v>0</v>
      </c>
      <c r="K866" s="4">
        <v>0</v>
      </c>
      <c r="L866" s="3">
        <v>0</v>
      </c>
      <c r="M866" s="5">
        <v>432.03</v>
      </c>
      <c r="N866" s="3">
        <f t="shared" ref="N866" si="548">M866*5500</f>
        <v>2376165</v>
      </c>
      <c r="O866" s="3">
        <v>0</v>
      </c>
      <c r="P866" s="3">
        <v>0</v>
      </c>
      <c r="Q866" s="3">
        <v>475.8</v>
      </c>
      <c r="R866" s="3">
        <f t="shared" ref="R866" si="549">Q866*3000</f>
        <v>1427400</v>
      </c>
      <c r="S866" s="3">
        <v>250000</v>
      </c>
      <c r="T866" s="3">
        <v>0</v>
      </c>
      <c r="U866" s="3">
        <v>0</v>
      </c>
      <c r="V866" s="6">
        <f t="shared" ref="V866" si="550">N866/M866</f>
        <v>5500</v>
      </c>
    </row>
    <row r="867" spans="1:22" ht="21.9" customHeight="1">
      <c r="A867" s="37" t="s">
        <v>882</v>
      </c>
      <c r="B867" s="8" t="s">
        <v>213</v>
      </c>
      <c r="C867" s="2">
        <f t="shared" ref="C867:C868" si="551">D867+L867+N867+P867+R867+S867+T867+U867</f>
        <v>4872061</v>
      </c>
      <c r="D867" s="3">
        <f t="shared" ref="D867:D868" si="552">SUM(E867:J867)</f>
        <v>991321</v>
      </c>
      <c r="E867" s="3">
        <f>350*583.13</f>
        <v>204095.5</v>
      </c>
      <c r="F867" s="3">
        <f>1050*583.13</f>
        <v>612286.5</v>
      </c>
      <c r="G867" s="3">
        <f>300*583.13</f>
        <v>174939</v>
      </c>
      <c r="H867" s="3">
        <f>400*0</f>
        <v>0</v>
      </c>
      <c r="I867" s="3">
        <f>250*0</f>
        <v>0</v>
      </c>
      <c r="J867" s="3">
        <f t="shared" ref="J867:J868" si="553">350*0</f>
        <v>0</v>
      </c>
      <c r="K867" s="4">
        <v>0</v>
      </c>
      <c r="L867" s="3">
        <v>0</v>
      </c>
      <c r="M867" s="5">
        <v>427.28</v>
      </c>
      <c r="N867" s="3">
        <f t="shared" ref="N867:N868" si="554">M867*5500</f>
        <v>2350040</v>
      </c>
      <c r="O867" s="3">
        <v>0</v>
      </c>
      <c r="P867" s="3">
        <v>0</v>
      </c>
      <c r="Q867" s="3">
        <v>476.9</v>
      </c>
      <c r="R867" s="3">
        <f t="shared" ref="R867:R868" si="555">Q867*3000</f>
        <v>1430700</v>
      </c>
      <c r="S867" s="3">
        <v>0</v>
      </c>
      <c r="T867" s="3">
        <v>0</v>
      </c>
      <c r="U867" s="3">
        <v>100000</v>
      </c>
      <c r="V867" s="6">
        <f t="shared" ref="V867:V868" si="556">N867/M867</f>
        <v>5500</v>
      </c>
    </row>
    <row r="868" spans="1:22" ht="21.9" customHeight="1">
      <c r="A868" s="37" t="s">
        <v>883</v>
      </c>
      <c r="B868" s="8" t="s">
        <v>214</v>
      </c>
      <c r="C868" s="2">
        <f t="shared" si="551"/>
        <v>4838365</v>
      </c>
      <c r="D868" s="3">
        <f t="shared" si="552"/>
        <v>725390</v>
      </c>
      <c r="E868" s="3">
        <f>350*426.7</f>
        <v>149345</v>
      </c>
      <c r="F868" s="3">
        <f>1050*426.7</f>
        <v>448035</v>
      </c>
      <c r="G868" s="3">
        <f>300*426.7</f>
        <v>128010</v>
      </c>
      <c r="H868" s="3">
        <f>400*0</f>
        <v>0</v>
      </c>
      <c r="I868" s="3">
        <f>250*0</f>
        <v>0</v>
      </c>
      <c r="J868" s="3">
        <f t="shared" si="553"/>
        <v>0</v>
      </c>
      <c r="K868" s="11">
        <v>0</v>
      </c>
      <c r="L868" s="5">
        <v>0</v>
      </c>
      <c r="M868" s="5">
        <v>554.65</v>
      </c>
      <c r="N868" s="3">
        <f t="shared" si="554"/>
        <v>3050575</v>
      </c>
      <c r="O868" s="5">
        <v>0</v>
      </c>
      <c r="P868" s="5">
        <v>0</v>
      </c>
      <c r="Q868" s="5">
        <v>320.8</v>
      </c>
      <c r="R868" s="3">
        <f t="shared" si="555"/>
        <v>962400</v>
      </c>
      <c r="S868" s="5">
        <v>0</v>
      </c>
      <c r="T868" s="3">
        <v>0</v>
      </c>
      <c r="U868" s="5">
        <v>100000</v>
      </c>
      <c r="V868" s="6">
        <f t="shared" si="556"/>
        <v>5500</v>
      </c>
    </row>
    <row r="869" spans="1:22" ht="21.9" customHeight="1">
      <c r="A869" s="37" t="s">
        <v>884</v>
      </c>
      <c r="B869" s="8" t="s">
        <v>218</v>
      </c>
      <c r="C869" s="2">
        <f t="shared" si="499"/>
        <v>3767765</v>
      </c>
      <c r="D869" s="3">
        <f t="shared" ref="D869:D872" si="557">SUM(E869:J869)</f>
        <v>190515</v>
      </c>
      <c r="E869" s="3">
        <f>350*293.1</f>
        <v>102585.00000000001</v>
      </c>
      <c r="F869" s="3">
        <f>1050*0</f>
        <v>0</v>
      </c>
      <c r="G869" s="3">
        <f>300*293.1</f>
        <v>87930</v>
      </c>
      <c r="H869" s="3">
        <f>400*0</f>
        <v>0</v>
      </c>
      <c r="I869" s="3">
        <f>250*0</f>
        <v>0</v>
      </c>
      <c r="J869" s="3">
        <v>0</v>
      </c>
      <c r="K869" s="4">
        <v>0</v>
      </c>
      <c r="L869" s="3">
        <v>0</v>
      </c>
      <c r="M869" s="3">
        <v>371.5</v>
      </c>
      <c r="N869" s="3">
        <f t="shared" ref="N869:N872" si="558">M869*5500</f>
        <v>2043250</v>
      </c>
      <c r="O869" s="3">
        <v>0</v>
      </c>
      <c r="P869" s="3">
        <v>0</v>
      </c>
      <c r="Q869" s="3">
        <v>478</v>
      </c>
      <c r="R869" s="3">
        <f t="shared" ref="R869:R872" si="559">Q869*3000</f>
        <v>1434000</v>
      </c>
      <c r="S869" s="3">
        <v>0</v>
      </c>
      <c r="T869" s="3">
        <v>0</v>
      </c>
      <c r="U869" s="3">
        <v>100000</v>
      </c>
      <c r="V869" s="6">
        <f t="shared" ref="V869:V872" si="560">N869/M869</f>
        <v>5500</v>
      </c>
    </row>
    <row r="870" spans="1:22" ht="21.9" customHeight="1">
      <c r="A870" s="37" t="s">
        <v>885</v>
      </c>
      <c r="B870" s="8" t="s">
        <v>1289</v>
      </c>
      <c r="C870" s="2">
        <f t="shared" ref="C870" si="561">D870+L870+N870+P870+R870+S870+T870+U870</f>
        <v>1014340</v>
      </c>
      <c r="D870" s="3">
        <f t="shared" ref="D870" si="562">SUM(E870:J870)</f>
        <v>914340</v>
      </c>
      <c r="E870" s="3">
        <f>350*2612.4</f>
        <v>914340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100000</v>
      </c>
      <c r="V870" s="6" t="e">
        <f t="shared" si="560"/>
        <v>#DIV/0!</v>
      </c>
    </row>
    <row r="871" spans="1:22" ht="21.9" customHeight="1">
      <c r="A871" s="37" t="s">
        <v>886</v>
      </c>
      <c r="B871" s="8" t="s">
        <v>219</v>
      </c>
      <c r="C871" s="2">
        <f t="shared" si="499"/>
        <v>4435205</v>
      </c>
      <c r="D871" s="3">
        <f t="shared" si="557"/>
        <v>855855</v>
      </c>
      <c r="E871" s="3">
        <f>350*438.9</f>
        <v>153615</v>
      </c>
      <c r="F871" s="3">
        <f>1050*438.9</f>
        <v>460845</v>
      </c>
      <c r="G871" s="3">
        <f>300*438.9</f>
        <v>131670</v>
      </c>
      <c r="H871" s="3">
        <f>400*0</f>
        <v>0</v>
      </c>
      <c r="I871" s="3">
        <f>250*438.9</f>
        <v>109725</v>
      </c>
      <c r="J871" s="3">
        <v>0</v>
      </c>
      <c r="K871" s="4">
        <v>0</v>
      </c>
      <c r="L871" s="3">
        <v>0</v>
      </c>
      <c r="M871" s="3">
        <v>371.5</v>
      </c>
      <c r="N871" s="3">
        <f t="shared" si="558"/>
        <v>2043250</v>
      </c>
      <c r="O871" s="3">
        <v>0</v>
      </c>
      <c r="P871" s="3">
        <v>0</v>
      </c>
      <c r="Q871" s="3">
        <v>478.7</v>
      </c>
      <c r="R871" s="3">
        <f t="shared" si="559"/>
        <v>1436100</v>
      </c>
      <c r="S871" s="3">
        <v>0</v>
      </c>
      <c r="T871" s="3">
        <v>0</v>
      </c>
      <c r="U871" s="3">
        <v>100000</v>
      </c>
      <c r="V871" s="6">
        <f t="shared" si="560"/>
        <v>5500</v>
      </c>
    </row>
    <row r="872" spans="1:22" ht="21.9" customHeight="1">
      <c r="A872" s="37" t="s">
        <v>887</v>
      </c>
      <c r="B872" s="8" t="s">
        <v>220</v>
      </c>
      <c r="C872" s="2">
        <f t="shared" si="499"/>
        <v>3080270</v>
      </c>
      <c r="D872" s="3">
        <f t="shared" si="557"/>
        <v>571545</v>
      </c>
      <c r="E872" s="3">
        <f>350*293.1</f>
        <v>102585.00000000001</v>
      </c>
      <c r="F872" s="3">
        <f>1050*293.1</f>
        <v>307755</v>
      </c>
      <c r="G872" s="3">
        <f>300*293.1</f>
        <v>87930</v>
      </c>
      <c r="H872" s="3">
        <f>400*0</f>
        <v>0</v>
      </c>
      <c r="I872" s="3">
        <f>250*293.1</f>
        <v>73275</v>
      </c>
      <c r="J872" s="3">
        <v>0</v>
      </c>
      <c r="K872" s="4">
        <v>0</v>
      </c>
      <c r="L872" s="3">
        <v>0</v>
      </c>
      <c r="M872" s="3">
        <v>244.75</v>
      </c>
      <c r="N872" s="3">
        <f t="shared" si="558"/>
        <v>1346125</v>
      </c>
      <c r="O872" s="3">
        <v>0</v>
      </c>
      <c r="P872" s="3">
        <v>0</v>
      </c>
      <c r="Q872" s="3">
        <v>354.2</v>
      </c>
      <c r="R872" s="3">
        <f t="shared" si="559"/>
        <v>1062600</v>
      </c>
      <c r="S872" s="3">
        <v>0</v>
      </c>
      <c r="T872" s="3">
        <v>0</v>
      </c>
      <c r="U872" s="3">
        <v>100000</v>
      </c>
      <c r="V872" s="6">
        <f t="shared" si="560"/>
        <v>5500</v>
      </c>
    </row>
    <row r="873" spans="1:22" ht="45" customHeight="1">
      <c r="A873" s="53" t="s">
        <v>225</v>
      </c>
      <c r="B873" s="53"/>
      <c r="C873" s="2">
        <f>SUM(C874:C877)</f>
        <v>12915689</v>
      </c>
      <c r="D873" s="2">
        <f t="shared" ref="D873:U873" si="563">SUM(D874:D877)</f>
        <v>988705</v>
      </c>
      <c r="E873" s="2">
        <f t="shared" si="563"/>
        <v>429520</v>
      </c>
      <c r="F873" s="2">
        <f t="shared" si="563"/>
        <v>0</v>
      </c>
      <c r="G873" s="2">
        <f t="shared" si="563"/>
        <v>305010</v>
      </c>
      <c r="H873" s="2">
        <f t="shared" si="563"/>
        <v>0</v>
      </c>
      <c r="I873" s="2">
        <f t="shared" si="563"/>
        <v>254175</v>
      </c>
      <c r="J873" s="2">
        <f t="shared" si="563"/>
        <v>0</v>
      </c>
      <c r="K873" s="14">
        <f t="shared" si="563"/>
        <v>0</v>
      </c>
      <c r="L873" s="2">
        <f t="shared" si="563"/>
        <v>0</v>
      </c>
      <c r="M873" s="2">
        <f t="shared" si="563"/>
        <v>1110.56</v>
      </c>
      <c r="N873" s="2">
        <f t="shared" si="563"/>
        <v>6108080</v>
      </c>
      <c r="O873" s="2">
        <f t="shared" si="563"/>
        <v>0</v>
      </c>
      <c r="P873" s="2">
        <f t="shared" si="563"/>
        <v>0</v>
      </c>
      <c r="Q873" s="2">
        <f t="shared" si="563"/>
        <v>1502.8400000000001</v>
      </c>
      <c r="R873" s="2">
        <f t="shared" si="563"/>
        <v>4508520</v>
      </c>
      <c r="S873" s="2">
        <f t="shared" si="563"/>
        <v>510384</v>
      </c>
      <c r="T873" s="2">
        <f t="shared" si="563"/>
        <v>0</v>
      </c>
      <c r="U873" s="2">
        <f t="shared" si="563"/>
        <v>800000</v>
      </c>
    </row>
    <row r="874" spans="1:22" ht="21.9" customHeight="1">
      <c r="A874" s="37" t="s">
        <v>888</v>
      </c>
      <c r="B874" s="8" t="s">
        <v>232</v>
      </c>
      <c r="C874" s="2">
        <f t="shared" si="499"/>
        <v>3870580</v>
      </c>
      <c r="D874" s="3">
        <f t="shared" ref="D874:D877" si="564">SUM(E874:J874)</f>
        <v>375300</v>
      </c>
      <c r="E874" s="3">
        <f>350*417</f>
        <v>145950</v>
      </c>
      <c r="F874" s="3">
        <v>0</v>
      </c>
      <c r="G874" s="3">
        <f>300*417</f>
        <v>125100</v>
      </c>
      <c r="H874" s="3">
        <f>400*0</f>
        <v>0</v>
      </c>
      <c r="I874" s="3">
        <f>250*417</f>
        <v>104250</v>
      </c>
      <c r="J874" s="3">
        <f>350*0</f>
        <v>0</v>
      </c>
      <c r="K874" s="4">
        <v>0</v>
      </c>
      <c r="L874" s="3">
        <v>0</v>
      </c>
      <c r="M874" s="3">
        <v>347.64</v>
      </c>
      <c r="N874" s="3">
        <f t="shared" ref="N874:N877" si="565">M874*5500</f>
        <v>1912020</v>
      </c>
      <c r="O874" s="3">
        <v>0</v>
      </c>
      <c r="P874" s="3">
        <v>0</v>
      </c>
      <c r="Q874" s="3">
        <v>442.2</v>
      </c>
      <c r="R874" s="3">
        <f t="shared" ref="R874:R877" si="566">Q874*3000</f>
        <v>1326600</v>
      </c>
      <c r="S874" s="3">
        <v>156660</v>
      </c>
      <c r="T874" s="3">
        <v>0</v>
      </c>
      <c r="U874" s="3">
        <v>100000</v>
      </c>
      <c r="V874" s="6">
        <f t="shared" ref="V874:V877" si="567">N874/M874</f>
        <v>5500</v>
      </c>
    </row>
    <row r="875" spans="1:22" ht="21.9" customHeight="1">
      <c r="A875" s="37" t="s">
        <v>889</v>
      </c>
      <c r="B875" s="8" t="s">
        <v>235</v>
      </c>
      <c r="C875" s="2">
        <f>D875+L875+N875+P875+R875+S875+T875+U875</f>
        <v>2852140</v>
      </c>
      <c r="D875" s="3">
        <f>SUM(E875:J875)</f>
        <v>269910</v>
      </c>
      <c r="E875" s="3">
        <f>350*299.9</f>
        <v>104964.99999999999</v>
      </c>
      <c r="F875" s="3">
        <v>0</v>
      </c>
      <c r="G875" s="3">
        <f>300*299.9</f>
        <v>89970</v>
      </c>
      <c r="H875" s="3">
        <f>400*0</f>
        <v>0</v>
      </c>
      <c r="I875" s="3">
        <f>250*299.9</f>
        <v>74975</v>
      </c>
      <c r="J875" s="3">
        <f>350*0</f>
        <v>0</v>
      </c>
      <c r="K875" s="4">
        <v>0</v>
      </c>
      <c r="L875" s="3">
        <v>0</v>
      </c>
      <c r="M875" s="3">
        <v>238.62</v>
      </c>
      <c r="N875" s="3">
        <f>M875*5500</f>
        <v>1312410</v>
      </c>
      <c r="O875" s="3">
        <v>0</v>
      </c>
      <c r="P875" s="3">
        <v>0</v>
      </c>
      <c r="Q875" s="3">
        <v>349.2</v>
      </c>
      <c r="R875" s="3">
        <f>Q875*3000</f>
        <v>1047600</v>
      </c>
      <c r="S875" s="3">
        <v>122220</v>
      </c>
      <c r="T875" s="3">
        <v>0</v>
      </c>
      <c r="U875" s="3">
        <v>100000</v>
      </c>
      <c r="V875" s="6">
        <f>N875/M875</f>
        <v>5500</v>
      </c>
    </row>
    <row r="876" spans="1:22" ht="21.9" customHeight="1">
      <c r="A876" s="37" t="s">
        <v>890</v>
      </c>
      <c r="B876" s="8" t="s">
        <v>233</v>
      </c>
      <c r="C876" s="2">
        <f t="shared" si="499"/>
        <v>3149273</v>
      </c>
      <c r="D876" s="3">
        <f t="shared" si="564"/>
        <v>269820</v>
      </c>
      <c r="E876" s="3">
        <f>350*299.8</f>
        <v>104930</v>
      </c>
      <c r="F876" s="3">
        <v>0</v>
      </c>
      <c r="G876" s="3">
        <f>300*299.8</f>
        <v>89940</v>
      </c>
      <c r="H876" s="3">
        <f>400*0</f>
        <v>0</v>
      </c>
      <c r="I876" s="3">
        <f>250*299.8</f>
        <v>74950</v>
      </c>
      <c r="J876" s="3">
        <f>350*0</f>
        <v>0</v>
      </c>
      <c r="K876" s="4">
        <v>0</v>
      </c>
      <c r="L876" s="3">
        <v>0</v>
      </c>
      <c r="M876" s="3">
        <v>255.83</v>
      </c>
      <c r="N876" s="3">
        <f t="shared" si="565"/>
        <v>1407065</v>
      </c>
      <c r="O876" s="3">
        <v>0</v>
      </c>
      <c r="P876" s="3">
        <v>0</v>
      </c>
      <c r="Q876" s="3">
        <v>350</v>
      </c>
      <c r="R876" s="3">
        <f t="shared" si="566"/>
        <v>1050000</v>
      </c>
      <c r="S876" s="3">
        <v>122388</v>
      </c>
      <c r="T876" s="3">
        <v>0</v>
      </c>
      <c r="U876" s="3">
        <v>300000</v>
      </c>
      <c r="V876" s="6">
        <f t="shared" si="567"/>
        <v>5500</v>
      </c>
    </row>
    <row r="877" spans="1:22" ht="21.9" customHeight="1">
      <c r="A877" s="37" t="s">
        <v>891</v>
      </c>
      <c r="B877" s="8" t="s">
        <v>236</v>
      </c>
      <c r="C877" s="2">
        <f t="shared" si="499"/>
        <v>3043696</v>
      </c>
      <c r="D877" s="3">
        <f t="shared" si="564"/>
        <v>73675</v>
      </c>
      <c r="E877" s="3">
        <f>350*210.5</f>
        <v>73675</v>
      </c>
      <c r="F877" s="3">
        <v>0</v>
      </c>
      <c r="G877" s="3">
        <v>0</v>
      </c>
      <c r="H877" s="3">
        <f>400*0</f>
        <v>0</v>
      </c>
      <c r="I877" s="3">
        <v>0</v>
      </c>
      <c r="J877" s="3">
        <f>350*0</f>
        <v>0</v>
      </c>
      <c r="K877" s="4">
        <v>0</v>
      </c>
      <c r="L877" s="3">
        <v>0</v>
      </c>
      <c r="M877" s="3">
        <v>268.47000000000003</v>
      </c>
      <c r="N877" s="3">
        <f t="shared" si="565"/>
        <v>1476585.0000000002</v>
      </c>
      <c r="O877" s="3">
        <v>0</v>
      </c>
      <c r="P877" s="3">
        <v>0</v>
      </c>
      <c r="Q877" s="3">
        <v>361.44</v>
      </c>
      <c r="R877" s="3">
        <f t="shared" si="566"/>
        <v>1084320</v>
      </c>
      <c r="S877" s="3">
        <v>109116</v>
      </c>
      <c r="T877" s="3">
        <v>0</v>
      </c>
      <c r="U877" s="3">
        <v>300000</v>
      </c>
      <c r="V877" s="6">
        <f t="shared" si="567"/>
        <v>5500</v>
      </c>
    </row>
    <row r="878" spans="1:22" ht="45" customHeight="1">
      <c r="A878" s="53" t="s">
        <v>242</v>
      </c>
      <c r="B878" s="53"/>
      <c r="C878" s="2">
        <f>SUM(C879:C880)</f>
        <v>6043265</v>
      </c>
      <c r="D878" s="2">
        <f t="shared" ref="D878:U878" si="568">SUM(D879:D880)</f>
        <v>530985</v>
      </c>
      <c r="E878" s="2">
        <f t="shared" si="568"/>
        <v>95305</v>
      </c>
      <c r="F878" s="2">
        <f t="shared" si="568"/>
        <v>285915</v>
      </c>
      <c r="G878" s="2">
        <f t="shared" si="568"/>
        <v>81690</v>
      </c>
      <c r="H878" s="2">
        <f t="shared" si="568"/>
        <v>0</v>
      </c>
      <c r="I878" s="2">
        <f t="shared" si="568"/>
        <v>68075</v>
      </c>
      <c r="J878" s="2">
        <f t="shared" si="568"/>
        <v>0</v>
      </c>
      <c r="K878" s="47">
        <f t="shared" si="568"/>
        <v>0</v>
      </c>
      <c r="L878" s="2">
        <f t="shared" si="568"/>
        <v>0</v>
      </c>
      <c r="M878" s="2">
        <f t="shared" si="568"/>
        <v>772</v>
      </c>
      <c r="N878" s="2">
        <f t="shared" si="568"/>
        <v>4246000</v>
      </c>
      <c r="O878" s="2">
        <f t="shared" si="568"/>
        <v>0</v>
      </c>
      <c r="P878" s="2">
        <f t="shared" si="568"/>
        <v>0</v>
      </c>
      <c r="Q878" s="2">
        <f t="shared" si="568"/>
        <v>335</v>
      </c>
      <c r="R878" s="2">
        <f t="shared" si="568"/>
        <v>1005000</v>
      </c>
      <c r="S878" s="2">
        <f t="shared" si="568"/>
        <v>161280</v>
      </c>
      <c r="T878" s="2">
        <f t="shared" si="568"/>
        <v>0</v>
      </c>
      <c r="U878" s="2">
        <f t="shared" si="568"/>
        <v>100000</v>
      </c>
      <c r="V878" s="18">
        <f>C878</f>
        <v>6043265</v>
      </c>
    </row>
    <row r="879" spans="1:22" ht="21.9" customHeight="1">
      <c r="A879" s="37" t="s">
        <v>892</v>
      </c>
      <c r="B879" s="8" t="s">
        <v>1537</v>
      </c>
      <c r="C879" s="2">
        <f t="shared" ref="C879" si="569">D879+L879+N879+P879+R879+S879+T879+U879</f>
        <v>2750000</v>
      </c>
      <c r="D879" s="3">
        <f t="shared" ref="D879" si="570">SUM(E879:J879)</f>
        <v>0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f>350*0</f>
        <v>0</v>
      </c>
      <c r="K879" s="4">
        <v>0</v>
      </c>
      <c r="L879" s="3">
        <v>0</v>
      </c>
      <c r="M879" s="3">
        <v>500</v>
      </c>
      <c r="N879" s="3">
        <f t="shared" ref="N879" si="571">M879*5500</f>
        <v>2750000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6">
        <f t="shared" ref="V879" si="572">N879/M879</f>
        <v>5500</v>
      </c>
    </row>
    <row r="880" spans="1:22" ht="21.9" customHeight="1">
      <c r="A880" s="37" t="s">
        <v>893</v>
      </c>
      <c r="B880" s="8" t="s">
        <v>241</v>
      </c>
      <c r="C880" s="2">
        <f t="shared" si="499"/>
        <v>3293265</v>
      </c>
      <c r="D880" s="3">
        <f t="shared" ref="D880" si="573">SUM(E880:J880)</f>
        <v>530985</v>
      </c>
      <c r="E880" s="3">
        <f>350*272.3</f>
        <v>95305</v>
      </c>
      <c r="F880" s="3">
        <f>1050*272.3</f>
        <v>285915</v>
      </c>
      <c r="G880" s="3">
        <f>300*272.3</f>
        <v>81690</v>
      </c>
      <c r="H880" s="3">
        <f>400*0</f>
        <v>0</v>
      </c>
      <c r="I880" s="3">
        <f>250*272.3</f>
        <v>68075</v>
      </c>
      <c r="J880" s="3">
        <f>350*0</f>
        <v>0</v>
      </c>
      <c r="K880" s="4">
        <v>0</v>
      </c>
      <c r="L880" s="3">
        <v>0</v>
      </c>
      <c r="M880" s="3">
        <v>272</v>
      </c>
      <c r="N880" s="3">
        <f t="shared" ref="N880" si="574">M880*5500</f>
        <v>1496000</v>
      </c>
      <c r="O880" s="3">
        <v>0</v>
      </c>
      <c r="P880" s="3">
        <v>0</v>
      </c>
      <c r="Q880" s="3">
        <v>335</v>
      </c>
      <c r="R880" s="3">
        <f>Q880*3000</f>
        <v>1005000</v>
      </c>
      <c r="S880" s="3">
        <v>161280</v>
      </c>
      <c r="T880" s="3">
        <v>0</v>
      </c>
      <c r="U880" s="3">
        <v>100000</v>
      </c>
      <c r="V880" s="6">
        <f t="shared" ref="V880" si="575">N880/M880</f>
        <v>5500</v>
      </c>
    </row>
    <row r="881" spans="1:22" ht="45" customHeight="1">
      <c r="A881" s="53" t="s">
        <v>267</v>
      </c>
      <c r="B881" s="53"/>
      <c r="C881" s="2">
        <f>SUM(C882:C895)</f>
        <v>74558859.460000008</v>
      </c>
      <c r="D881" s="2">
        <f t="shared" ref="D881:U881" si="576">SUM(D882:D895)</f>
        <v>24652605</v>
      </c>
      <c r="E881" s="2">
        <f t="shared" si="576"/>
        <v>4575935</v>
      </c>
      <c r="F881" s="2">
        <f t="shared" si="576"/>
        <v>13727805</v>
      </c>
      <c r="G881" s="2">
        <f t="shared" si="576"/>
        <v>3080340</v>
      </c>
      <c r="H881" s="2">
        <f t="shared" si="576"/>
        <v>0</v>
      </c>
      <c r="I881" s="2">
        <f t="shared" si="576"/>
        <v>3268525</v>
      </c>
      <c r="J881" s="2">
        <f t="shared" si="576"/>
        <v>0</v>
      </c>
      <c r="K881" s="14">
        <f t="shared" si="576"/>
        <v>0</v>
      </c>
      <c r="L881" s="2">
        <f t="shared" si="576"/>
        <v>0</v>
      </c>
      <c r="M881" s="2">
        <f t="shared" si="576"/>
        <v>5650.0199999999995</v>
      </c>
      <c r="N881" s="2">
        <f t="shared" si="576"/>
        <v>25371694.460000001</v>
      </c>
      <c r="O881" s="2">
        <f t="shared" si="576"/>
        <v>341.9</v>
      </c>
      <c r="P881" s="2">
        <f t="shared" si="576"/>
        <v>858070</v>
      </c>
      <c r="Q881" s="2">
        <f t="shared" si="576"/>
        <v>7458.83</v>
      </c>
      <c r="R881" s="2">
        <f t="shared" si="576"/>
        <v>22376490</v>
      </c>
      <c r="S881" s="2">
        <f t="shared" si="576"/>
        <v>500000</v>
      </c>
      <c r="T881" s="2">
        <f t="shared" si="576"/>
        <v>0</v>
      </c>
      <c r="U881" s="2">
        <f t="shared" si="576"/>
        <v>800000</v>
      </c>
    </row>
    <row r="882" spans="1:22" ht="24" customHeight="1">
      <c r="A882" s="37" t="s">
        <v>894</v>
      </c>
      <c r="B882" s="8" t="s">
        <v>1207</v>
      </c>
      <c r="C882" s="2">
        <f t="shared" si="499"/>
        <v>3243435</v>
      </c>
      <c r="D882" s="3">
        <f t="shared" ref="D882:D895" si="577">SUM(E882:J882)</f>
        <v>3243435</v>
      </c>
      <c r="E882" s="3">
        <f>350*1663.3</f>
        <v>582155</v>
      </c>
      <c r="F882" s="3">
        <f>1050*1663.3</f>
        <v>1746465</v>
      </c>
      <c r="G882" s="3">
        <f>300*1663.3</f>
        <v>498990</v>
      </c>
      <c r="H882" s="3">
        <v>0</v>
      </c>
      <c r="I882" s="3">
        <f>250*1663.3</f>
        <v>415825</v>
      </c>
      <c r="J882" s="3">
        <v>0</v>
      </c>
      <c r="K882" s="11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3">
        <f t="shared" ref="R882:R895" si="578">Q882*3000</f>
        <v>0</v>
      </c>
      <c r="S882" s="5">
        <v>0</v>
      </c>
      <c r="T882" s="5">
        <v>0</v>
      </c>
      <c r="U882" s="5">
        <v>0</v>
      </c>
      <c r="V882" s="6" t="e">
        <f t="shared" ref="V882:V895" si="579">N882/M882</f>
        <v>#DIV/0!</v>
      </c>
    </row>
    <row r="883" spans="1:22" ht="21.9" customHeight="1">
      <c r="A883" s="37" t="s">
        <v>895</v>
      </c>
      <c r="B883" s="8" t="s">
        <v>1194</v>
      </c>
      <c r="C883" s="2">
        <f t="shared" si="499"/>
        <v>1718750</v>
      </c>
      <c r="D883" s="3">
        <f t="shared" si="577"/>
        <v>0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11">
        <v>0</v>
      </c>
      <c r="L883" s="5">
        <v>0</v>
      </c>
      <c r="M883" s="5">
        <v>312.5</v>
      </c>
      <c r="N883" s="5">
        <f>M883*5500</f>
        <v>1718750</v>
      </c>
      <c r="O883" s="5">
        <v>0</v>
      </c>
      <c r="P883" s="5">
        <v>0</v>
      </c>
      <c r="Q883" s="5">
        <v>0</v>
      </c>
      <c r="R883" s="3">
        <f t="shared" si="578"/>
        <v>0</v>
      </c>
      <c r="S883" s="5">
        <v>0</v>
      </c>
      <c r="T883" s="5">
        <v>0</v>
      </c>
      <c r="U883" s="5">
        <v>0</v>
      </c>
      <c r="V883" s="6">
        <f t="shared" si="579"/>
        <v>5500</v>
      </c>
    </row>
    <row r="884" spans="1:22" ht="21.9" customHeight="1">
      <c r="A884" s="37" t="s">
        <v>896</v>
      </c>
      <c r="B884" s="22" t="s">
        <v>247</v>
      </c>
      <c r="C884" s="2">
        <f t="shared" si="499"/>
        <v>6398290</v>
      </c>
      <c r="D884" s="3">
        <f t="shared" si="577"/>
        <v>5948010</v>
      </c>
      <c r="E884" s="3">
        <f>350*3482</f>
        <v>1218700</v>
      </c>
      <c r="F884" s="3">
        <f>1050*3482</f>
        <v>3656100</v>
      </c>
      <c r="G884" s="3">
        <f>300*675.7</f>
        <v>202710</v>
      </c>
      <c r="H884" s="3">
        <f>400*0</f>
        <v>0</v>
      </c>
      <c r="I884" s="3">
        <f>250*3482</f>
        <v>870500</v>
      </c>
      <c r="J884" s="3">
        <f>350*0</f>
        <v>0</v>
      </c>
      <c r="K884" s="4">
        <v>0</v>
      </c>
      <c r="L884" s="3">
        <v>0</v>
      </c>
      <c r="M884" s="3">
        <v>0</v>
      </c>
      <c r="N884" s="3">
        <v>0</v>
      </c>
      <c r="O884" s="3">
        <v>166.8</v>
      </c>
      <c r="P884" s="3">
        <v>350280</v>
      </c>
      <c r="Q884" s="3">
        <v>0</v>
      </c>
      <c r="R884" s="3">
        <f t="shared" si="578"/>
        <v>0</v>
      </c>
      <c r="S884" s="3">
        <v>0</v>
      </c>
      <c r="T884" s="3">
        <v>0</v>
      </c>
      <c r="U884" s="3">
        <v>100000</v>
      </c>
      <c r="V884" s="6" t="e">
        <f t="shared" si="579"/>
        <v>#DIV/0!</v>
      </c>
    </row>
    <row r="885" spans="1:22" ht="24.9" customHeight="1">
      <c r="A885" s="37" t="s">
        <v>897</v>
      </c>
      <c r="B885" s="22" t="s">
        <v>248</v>
      </c>
      <c r="C885" s="2">
        <f t="shared" si="499"/>
        <v>2731000</v>
      </c>
      <c r="D885" s="3">
        <f t="shared" ref="D885" si="580">SUM(E885:J885)</f>
        <v>0</v>
      </c>
      <c r="E885" s="3">
        <v>0</v>
      </c>
      <c r="F885" s="3">
        <v>0</v>
      </c>
      <c r="G885" s="3">
        <v>0</v>
      </c>
      <c r="H885" s="3">
        <f t="shared" ref="H885" si="581">400*0</f>
        <v>0</v>
      </c>
      <c r="I885" s="3">
        <v>0</v>
      </c>
      <c r="J885" s="3">
        <f t="shared" ref="J885" si="582">350*0</f>
        <v>0</v>
      </c>
      <c r="K885" s="4">
        <v>0</v>
      </c>
      <c r="L885" s="3">
        <v>0</v>
      </c>
      <c r="M885" s="3">
        <v>0</v>
      </c>
      <c r="N885" s="3">
        <f t="shared" ref="N885" si="583">M885*5500</f>
        <v>0</v>
      </c>
      <c r="O885" s="3">
        <v>0</v>
      </c>
      <c r="P885" s="3">
        <v>0</v>
      </c>
      <c r="Q885" s="3">
        <v>827</v>
      </c>
      <c r="R885" s="3">
        <f t="shared" si="578"/>
        <v>2481000</v>
      </c>
      <c r="S885" s="3">
        <v>250000</v>
      </c>
      <c r="T885" s="3">
        <v>0</v>
      </c>
      <c r="U885" s="3">
        <v>0</v>
      </c>
      <c r="V885" s="6" t="e">
        <f t="shared" si="579"/>
        <v>#DIV/0!</v>
      </c>
    </row>
    <row r="886" spans="1:22" ht="21.9" customHeight="1">
      <c r="A886" s="37" t="s">
        <v>898</v>
      </c>
      <c r="B886" s="22" t="s">
        <v>255</v>
      </c>
      <c r="C886" s="2">
        <f t="shared" si="499"/>
        <v>6420035</v>
      </c>
      <c r="D886" s="3">
        <f t="shared" si="577"/>
        <v>1317615</v>
      </c>
      <c r="E886" s="3">
        <f>350*675.7</f>
        <v>236495.00000000003</v>
      </c>
      <c r="F886" s="3">
        <f>1050*675.7</f>
        <v>709485</v>
      </c>
      <c r="G886" s="3">
        <f>300*675.7</f>
        <v>202710</v>
      </c>
      <c r="H886" s="3">
        <f>400*0</f>
        <v>0</v>
      </c>
      <c r="I886" s="3">
        <f>250*675.7</f>
        <v>168925</v>
      </c>
      <c r="J886" s="3">
        <f>350*0</f>
        <v>0</v>
      </c>
      <c r="K886" s="4">
        <v>0</v>
      </c>
      <c r="L886" s="3">
        <v>0</v>
      </c>
      <c r="M886" s="3">
        <v>555.79999999999995</v>
      </c>
      <c r="N886" s="3">
        <f t="shared" ref="N886" si="584">M886*5500</f>
        <v>3056899.9999999995</v>
      </c>
      <c r="O886" s="3">
        <v>42.7</v>
      </c>
      <c r="P886" s="3">
        <v>123830</v>
      </c>
      <c r="Q886" s="3">
        <v>607.23</v>
      </c>
      <c r="R886" s="3">
        <f t="shared" si="578"/>
        <v>1821690</v>
      </c>
      <c r="S886" s="3">
        <v>0</v>
      </c>
      <c r="T886" s="3">
        <v>0</v>
      </c>
      <c r="U886" s="3">
        <v>100000</v>
      </c>
      <c r="V886" s="6">
        <f t="shared" si="579"/>
        <v>5500</v>
      </c>
    </row>
    <row r="887" spans="1:22" ht="24.9" customHeight="1">
      <c r="A887" s="37" t="s">
        <v>899</v>
      </c>
      <c r="B887" s="22" t="s">
        <v>256</v>
      </c>
      <c r="C887" s="2">
        <f t="shared" si="499"/>
        <v>3015550</v>
      </c>
      <c r="D887" s="3">
        <f t="shared" ref="D887" si="585">SUM(E887:J887)</f>
        <v>1109550</v>
      </c>
      <c r="E887" s="3">
        <f>350*569</f>
        <v>199150</v>
      </c>
      <c r="F887" s="3">
        <f>1050*569</f>
        <v>597450</v>
      </c>
      <c r="G887" s="3">
        <f>300*569</f>
        <v>170700</v>
      </c>
      <c r="H887" s="3">
        <f t="shared" ref="H887" si="586">400*0</f>
        <v>0</v>
      </c>
      <c r="I887" s="3">
        <f>250*569</f>
        <v>142250</v>
      </c>
      <c r="J887" s="3">
        <f t="shared" ref="J887" si="587">350*0</f>
        <v>0</v>
      </c>
      <c r="K887" s="4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602</v>
      </c>
      <c r="R887" s="3">
        <f t="shared" si="578"/>
        <v>1806000</v>
      </c>
      <c r="S887" s="3">
        <v>0</v>
      </c>
      <c r="T887" s="3">
        <v>0</v>
      </c>
      <c r="U887" s="3">
        <v>100000</v>
      </c>
      <c r="V887" s="6" t="e">
        <f t="shared" si="579"/>
        <v>#DIV/0!</v>
      </c>
    </row>
    <row r="888" spans="1:22" ht="21.9" customHeight="1">
      <c r="A888" s="37" t="s">
        <v>900</v>
      </c>
      <c r="B888" s="22" t="s">
        <v>260</v>
      </c>
      <c r="C888" s="2">
        <f t="shared" si="499"/>
        <v>3117399.9999999995</v>
      </c>
      <c r="D888" s="3">
        <f t="shared" si="577"/>
        <v>0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4">
        <v>0</v>
      </c>
      <c r="L888" s="3">
        <v>0</v>
      </c>
      <c r="M888" s="3">
        <v>566.79999999999995</v>
      </c>
      <c r="N888" s="3">
        <f t="shared" ref="N888" si="588">M888*5500</f>
        <v>3117399.9999999995</v>
      </c>
      <c r="O888" s="3">
        <v>0</v>
      </c>
      <c r="P888" s="3">
        <v>0</v>
      </c>
      <c r="Q888" s="3">
        <v>0</v>
      </c>
      <c r="R888" s="3">
        <f t="shared" si="578"/>
        <v>0</v>
      </c>
      <c r="S888" s="3">
        <v>0</v>
      </c>
      <c r="T888" s="3">
        <v>0</v>
      </c>
      <c r="U888" s="3">
        <v>0</v>
      </c>
      <c r="V888" s="6">
        <f t="shared" si="579"/>
        <v>5500</v>
      </c>
    </row>
    <row r="889" spans="1:22" ht="21.9" customHeight="1">
      <c r="A889" s="37" t="s">
        <v>901</v>
      </c>
      <c r="B889" s="22" t="s">
        <v>1538</v>
      </c>
      <c r="C889" s="2">
        <f t="shared" ref="C889" si="589">D889+L889+N889+P889+R889+S889+T889+U889</f>
        <v>3133100</v>
      </c>
      <c r="D889" s="3">
        <f t="shared" ref="D889" si="590">SUM(E889:J889)</f>
        <v>0</v>
      </c>
      <c r="E889" s="5">
        <v>0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  <c r="K889" s="4">
        <v>0</v>
      </c>
      <c r="L889" s="3">
        <v>0</v>
      </c>
      <c r="M889" s="3">
        <v>850</v>
      </c>
      <c r="N889" s="3">
        <f>M889*3686</f>
        <v>3133100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</row>
    <row r="890" spans="1:22" ht="24.9" customHeight="1">
      <c r="A890" s="37" t="s">
        <v>902</v>
      </c>
      <c r="B890" s="22" t="s">
        <v>261</v>
      </c>
      <c r="C890" s="2">
        <f t="shared" si="499"/>
        <v>11380733.199999999</v>
      </c>
      <c r="D890" s="3">
        <f t="shared" ref="D890" si="591">SUM(E890:J890)</f>
        <v>3535350</v>
      </c>
      <c r="E890" s="3">
        <f>350*1813</f>
        <v>634550</v>
      </c>
      <c r="F890" s="3">
        <f>1050*1813</f>
        <v>1903650</v>
      </c>
      <c r="G890" s="3">
        <f>300*1813</f>
        <v>543900</v>
      </c>
      <c r="H890" s="3">
        <f t="shared" ref="H890:H895" si="592">400*0</f>
        <v>0</v>
      </c>
      <c r="I890" s="3">
        <f>250*1813</f>
        <v>453250</v>
      </c>
      <c r="J890" s="3">
        <f t="shared" ref="J890" si="593">350*0</f>
        <v>0</v>
      </c>
      <c r="K890" s="4">
        <v>0</v>
      </c>
      <c r="L890" s="3">
        <v>0</v>
      </c>
      <c r="M890" s="3">
        <v>866.2</v>
      </c>
      <c r="N890" s="3">
        <f t="shared" ref="N890" si="594">M890*3686</f>
        <v>3192813.2</v>
      </c>
      <c r="O890" s="3">
        <v>26.3</v>
      </c>
      <c r="P890" s="3">
        <v>76270</v>
      </c>
      <c r="Q890" s="3">
        <v>1442.1</v>
      </c>
      <c r="R890" s="3">
        <f t="shared" si="578"/>
        <v>4326300</v>
      </c>
      <c r="S890" s="3">
        <v>250000</v>
      </c>
      <c r="T890" s="3">
        <v>0</v>
      </c>
      <c r="U890" s="3">
        <v>0</v>
      </c>
      <c r="V890" s="6">
        <f t="shared" si="579"/>
        <v>3686</v>
      </c>
    </row>
    <row r="891" spans="1:22" ht="21.9" customHeight="1">
      <c r="A891" s="37" t="s">
        <v>903</v>
      </c>
      <c r="B891" s="22" t="s">
        <v>262</v>
      </c>
      <c r="C891" s="2">
        <f t="shared" si="499"/>
        <v>9500334.7599999998</v>
      </c>
      <c r="D891" s="3">
        <f t="shared" si="577"/>
        <v>3103620</v>
      </c>
      <c r="E891" s="3">
        <f>350*1591.6</f>
        <v>557060</v>
      </c>
      <c r="F891" s="3">
        <f>1050*1591.6</f>
        <v>1671180</v>
      </c>
      <c r="G891" s="3">
        <f>300*1591.6</f>
        <v>477480</v>
      </c>
      <c r="H891" s="3">
        <f t="shared" si="592"/>
        <v>0</v>
      </c>
      <c r="I891" s="3">
        <f>250*1591.6</f>
        <v>397900</v>
      </c>
      <c r="J891" s="3">
        <f>350*0</f>
        <v>0</v>
      </c>
      <c r="K891" s="4">
        <v>0</v>
      </c>
      <c r="L891" s="3">
        <v>0</v>
      </c>
      <c r="M891" s="3">
        <v>682.66</v>
      </c>
      <c r="N891" s="3">
        <f t="shared" ref="N891:N892" si="595">M891*3686</f>
        <v>2516284.7599999998</v>
      </c>
      <c r="O891" s="3">
        <v>52.7</v>
      </c>
      <c r="P891" s="3">
        <v>152830</v>
      </c>
      <c r="Q891" s="3">
        <v>1209.2</v>
      </c>
      <c r="R891" s="3">
        <f t="shared" si="578"/>
        <v>3627600</v>
      </c>
      <c r="S891" s="3">
        <v>0</v>
      </c>
      <c r="T891" s="3">
        <v>0</v>
      </c>
      <c r="U891" s="3">
        <v>100000</v>
      </c>
      <c r="V891" s="6">
        <f t="shared" si="579"/>
        <v>3686</v>
      </c>
    </row>
    <row r="892" spans="1:22" ht="21.9" customHeight="1">
      <c r="A892" s="37" t="s">
        <v>904</v>
      </c>
      <c r="B892" s="22" t="s">
        <v>263</v>
      </c>
      <c r="C892" s="2">
        <f t="shared" si="499"/>
        <v>9736161.5</v>
      </c>
      <c r="D892" s="3">
        <f t="shared" si="577"/>
        <v>3135210</v>
      </c>
      <c r="E892" s="3">
        <f>350*1607.8</f>
        <v>562730</v>
      </c>
      <c r="F892" s="3">
        <f>1050*1607.8</f>
        <v>1688190</v>
      </c>
      <c r="G892" s="3">
        <f>300*1607.8</f>
        <v>482340</v>
      </c>
      <c r="H892" s="3">
        <f t="shared" si="592"/>
        <v>0</v>
      </c>
      <c r="I892" s="3">
        <f>250*1607.8</f>
        <v>401950</v>
      </c>
      <c r="J892" s="3">
        <f t="shared" ref="J892:J895" si="596">350*0</f>
        <v>0</v>
      </c>
      <c r="K892" s="4">
        <v>0</v>
      </c>
      <c r="L892" s="3">
        <v>0</v>
      </c>
      <c r="M892" s="3">
        <v>745.25</v>
      </c>
      <c r="N892" s="3">
        <f t="shared" si="595"/>
        <v>2746991.5</v>
      </c>
      <c r="O892" s="3">
        <v>53.4</v>
      </c>
      <c r="P892" s="3">
        <v>154860</v>
      </c>
      <c r="Q892" s="3">
        <v>1199.7</v>
      </c>
      <c r="R892" s="3">
        <f t="shared" si="578"/>
        <v>3599100</v>
      </c>
      <c r="S892" s="3">
        <v>0</v>
      </c>
      <c r="T892" s="3">
        <v>0</v>
      </c>
      <c r="U892" s="3">
        <v>100000</v>
      </c>
      <c r="V892" s="6">
        <f t="shared" si="579"/>
        <v>3686</v>
      </c>
    </row>
    <row r="893" spans="1:22" ht="21.9" customHeight="1">
      <c r="A893" s="37" t="s">
        <v>905</v>
      </c>
      <c r="B893" s="22" t="s">
        <v>264</v>
      </c>
      <c r="C893" s="2">
        <f t="shared" si="499"/>
        <v>6146780</v>
      </c>
      <c r="D893" s="3">
        <f t="shared" si="577"/>
        <v>1319370</v>
      </c>
      <c r="E893" s="3">
        <f>350*676.6</f>
        <v>236810</v>
      </c>
      <c r="F893" s="3">
        <f>1050*676.6</f>
        <v>710430</v>
      </c>
      <c r="G893" s="3">
        <f>300*676.6</f>
        <v>202980</v>
      </c>
      <c r="H893" s="3">
        <f t="shared" si="592"/>
        <v>0</v>
      </c>
      <c r="I893" s="3">
        <f>250*676.6</f>
        <v>169150</v>
      </c>
      <c r="J893" s="3">
        <f t="shared" si="596"/>
        <v>0</v>
      </c>
      <c r="K893" s="4">
        <v>0</v>
      </c>
      <c r="L893" s="3">
        <v>0</v>
      </c>
      <c r="M893" s="3">
        <v>562.9</v>
      </c>
      <c r="N893" s="3">
        <f t="shared" ref="N893:N894" si="597">M893*5500</f>
        <v>3095950</v>
      </c>
      <c r="O893" s="3">
        <v>0</v>
      </c>
      <c r="P893" s="3">
        <v>0</v>
      </c>
      <c r="Q893" s="3">
        <v>543.82000000000005</v>
      </c>
      <c r="R893" s="3">
        <f t="shared" si="578"/>
        <v>1631460.0000000002</v>
      </c>
      <c r="S893" s="3">
        <v>0</v>
      </c>
      <c r="T893" s="3">
        <v>0</v>
      </c>
      <c r="U893" s="3">
        <v>100000</v>
      </c>
      <c r="V893" s="6">
        <f t="shared" si="579"/>
        <v>5500</v>
      </c>
    </row>
    <row r="894" spans="1:22" ht="21.9" customHeight="1">
      <c r="A894" s="37" t="s">
        <v>906</v>
      </c>
      <c r="B894" s="22" t="s">
        <v>265</v>
      </c>
      <c r="C894" s="2">
        <f t="shared" si="499"/>
        <v>6168335</v>
      </c>
      <c r="D894" s="3">
        <f t="shared" si="577"/>
        <v>1303770</v>
      </c>
      <c r="E894" s="3">
        <f>350*668.6</f>
        <v>234010</v>
      </c>
      <c r="F894" s="3">
        <f>1050*668.6</f>
        <v>702030</v>
      </c>
      <c r="G894" s="3">
        <f>300*668.6</f>
        <v>200580</v>
      </c>
      <c r="H894" s="3">
        <f t="shared" si="592"/>
        <v>0</v>
      </c>
      <c r="I894" s="3">
        <f>250*668.6</f>
        <v>167150</v>
      </c>
      <c r="J894" s="3">
        <f t="shared" si="596"/>
        <v>0</v>
      </c>
      <c r="K894" s="4">
        <v>0</v>
      </c>
      <c r="L894" s="3">
        <v>0</v>
      </c>
      <c r="M894" s="3">
        <v>507.91</v>
      </c>
      <c r="N894" s="3">
        <f t="shared" si="597"/>
        <v>2793505</v>
      </c>
      <c r="O894" s="3">
        <v>0</v>
      </c>
      <c r="P894" s="3">
        <v>0</v>
      </c>
      <c r="Q894" s="3">
        <v>657.02</v>
      </c>
      <c r="R894" s="3">
        <f t="shared" si="578"/>
        <v>1971060</v>
      </c>
      <c r="S894" s="3">
        <v>0</v>
      </c>
      <c r="T894" s="3">
        <v>0</v>
      </c>
      <c r="U894" s="3">
        <v>100000</v>
      </c>
      <c r="V894" s="6">
        <f t="shared" si="579"/>
        <v>5500</v>
      </c>
    </row>
    <row r="895" spans="1:22" ht="21.9" customHeight="1">
      <c r="A895" s="37" t="s">
        <v>907</v>
      </c>
      <c r="B895" s="22" t="s">
        <v>266</v>
      </c>
      <c r="C895" s="2">
        <f t="shared" si="499"/>
        <v>1848955</v>
      </c>
      <c r="D895" s="3">
        <f t="shared" si="577"/>
        <v>636675</v>
      </c>
      <c r="E895" s="3">
        <f>350*326.5</f>
        <v>114275</v>
      </c>
      <c r="F895" s="3">
        <f>1050*326.5</f>
        <v>342825</v>
      </c>
      <c r="G895" s="3">
        <f>300*326.5</f>
        <v>97950</v>
      </c>
      <c r="H895" s="3">
        <f t="shared" si="592"/>
        <v>0</v>
      </c>
      <c r="I895" s="3">
        <f>250*326.5</f>
        <v>81625</v>
      </c>
      <c r="J895" s="3">
        <f t="shared" si="596"/>
        <v>0</v>
      </c>
      <c r="K895" s="4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370.76</v>
      </c>
      <c r="R895" s="3">
        <f t="shared" si="578"/>
        <v>1112280</v>
      </c>
      <c r="S895" s="3">
        <v>0</v>
      </c>
      <c r="T895" s="3">
        <v>0</v>
      </c>
      <c r="U895" s="3">
        <v>100000</v>
      </c>
      <c r="V895" s="6" t="e">
        <f t="shared" si="579"/>
        <v>#DIV/0!</v>
      </c>
    </row>
    <row r="896" spans="1:22" ht="45" customHeight="1">
      <c r="A896" s="53" t="s">
        <v>270</v>
      </c>
      <c r="B896" s="53"/>
      <c r="C896" s="2">
        <f>SUM(C897:C898)</f>
        <v>7971620</v>
      </c>
      <c r="D896" s="2">
        <f t="shared" ref="D896:U896" si="598">SUM(D897:D898)</f>
        <v>838020</v>
      </c>
      <c r="E896" s="2">
        <f t="shared" si="598"/>
        <v>287490</v>
      </c>
      <c r="F896" s="2">
        <f t="shared" si="598"/>
        <v>428190</v>
      </c>
      <c r="G896" s="2">
        <f t="shared" si="598"/>
        <v>122340</v>
      </c>
      <c r="H896" s="2">
        <f t="shared" si="598"/>
        <v>0</v>
      </c>
      <c r="I896" s="2">
        <f t="shared" si="598"/>
        <v>0</v>
      </c>
      <c r="J896" s="2">
        <f t="shared" si="598"/>
        <v>0</v>
      </c>
      <c r="K896" s="14">
        <f t="shared" si="598"/>
        <v>0</v>
      </c>
      <c r="L896" s="2">
        <f t="shared" si="598"/>
        <v>0</v>
      </c>
      <c r="M896" s="2">
        <f t="shared" si="598"/>
        <v>864</v>
      </c>
      <c r="N896" s="2">
        <f t="shared" si="598"/>
        <v>4752000</v>
      </c>
      <c r="O896" s="2">
        <f t="shared" si="598"/>
        <v>0</v>
      </c>
      <c r="P896" s="2">
        <f t="shared" si="598"/>
        <v>0</v>
      </c>
      <c r="Q896" s="2">
        <f t="shared" si="598"/>
        <v>727.2</v>
      </c>
      <c r="R896" s="2">
        <f t="shared" si="598"/>
        <v>2181600</v>
      </c>
      <c r="S896" s="2">
        <f t="shared" si="598"/>
        <v>0</v>
      </c>
      <c r="T896" s="2">
        <f t="shared" si="598"/>
        <v>0</v>
      </c>
      <c r="U896" s="2">
        <f t="shared" si="598"/>
        <v>200000</v>
      </c>
      <c r="V896" s="18">
        <f>C896</f>
        <v>7971620</v>
      </c>
    </row>
    <row r="897" spans="1:258" ht="21.9" customHeight="1">
      <c r="A897" s="37" t="s">
        <v>908</v>
      </c>
      <c r="B897" s="22" t="s">
        <v>271</v>
      </c>
      <c r="C897" s="2">
        <f t="shared" si="499"/>
        <v>4260060</v>
      </c>
      <c r="D897" s="3">
        <f t="shared" ref="D897:D898" si="599">SUM(E897:J897)</f>
        <v>693260</v>
      </c>
      <c r="E897" s="3">
        <f>350*407.8</f>
        <v>142730</v>
      </c>
      <c r="F897" s="3">
        <f>1050*407.8</f>
        <v>428190</v>
      </c>
      <c r="G897" s="3">
        <f>300*407.8</f>
        <v>122340</v>
      </c>
      <c r="H897" s="3">
        <f>400*0</f>
        <v>0</v>
      </c>
      <c r="I897" s="3">
        <f>250*0</f>
        <v>0</v>
      </c>
      <c r="J897" s="3">
        <f t="shared" ref="J897:J898" si="600">350*0</f>
        <v>0</v>
      </c>
      <c r="K897" s="4">
        <v>0</v>
      </c>
      <c r="L897" s="3">
        <v>0</v>
      </c>
      <c r="M897" s="3">
        <v>432</v>
      </c>
      <c r="N897" s="3">
        <f t="shared" ref="N897:N898" si="601">M897*5500</f>
        <v>2376000</v>
      </c>
      <c r="O897" s="3">
        <v>0</v>
      </c>
      <c r="P897" s="3">
        <v>0</v>
      </c>
      <c r="Q897" s="3">
        <v>363.6</v>
      </c>
      <c r="R897" s="3">
        <f t="shared" ref="R897:R898" si="602">Q897*3000</f>
        <v>1090800</v>
      </c>
      <c r="S897" s="3">
        <v>0</v>
      </c>
      <c r="T897" s="3">
        <v>0</v>
      </c>
      <c r="U897" s="3">
        <v>100000</v>
      </c>
      <c r="V897" s="6">
        <f t="shared" ref="V897:V898" si="603">N897/M897</f>
        <v>5500</v>
      </c>
    </row>
    <row r="898" spans="1:258" ht="21.9" customHeight="1">
      <c r="A898" s="37" t="s">
        <v>1286</v>
      </c>
      <c r="B898" s="22" t="s">
        <v>1225</v>
      </c>
      <c r="C898" s="2">
        <f t="shared" si="499"/>
        <v>3711560</v>
      </c>
      <c r="D898" s="3">
        <f t="shared" si="599"/>
        <v>144760</v>
      </c>
      <c r="E898" s="3">
        <f>350*413.6</f>
        <v>144760</v>
      </c>
      <c r="F898" s="3">
        <f>1050*0</f>
        <v>0</v>
      </c>
      <c r="G898" s="3">
        <f>300*0</f>
        <v>0</v>
      </c>
      <c r="H898" s="3">
        <f>400*0</f>
        <v>0</v>
      </c>
      <c r="I898" s="3">
        <f>250*0</f>
        <v>0</v>
      </c>
      <c r="J898" s="3">
        <f t="shared" si="600"/>
        <v>0</v>
      </c>
      <c r="K898" s="4">
        <v>0</v>
      </c>
      <c r="L898" s="3">
        <v>0</v>
      </c>
      <c r="M898" s="3">
        <v>432</v>
      </c>
      <c r="N898" s="3">
        <f t="shared" si="601"/>
        <v>2376000</v>
      </c>
      <c r="O898" s="3">
        <v>0</v>
      </c>
      <c r="P898" s="3">
        <v>0</v>
      </c>
      <c r="Q898" s="3">
        <v>363.6</v>
      </c>
      <c r="R898" s="3">
        <f t="shared" si="602"/>
        <v>1090800</v>
      </c>
      <c r="S898" s="3">
        <v>0</v>
      </c>
      <c r="T898" s="3">
        <v>0</v>
      </c>
      <c r="U898" s="3">
        <v>100000</v>
      </c>
      <c r="V898" s="6">
        <f t="shared" si="603"/>
        <v>5500</v>
      </c>
    </row>
    <row r="899" spans="1:258" ht="45" customHeight="1">
      <c r="A899" s="53" t="s">
        <v>277</v>
      </c>
      <c r="B899" s="53"/>
      <c r="C899" s="2">
        <f>SUM(C900:C901)</f>
        <v>7485000</v>
      </c>
      <c r="D899" s="2">
        <f t="shared" ref="D899:U899" si="604">SUM(D900:D901)</f>
        <v>351400</v>
      </c>
      <c r="E899" s="2">
        <f t="shared" si="604"/>
        <v>351400</v>
      </c>
      <c r="F899" s="2">
        <f t="shared" si="604"/>
        <v>0</v>
      </c>
      <c r="G899" s="2">
        <f t="shared" si="604"/>
        <v>0</v>
      </c>
      <c r="H899" s="2">
        <f t="shared" si="604"/>
        <v>0</v>
      </c>
      <c r="I899" s="2">
        <f t="shared" si="604"/>
        <v>0</v>
      </c>
      <c r="J899" s="2">
        <f t="shared" si="604"/>
        <v>0</v>
      </c>
      <c r="K899" s="14">
        <f t="shared" si="604"/>
        <v>0</v>
      </c>
      <c r="L899" s="2">
        <f t="shared" si="604"/>
        <v>0</v>
      </c>
      <c r="M899" s="2">
        <f t="shared" si="604"/>
        <v>864</v>
      </c>
      <c r="N899" s="2">
        <f t="shared" si="604"/>
        <v>4752000</v>
      </c>
      <c r="O899" s="2">
        <f t="shared" si="604"/>
        <v>0</v>
      </c>
      <c r="P899" s="2">
        <f t="shared" si="604"/>
        <v>0</v>
      </c>
      <c r="Q899" s="2">
        <f t="shared" si="604"/>
        <v>727.2</v>
      </c>
      <c r="R899" s="2">
        <f t="shared" si="604"/>
        <v>2181600</v>
      </c>
      <c r="S899" s="2">
        <f t="shared" si="604"/>
        <v>0</v>
      </c>
      <c r="T899" s="2">
        <f t="shared" si="604"/>
        <v>0</v>
      </c>
      <c r="U899" s="2">
        <f t="shared" si="604"/>
        <v>200000</v>
      </c>
      <c r="V899" s="18">
        <f>C899</f>
        <v>7485000</v>
      </c>
    </row>
    <row r="900" spans="1:258" ht="21.9" customHeight="1">
      <c r="A900" s="37" t="s">
        <v>909</v>
      </c>
      <c r="B900" s="22" t="s">
        <v>278</v>
      </c>
      <c r="C900" s="2">
        <f t="shared" si="499"/>
        <v>3742500</v>
      </c>
      <c r="D900" s="3">
        <f t="shared" ref="D900:D901" si="605">SUM(E900:J900)</f>
        <v>175700</v>
      </c>
      <c r="E900" s="3">
        <f>350*502</f>
        <v>175700</v>
      </c>
      <c r="F900" s="3">
        <f>1050*0</f>
        <v>0</v>
      </c>
      <c r="G900" s="3">
        <f>300*0</f>
        <v>0</v>
      </c>
      <c r="H900" s="3">
        <f>400*0</f>
        <v>0</v>
      </c>
      <c r="I900" s="3">
        <f>250*0</f>
        <v>0</v>
      </c>
      <c r="J900" s="3">
        <v>0</v>
      </c>
      <c r="K900" s="4">
        <v>0</v>
      </c>
      <c r="L900" s="3">
        <v>0</v>
      </c>
      <c r="M900" s="3">
        <v>432</v>
      </c>
      <c r="N900" s="3">
        <f t="shared" ref="N900:N901" si="606">M900*5500</f>
        <v>2376000</v>
      </c>
      <c r="O900" s="3">
        <v>0</v>
      </c>
      <c r="P900" s="3">
        <v>0</v>
      </c>
      <c r="Q900" s="3">
        <v>363.6</v>
      </c>
      <c r="R900" s="3">
        <f t="shared" ref="R900:R901" si="607">Q900*3000</f>
        <v>1090800</v>
      </c>
      <c r="S900" s="3">
        <v>0</v>
      </c>
      <c r="T900" s="3">
        <v>0</v>
      </c>
      <c r="U900" s="3">
        <v>100000</v>
      </c>
      <c r="V900" s="6">
        <f t="shared" ref="V900:V901" si="608">N900/M900</f>
        <v>5500</v>
      </c>
    </row>
    <row r="901" spans="1:258" ht="21.9" customHeight="1">
      <c r="A901" s="37" t="s">
        <v>910</v>
      </c>
      <c r="B901" s="22" t="s">
        <v>279</v>
      </c>
      <c r="C901" s="2">
        <f t="shared" si="499"/>
        <v>3742500</v>
      </c>
      <c r="D901" s="3">
        <f t="shared" si="605"/>
        <v>175700</v>
      </c>
      <c r="E901" s="3">
        <f>350*502</f>
        <v>175700</v>
      </c>
      <c r="F901" s="3">
        <f>1050*0</f>
        <v>0</v>
      </c>
      <c r="G901" s="3">
        <f>300*0</f>
        <v>0</v>
      </c>
      <c r="H901" s="3">
        <f>400*0</f>
        <v>0</v>
      </c>
      <c r="I901" s="3">
        <f>250*0</f>
        <v>0</v>
      </c>
      <c r="J901" s="3">
        <v>0</v>
      </c>
      <c r="K901" s="4">
        <v>0</v>
      </c>
      <c r="L901" s="3">
        <v>0</v>
      </c>
      <c r="M901" s="3">
        <v>432</v>
      </c>
      <c r="N901" s="3">
        <f t="shared" si="606"/>
        <v>2376000</v>
      </c>
      <c r="O901" s="3">
        <v>0</v>
      </c>
      <c r="P901" s="3">
        <v>0</v>
      </c>
      <c r="Q901" s="3">
        <v>363.6</v>
      </c>
      <c r="R901" s="3">
        <f t="shared" si="607"/>
        <v>1090800</v>
      </c>
      <c r="S901" s="3">
        <v>0</v>
      </c>
      <c r="T901" s="3">
        <v>0</v>
      </c>
      <c r="U901" s="3">
        <v>100000</v>
      </c>
      <c r="V901" s="6">
        <f t="shared" si="608"/>
        <v>5500</v>
      </c>
    </row>
    <row r="902" spans="1:258" ht="45" customHeight="1">
      <c r="A902" s="53" t="s">
        <v>378</v>
      </c>
      <c r="B902" s="53"/>
      <c r="C902" s="2">
        <f>SUM(C903:C1100)</f>
        <v>805631572.79999995</v>
      </c>
      <c r="D902" s="2">
        <f t="shared" ref="D902:U902" si="609">SUM(D903:D1100)</f>
        <v>180035570</v>
      </c>
      <c r="E902" s="2">
        <f t="shared" si="609"/>
        <v>26960542</v>
      </c>
      <c r="F902" s="2">
        <f t="shared" si="609"/>
        <v>80654476</v>
      </c>
      <c r="G902" s="2">
        <f t="shared" si="609"/>
        <v>23109036</v>
      </c>
      <c r="H902" s="2">
        <f t="shared" si="609"/>
        <v>29917696</v>
      </c>
      <c r="I902" s="2">
        <f t="shared" si="609"/>
        <v>19393820</v>
      </c>
      <c r="J902" s="2">
        <f t="shared" si="609"/>
        <v>0</v>
      </c>
      <c r="K902" s="14">
        <f t="shared" si="609"/>
        <v>4</v>
      </c>
      <c r="L902" s="2">
        <f t="shared" si="609"/>
        <v>8600000</v>
      </c>
      <c r="M902" s="2">
        <f t="shared" si="609"/>
        <v>95027.77</v>
      </c>
      <c r="N902" s="2">
        <f t="shared" si="609"/>
        <v>508717202.80000001</v>
      </c>
      <c r="O902" s="2">
        <f t="shared" si="609"/>
        <v>438</v>
      </c>
      <c r="P902" s="2">
        <f t="shared" si="609"/>
        <v>525600</v>
      </c>
      <c r="Q902" s="2">
        <f t="shared" si="609"/>
        <v>33760.400000000001</v>
      </c>
      <c r="R902" s="2">
        <f t="shared" si="609"/>
        <v>101281200</v>
      </c>
      <c r="S902" s="2">
        <f t="shared" si="609"/>
        <v>472000</v>
      </c>
      <c r="T902" s="2">
        <f t="shared" si="609"/>
        <v>0</v>
      </c>
      <c r="U902" s="2">
        <f t="shared" si="609"/>
        <v>6000000</v>
      </c>
    </row>
    <row r="903" spans="1:258" ht="21.9" customHeight="1">
      <c r="A903" s="37" t="s">
        <v>911</v>
      </c>
      <c r="B903" s="8" t="s">
        <v>758</v>
      </c>
      <c r="C903" s="2">
        <f t="shared" si="499"/>
        <v>2695000</v>
      </c>
      <c r="D903" s="3">
        <f t="shared" ref="D903:D977" si="610">SUM(E903:J903)</f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11">
        <v>0</v>
      </c>
      <c r="L903" s="5">
        <v>0</v>
      </c>
      <c r="M903" s="5">
        <v>490</v>
      </c>
      <c r="N903" s="3">
        <f t="shared" ref="N903" si="611">M903*5500</f>
        <v>2695000</v>
      </c>
      <c r="O903" s="5">
        <v>0</v>
      </c>
      <c r="P903" s="5">
        <v>0</v>
      </c>
      <c r="Q903" s="5">
        <v>0</v>
      </c>
      <c r="R903" s="3">
        <f t="shared" ref="R903:R974" si="612">Q903*3000</f>
        <v>0</v>
      </c>
      <c r="S903" s="5">
        <v>0</v>
      </c>
      <c r="T903" s="5">
        <v>0</v>
      </c>
      <c r="U903" s="5">
        <v>0</v>
      </c>
      <c r="V903" s="6">
        <f t="shared" ref="V903:V974" si="613">N903/M903</f>
        <v>5500</v>
      </c>
    </row>
    <row r="904" spans="1:258" ht="21.9" customHeight="1">
      <c r="A904" s="37" t="s">
        <v>912</v>
      </c>
      <c r="B904" s="8" t="s">
        <v>1025</v>
      </c>
      <c r="C904" s="2">
        <f t="shared" si="499"/>
        <v>1740000</v>
      </c>
      <c r="D904" s="3">
        <f t="shared" si="610"/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11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580</v>
      </c>
      <c r="R904" s="3">
        <f t="shared" si="612"/>
        <v>1740000</v>
      </c>
      <c r="S904" s="5">
        <v>0</v>
      </c>
      <c r="T904" s="5">
        <v>0</v>
      </c>
      <c r="U904" s="5">
        <v>0</v>
      </c>
      <c r="V904" s="6" t="e">
        <f t="shared" si="613"/>
        <v>#DIV/0!</v>
      </c>
    </row>
    <row r="905" spans="1:258" ht="21.9" customHeight="1">
      <c r="A905" s="37" t="s">
        <v>913</v>
      </c>
      <c r="B905" s="23" t="s">
        <v>759</v>
      </c>
      <c r="C905" s="2">
        <f t="shared" si="499"/>
        <v>1417350</v>
      </c>
      <c r="D905" s="3">
        <f t="shared" si="610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4">
        <v>0</v>
      </c>
      <c r="L905" s="3">
        <v>0</v>
      </c>
      <c r="M905" s="3">
        <v>257.7</v>
      </c>
      <c r="N905" s="3">
        <f t="shared" ref="N905:N910" si="614">M905*5500</f>
        <v>1417350</v>
      </c>
      <c r="O905" s="3">
        <v>0</v>
      </c>
      <c r="P905" s="3">
        <v>0</v>
      </c>
      <c r="Q905" s="3">
        <v>0</v>
      </c>
      <c r="R905" s="3">
        <f t="shared" si="612"/>
        <v>0</v>
      </c>
      <c r="S905" s="3">
        <v>0</v>
      </c>
      <c r="T905" s="3">
        <v>0</v>
      </c>
      <c r="U905" s="3">
        <v>0</v>
      </c>
      <c r="V905" s="6">
        <f t="shared" si="613"/>
        <v>5500</v>
      </c>
    </row>
    <row r="906" spans="1:258" ht="21.9" customHeight="1">
      <c r="A906" s="37" t="s">
        <v>914</v>
      </c>
      <c r="B906" s="23" t="s">
        <v>760</v>
      </c>
      <c r="C906" s="2">
        <f t="shared" ref="C906:C979" si="615">D906+L906+N906+P906+R906+S906+T906+U906</f>
        <v>2319900</v>
      </c>
      <c r="D906" s="3">
        <f t="shared" si="610"/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4">
        <v>0</v>
      </c>
      <c r="L906" s="3">
        <v>0</v>
      </c>
      <c r="M906" s="3">
        <v>421.8</v>
      </c>
      <c r="N906" s="3">
        <f t="shared" si="614"/>
        <v>2319900</v>
      </c>
      <c r="O906" s="3">
        <v>0</v>
      </c>
      <c r="P906" s="3">
        <v>0</v>
      </c>
      <c r="Q906" s="3">
        <v>0</v>
      </c>
      <c r="R906" s="3">
        <f t="shared" si="612"/>
        <v>0</v>
      </c>
      <c r="S906" s="3">
        <v>0</v>
      </c>
      <c r="T906" s="3">
        <v>0</v>
      </c>
      <c r="U906" s="3">
        <v>0</v>
      </c>
      <c r="V906" s="6">
        <f t="shared" si="613"/>
        <v>5500</v>
      </c>
    </row>
    <row r="907" spans="1:258" ht="21.9" customHeight="1">
      <c r="A907" s="37" t="s">
        <v>915</v>
      </c>
      <c r="B907" s="23" t="s">
        <v>761</v>
      </c>
      <c r="C907" s="2">
        <f t="shared" si="615"/>
        <v>1399750</v>
      </c>
      <c r="D907" s="3">
        <f t="shared" si="610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4">
        <v>0</v>
      </c>
      <c r="L907" s="3">
        <v>0</v>
      </c>
      <c r="M907" s="3">
        <v>254.5</v>
      </c>
      <c r="N907" s="3">
        <f t="shared" si="614"/>
        <v>1399750</v>
      </c>
      <c r="O907" s="3">
        <v>0</v>
      </c>
      <c r="P907" s="3">
        <v>0</v>
      </c>
      <c r="Q907" s="3">
        <v>0</v>
      </c>
      <c r="R907" s="3">
        <f t="shared" si="612"/>
        <v>0</v>
      </c>
      <c r="S907" s="3">
        <v>0</v>
      </c>
      <c r="T907" s="3">
        <v>0</v>
      </c>
      <c r="U907" s="3">
        <v>0</v>
      </c>
      <c r="V907" s="6">
        <f t="shared" si="613"/>
        <v>5500</v>
      </c>
    </row>
    <row r="908" spans="1:258" s="27" customFormat="1" ht="21.9" customHeight="1">
      <c r="A908" s="37" t="s">
        <v>916</v>
      </c>
      <c r="B908" s="8" t="s">
        <v>762</v>
      </c>
      <c r="C908" s="2">
        <f t="shared" si="615"/>
        <v>2747250</v>
      </c>
      <c r="D908" s="3">
        <f t="shared" si="610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499.5</v>
      </c>
      <c r="N908" s="3">
        <f t="shared" si="614"/>
        <v>2747250</v>
      </c>
      <c r="O908" s="3">
        <v>0</v>
      </c>
      <c r="P908" s="3">
        <v>0</v>
      </c>
      <c r="Q908" s="3">
        <v>0</v>
      </c>
      <c r="R908" s="3">
        <f t="shared" si="612"/>
        <v>0</v>
      </c>
      <c r="S908" s="3">
        <v>0</v>
      </c>
      <c r="T908" s="3">
        <v>0</v>
      </c>
      <c r="U908" s="3">
        <v>0</v>
      </c>
      <c r="V908" s="6">
        <f t="shared" si="613"/>
        <v>5500</v>
      </c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7"/>
      <c r="DZ908" s="7"/>
      <c r="EA908" s="7"/>
      <c r="EB908" s="7"/>
      <c r="EC908" s="7"/>
      <c r="ED908" s="7"/>
      <c r="EE908" s="7"/>
      <c r="EF908" s="7"/>
      <c r="EG908" s="7"/>
      <c r="EH908" s="7"/>
      <c r="EI908" s="7"/>
      <c r="EJ908" s="7"/>
      <c r="EK908" s="7"/>
      <c r="EL908" s="7"/>
      <c r="EM908" s="7"/>
      <c r="EN908" s="7"/>
      <c r="EO908" s="7"/>
      <c r="EP908" s="7"/>
      <c r="EQ908" s="7"/>
      <c r="ER908" s="7"/>
      <c r="ES908" s="7"/>
      <c r="ET908" s="7"/>
      <c r="EU908" s="7"/>
      <c r="EV908" s="7"/>
      <c r="EW908" s="7"/>
      <c r="EX908" s="7"/>
      <c r="EY908" s="7"/>
      <c r="EZ908" s="7"/>
      <c r="FA908" s="7"/>
      <c r="FB908" s="7"/>
      <c r="FC908" s="7"/>
      <c r="FD908" s="7"/>
      <c r="FE908" s="7"/>
      <c r="FF908" s="7"/>
      <c r="FG908" s="7"/>
      <c r="FH908" s="7"/>
      <c r="FI908" s="7"/>
      <c r="FJ908" s="7"/>
      <c r="FK908" s="7"/>
      <c r="FL908" s="7"/>
      <c r="FM908" s="7"/>
      <c r="FN908" s="7"/>
      <c r="FO908" s="7"/>
      <c r="FP908" s="7"/>
      <c r="FQ908" s="7"/>
      <c r="FR908" s="7"/>
      <c r="FS908" s="7"/>
      <c r="FT908" s="7"/>
      <c r="FU908" s="7"/>
      <c r="FV908" s="7"/>
      <c r="FW908" s="7"/>
      <c r="FX908" s="7"/>
      <c r="FY908" s="7"/>
      <c r="FZ908" s="7"/>
      <c r="GA908" s="7"/>
      <c r="GB908" s="7"/>
      <c r="GC908" s="7"/>
      <c r="GD908" s="7"/>
      <c r="GE908" s="7"/>
      <c r="GF908" s="7"/>
      <c r="GG908" s="7"/>
      <c r="GH908" s="7"/>
      <c r="GI908" s="7"/>
      <c r="GJ908" s="7"/>
      <c r="GK908" s="7"/>
      <c r="GL908" s="7"/>
      <c r="GM908" s="7"/>
      <c r="GN908" s="7"/>
      <c r="GO908" s="7"/>
      <c r="GP908" s="7"/>
      <c r="GQ908" s="7"/>
      <c r="GR908" s="7"/>
      <c r="GS908" s="7"/>
      <c r="GT908" s="7"/>
      <c r="GU908" s="7"/>
      <c r="GV908" s="7"/>
      <c r="GW908" s="7"/>
      <c r="GX908" s="7"/>
      <c r="GY908" s="7"/>
      <c r="GZ908" s="7"/>
      <c r="HA908" s="7"/>
      <c r="HB908" s="7"/>
      <c r="HC908" s="7"/>
      <c r="HD908" s="7"/>
      <c r="HE908" s="7"/>
      <c r="HF908" s="7"/>
      <c r="HG908" s="7"/>
      <c r="HH908" s="7"/>
      <c r="HI908" s="7"/>
      <c r="HJ908" s="7"/>
      <c r="HK908" s="7"/>
      <c r="HL908" s="7"/>
      <c r="HM908" s="7"/>
      <c r="HN908" s="7"/>
      <c r="HO908" s="7"/>
      <c r="HP908" s="7"/>
      <c r="HQ908" s="7"/>
      <c r="HR908" s="7"/>
      <c r="HS908" s="7"/>
      <c r="HT908" s="7"/>
      <c r="HU908" s="7"/>
      <c r="HV908" s="7"/>
      <c r="HW908" s="7"/>
      <c r="HX908" s="7"/>
      <c r="HY908" s="7"/>
      <c r="HZ908" s="7"/>
      <c r="IA908" s="7"/>
      <c r="IB908" s="7"/>
      <c r="IC908" s="7"/>
      <c r="ID908" s="7"/>
      <c r="IE908" s="7"/>
      <c r="IF908" s="7"/>
      <c r="IG908" s="7"/>
      <c r="IH908" s="7"/>
      <c r="II908" s="7"/>
      <c r="IJ908" s="7"/>
      <c r="IK908" s="7"/>
      <c r="IL908" s="7"/>
      <c r="IM908" s="7"/>
      <c r="IN908" s="7"/>
      <c r="IO908" s="7"/>
      <c r="IP908" s="7"/>
      <c r="IQ908" s="7"/>
      <c r="IR908" s="7"/>
      <c r="IS908" s="7"/>
      <c r="IT908" s="7"/>
      <c r="IU908" s="7"/>
      <c r="IV908" s="7"/>
      <c r="IW908" s="7"/>
      <c r="IX908" s="7"/>
    </row>
    <row r="909" spans="1:258" ht="21.9" customHeight="1">
      <c r="A909" s="37" t="s">
        <v>917</v>
      </c>
      <c r="B909" s="8" t="s">
        <v>578</v>
      </c>
      <c r="C909" s="2">
        <f t="shared" si="615"/>
        <v>1438800.0000000002</v>
      </c>
      <c r="D909" s="3">
        <f t="shared" ref="D909" si="616">SUM(E909:J909)</f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11">
        <v>0</v>
      </c>
      <c r="L909" s="5">
        <v>0</v>
      </c>
      <c r="M909" s="5">
        <v>261.60000000000002</v>
      </c>
      <c r="N909" s="3">
        <f t="shared" si="614"/>
        <v>1438800.0000000002</v>
      </c>
      <c r="O909" s="5">
        <v>0</v>
      </c>
      <c r="P909" s="5">
        <v>0</v>
      </c>
      <c r="Q909" s="5">
        <v>0</v>
      </c>
      <c r="R909" s="3">
        <f t="shared" si="612"/>
        <v>0</v>
      </c>
      <c r="S909" s="5">
        <v>0</v>
      </c>
      <c r="T909" s="5">
        <v>0</v>
      </c>
      <c r="U909" s="5">
        <v>0</v>
      </c>
      <c r="V909" s="6">
        <f t="shared" si="613"/>
        <v>5500</v>
      </c>
    </row>
    <row r="910" spans="1:258" s="17" customFormat="1" ht="21.9" customHeight="1">
      <c r="A910" s="37" t="s">
        <v>918</v>
      </c>
      <c r="B910" s="8" t="s">
        <v>671</v>
      </c>
      <c r="C910" s="2">
        <f t="shared" si="615"/>
        <v>1499300.0000000002</v>
      </c>
      <c r="D910" s="3">
        <f t="shared" si="610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272.60000000000002</v>
      </c>
      <c r="N910" s="3">
        <f t="shared" si="614"/>
        <v>1499300.0000000002</v>
      </c>
      <c r="O910" s="3">
        <v>0</v>
      </c>
      <c r="P910" s="3">
        <v>0</v>
      </c>
      <c r="Q910" s="3">
        <v>0</v>
      </c>
      <c r="R910" s="3">
        <f t="shared" si="612"/>
        <v>0</v>
      </c>
      <c r="S910" s="3">
        <v>0</v>
      </c>
      <c r="T910" s="3">
        <v>0</v>
      </c>
      <c r="U910" s="3">
        <v>0</v>
      </c>
      <c r="V910" s="6">
        <f t="shared" si="613"/>
        <v>5500</v>
      </c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7"/>
      <c r="DZ910" s="7"/>
      <c r="EA910" s="7"/>
      <c r="EB910" s="7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  <c r="GI910" s="7"/>
      <c r="GJ910" s="7"/>
      <c r="GK910" s="7"/>
      <c r="GL910" s="7"/>
      <c r="GM910" s="7"/>
      <c r="GN910" s="7"/>
      <c r="GO910" s="7"/>
      <c r="GP910" s="7"/>
      <c r="GQ910" s="7"/>
      <c r="GR910" s="7"/>
      <c r="GS910" s="7"/>
      <c r="GT910" s="7"/>
      <c r="GU910" s="7"/>
      <c r="GV910" s="7"/>
      <c r="GW910" s="7"/>
      <c r="GX910" s="7"/>
      <c r="GY910" s="7"/>
      <c r="GZ910" s="7"/>
      <c r="HA910" s="7"/>
      <c r="HB910" s="7"/>
      <c r="HC910" s="7"/>
      <c r="HD910" s="7"/>
      <c r="HE910" s="7"/>
      <c r="HF910" s="7"/>
      <c r="HG910" s="7"/>
      <c r="HH910" s="7"/>
      <c r="HI910" s="7"/>
      <c r="HJ910" s="7"/>
      <c r="HK910" s="7"/>
      <c r="HL910" s="7"/>
      <c r="HM910" s="7"/>
      <c r="HN910" s="7"/>
      <c r="HO910" s="7"/>
      <c r="HP910" s="7"/>
      <c r="HQ910" s="7"/>
      <c r="HR910" s="7"/>
      <c r="HS910" s="7"/>
      <c r="HT910" s="7"/>
      <c r="HU910" s="7"/>
      <c r="HV910" s="7"/>
      <c r="HW910" s="7"/>
      <c r="HX910" s="7"/>
      <c r="HY910" s="7"/>
      <c r="HZ910" s="7"/>
      <c r="IA910" s="7"/>
      <c r="IB910" s="7"/>
      <c r="IC910" s="7"/>
      <c r="ID910" s="7"/>
      <c r="IE910" s="7"/>
      <c r="IF910" s="7"/>
      <c r="IG910" s="7"/>
      <c r="IH910" s="7"/>
      <c r="II910" s="7"/>
      <c r="IJ910" s="7"/>
      <c r="IK910" s="7"/>
      <c r="IL910" s="7"/>
      <c r="IM910" s="7"/>
      <c r="IN910" s="7"/>
      <c r="IO910" s="7"/>
      <c r="IP910" s="7"/>
      <c r="IQ910" s="7"/>
      <c r="IR910" s="7"/>
      <c r="IS910" s="7"/>
      <c r="IT910" s="7"/>
      <c r="IU910" s="7"/>
      <c r="IV910" s="7"/>
      <c r="IW910" s="7"/>
      <c r="IX910" s="7"/>
    </row>
    <row r="911" spans="1:258" ht="21.9" customHeight="1">
      <c r="A911" s="37" t="s">
        <v>1281</v>
      </c>
      <c r="B911" s="8" t="s">
        <v>763</v>
      </c>
      <c r="C911" s="2">
        <f t="shared" si="615"/>
        <v>10716908.5</v>
      </c>
      <c r="D911" s="3">
        <f t="shared" si="610"/>
        <v>4802908.5</v>
      </c>
      <c r="E911" s="3">
        <f>350*2463.03</f>
        <v>862060.50000000012</v>
      </c>
      <c r="F911" s="3">
        <f>1050*2463.03</f>
        <v>2586181.5</v>
      </c>
      <c r="G911" s="3">
        <f>300*2463.03</f>
        <v>738909.00000000012</v>
      </c>
      <c r="H911" s="3">
        <f>400*0</f>
        <v>0</v>
      </c>
      <c r="I911" s="3">
        <f>250*2463.03</f>
        <v>615757.5</v>
      </c>
      <c r="J911" s="3">
        <v>0</v>
      </c>
      <c r="K911" s="4">
        <v>0</v>
      </c>
      <c r="L911" s="3">
        <v>0</v>
      </c>
      <c r="M911" s="3">
        <v>0</v>
      </c>
      <c r="N911" s="3">
        <v>0</v>
      </c>
      <c r="O911" s="3">
        <v>0</v>
      </c>
      <c r="P911" s="3">
        <v>0</v>
      </c>
      <c r="Q911" s="3">
        <v>1938</v>
      </c>
      <c r="R911" s="3">
        <f t="shared" si="612"/>
        <v>5814000</v>
      </c>
      <c r="S911" s="3">
        <v>0</v>
      </c>
      <c r="T911" s="3">
        <v>0</v>
      </c>
      <c r="U911" s="3">
        <v>100000</v>
      </c>
      <c r="V911" s="6" t="e">
        <f t="shared" si="613"/>
        <v>#DIV/0!</v>
      </c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  <c r="EC911" s="17"/>
      <c r="ED911" s="17"/>
      <c r="EE911" s="17"/>
      <c r="EF911" s="17"/>
      <c r="EG911" s="17"/>
      <c r="EH911" s="17"/>
      <c r="EI911" s="17"/>
      <c r="EJ911" s="17"/>
      <c r="EK911" s="17"/>
      <c r="EL911" s="17"/>
      <c r="EM911" s="17"/>
      <c r="EN911" s="17"/>
      <c r="EO911" s="17"/>
      <c r="EP911" s="17"/>
      <c r="EQ911" s="17"/>
      <c r="ER911" s="17"/>
      <c r="ES911" s="17"/>
      <c r="ET911" s="17"/>
      <c r="EU911" s="17"/>
      <c r="EV911" s="17"/>
      <c r="EW911" s="17"/>
      <c r="EX911" s="17"/>
      <c r="EY911" s="17"/>
      <c r="EZ911" s="17"/>
      <c r="FA911" s="17"/>
      <c r="FB911" s="17"/>
      <c r="FC911" s="17"/>
      <c r="FD911" s="17"/>
      <c r="FE911" s="17"/>
      <c r="FF911" s="17"/>
      <c r="FG911" s="17"/>
      <c r="FH911" s="17"/>
      <c r="FI911" s="17"/>
      <c r="FJ911" s="17"/>
      <c r="FK911" s="17"/>
      <c r="FL911" s="17"/>
      <c r="FM911" s="17"/>
      <c r="FN911" s="17"/>
      <c r="FO911" s="17"/>
      <c r="FP911" s="17"/>
      <c r="FQ911" s="17"/>
      <c r="FR911" s="17"/>
      <c r="FS911" s="17"/>
      <c r="FT911" s="17"/>
      <c r="FU911" s="17"/>
      <c r="FV911" s="17"/>
      <c r="FW911" s="17"/>
      <c r="FX911" s="17"/>
      <c r="FY911" s="17"/>
      <c r="FZ911" s="17"/>
      <c r="GA911" s="17"/>
      <c r="GB911" s="17"/>
      <c r="GC911" s="17"/>
      <c r="GD911" s="17"/>
      <c r="GE911" s="17"/>
      <c r="GF911" s="17"/>
      <c r="GG911" s="17"/>
      <c r="GH911" s="17"/>
      <c r="GI911" s="17"/>
      <c r="GJ911" s="17"/>
      <c r="GK911" s="17"/>
      <c r="GL911" s="17"/>
      <c r="GM911" s="17"/>
      <c r="GN911" s="17"/>
      <c r="GO911" s="17"/>
      <c r="GP911" s="17"/>
      <c r="GQ911" s="17"/>
      <c r="GR911" s="17"/>
      <c r="GS911" s="17"/>
      <c r="GT911" s="17"/>
      <c r="GU911" s="17"/>
      <c r="GV911" s="17"/>
      <c r="GW911" s="17"/>
      <c r="GX911" s="17"/>
      <c r="GY911" s="17"/>
      <c r="GZ911" s="17"/>
      <c r="HA911" s="17"/>
      <c r="HB911" s="17"/>
      <c r="HC911" s="17"/>
      <c r="HD911" s="17"/>
      <c r="HE911" s="17"/>
      <c r="HF911" s="17"/>
      <c r="HG911" s="17"/>
      <c r="HH911" s="17"/>
      <c r="HI911" s="17"/>
      <c r="HJ911" s="17"/>
      <c r="HK911" s="17"/>
      <c r="HL911" s="17"/>
      <c r="HM911" s="17"/>
      <c r="HN911" s="17"/>
      <c r="HO911" s="17"/>
      <c r="HP911" s="17"/>
      <c r="HQ911" s="17"/>
      <c r="HR911" s="17"/>
      <c r="HS911" s="17"/>
      <c r="HT911" s="17"/>
      <c r="HU911" s="17"/>
      <c r="HV911" s="17"/>
      <c r="HW911" s="17"/>
      <c r="HX911" s="17"/>
      <c r="HY911" s="17"/>
      <c r="HZ911" s="17"/>
      <c r="IA911" s="17"/>
      <c r="IB911" s="17"/>
      <c r="IC911" s="17"/>
      <c r="ID911" s="17"/>
      <c r="IE911" s="17"/>
      <c r="IF911" s="17"/>
      <c r="IG911" s="17"/>
      <c r="IH911" s="17"/>
      <c r="II911" s="17"/>
      <c r="IJ911" s="17"/>
      <c r="IK911" s="17"/>
      <c r="IL911" s="17"/>
      <c r="IM911" s="17"/>
      <c r="IN911" s="17"/>
      <c r="IO911" s="17"/>
      <c r="IP911" s="17"/>
      <c r="IQ911" s="17"/>
      <c r="IR911" s="17"/>
      <c r="IS911" s="17"/>
      <c r="IT911" s="17"/>
      <c r="IU911" s="17"/>
      <c r="IV911" s="17"/>
      <c r="IW911" s="17"/>
      <c r="IX911" s="17"/>
    </row>
    <row r="912" spans="1:258" ht="21.9" customHeight="1">
      <c r="A912" s="37" t="s">
        <v>919</v>
      </c>
      <c r="B912" s="8" t="s">
        <v>764</v>
      </c>
      <c r="C912" s="2">
        <f t="shared" si="615"/>
        <v>4780050</v>
      </c>
      <c r="D912" s="3">
        <f t="shared" si="610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869.1</v>
      </c>
      <c r="N912" s="3">
        <f t="shared" ref="N912:N916" si="617">M912*5500</f>
        <v>4780050</v>
      </c>
      <c r="O912" s="3">
        <v>0</v>
      </c>
      <c r="P912" s="3">
        <v>0</v>
      </c>
      <c r="Q912" s="3">
        <v>0</v>
      </c>
      <c r="R912" s="3">
        <f t="shared" si="612"/>
        <v>0</v>
      </c>
      <c r="S912" s="3">
        <v>0</v>
      </c>
      <c r="T912" s="3">
        <v>0</v>
      </c>
      <c r="U912" s="3">
        <v>0</v>
      </c>
      <c r="V912" s="6">
        <f t="shared" si="613"/>
        <v>5500</v>
      </c>
    </row>
    <row r="913" spans="1:258" ht="21.9" customHeight="1">
      <c r="A913" s="37" t="s">
        <v>1080</v>
      </c>
      <c r="B913" s="8" t="s">
        <v>396</v>
      </c>
      <c r="C913" s="2">
        <f>D913+L913+N913+P913+R913+S913+T913+U913</f>
        <v>5991710</v>
      </c>
      <c r="D913" s="3">
        <f>SUM(E913:J913)</f>
        <v>2135210</v>
      </c>
      <c r="E913" s="3">
        <f>350*908.6</f>
        <v>318010</v>
      </c>
      <c r="F913" s="3">
        <f>908.6*800</f>
        <v>726880</v>
      </c>
      <c r="G913" s="3">
        <f>908.6*300</f>
        <v>272580</v>
      </c>
      <c r="H913" s="3">
        <f>908.6*500</f>
        <v>454300</v>
      </c>
      <c r="I913" s="3">
        <f>908.6*400</f>
        <v>363440</v>
      </c>
      <c r="J913" s="3">
        <f>350*0</f>
        <v>0</v>
      </c>
      <c r="K913" s="4">
        <v>0</v>
      </c>
      <c r="L913" s="3">
        <v>0</v>
      </c>
      <c r="M913" s="3">
        <v>683</v>
      </c>
      <c r="N913" s="3">
        <f>M913*5500</f>
        <v>3756500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100000</v>
      </c>
      <c r="V913" s="6">
        <f>N913/M913</f>
        <v>5500</v>
      </c>
    </row>
    <row r="914" spans="1:258" ht="21.9" customHeight="1">
      <c r="A914" s="37" t="s">
        <v>1081</v>
      </c>
      <c r="B914" s="8" t="s">
        <v>765</v>
      </c>
      <c r="C914" s="2">
        <f t="shared" si="615"/>
        <v>4862000</v>
      </c>
      <c r="D914" s="3">
        <f t="shared" si="610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11">
        <v>0</v>
      </c>
      <c r="L914" s="5">
        <v>0</v>
      </c>
      <c r="M914" s="5">
        <v>884</v>
      </c>
      <c r="N914" s="3">
        <f t="shared" si="617"/>
        <v>4862000</v>
      </c>
      <c r="O914" s="5">
        <v>0</v>
      </c>
      <c r="P914" s="5">
        <v>0</v>
      </c>
      <c r="Q914" s="5">
        <v>0</v>
      </c>
      <c r="R914" s="3">
        <f t="shared" si="612"/>
        <v>0</v>
      </c>
      <c r="S914" s="5">
        <v>0</v>
      </c>
      <c r="T914" s="5">
        <v>0</v>
      </c>
      <c r="U914" s="5">
        <v>0</v>
      </c>
      <c r="V914" s="6">
        <f t="shared" si="613"/>
        <v>5500</v>
      </c>
    </row>
    <row r="915" spans="1:258" ht="21.9" customHeight="1">
      <c r="A915" s="37" t="s">
        <v>920</v>
      </c>
      <c r="B915" s="8" t="s">
        <v>672</v>
      </c>
      <c r="C915" s="2">
        <f t="shared" si="615"/>
        <v>3071200</v>
      </c>
      <c r="D915" s="3">
        <f t="shared" si="610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4">
        <v>0</v>
      </c>
      <c r="L915" s="3">
        <v>0</v>
      </c>
      <c r="M915" s="3">
        <v>558.4</v>
      </c>
      <c r="N915" s="3">
        <f t="shared" si="617"/>
        <v>3071200</v>
      </c>
      <c r="O915" s="3">
        <v>0</v>
      </c>
      <c r="P915" s="3">
        <v>0</v>
      </c>
      <c r="Q915" s="3">
        <v>0</v>
      </c>
      <c r="R915" s="3">
        <f t="shared" si="612"/>
        <v>0</v>
      </c>
      <c r="S915" s="3">
        <v>0</v>
      </c>
      <c r="T915" s="5">
        <v>0</v>
      </c>
      <c r="U915" s="5">
        <v>0</v>
      </c>
      <c r="V915" s="6">
        <f t="shared" si="613"/>
        <v>5500</v>
      </c>
    </row>
    <row r="916" spans="1:258" ht="21.9" customHeight="1">
      <c r="A916" s="37" t="s">
        <v>921</v>
      </c>
      <c r="B916" s="8" t="s">
        <v>766</v>
      </c>
      <c r="C916" s="2">
        <f t="shared" si="615"/>
        <v>3126695</v>
      </c>
      <c r="D916" s="3">
        <f t="shared" si="610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568.49</v>
      </c>
      <c r="N916" s="3">
        <f t="shared" si="617"/>
        <v>3126695</v>
      </c>
      <c r="O916" s="3">
        <v>0</v>
      </c>
      <c r="P916" s="3">
        <v>0</v>
      </c>
      <c r="Q916" s="3">
        <v>0</v>
      </c>
      <c r="R916" s="3">
        <f t="shared" si="612"/>
        <v>0</v>
      </c>
      <c r="S916" s="3">
        <v>0</v>
      </c>
      <c r="T916" s="5">
        <v>0</v>
      </c>
      <c r="U916" s="5">
        <v>0</v>
      </c>
      <c r="V916" s="6">
        <f t="shared" si="613"/>
        <v>5500</v>
      </c>
    </row>
    <row r="917" spans="1:258" ht="21.9" customHeight="1">
      <c r="A917" s="37" t="s">
        <v>922</v>
      </c>
      <c r="B917" s="8" t="s">
        <v>767</v>
      </c>
      <c r="C917" s="2">
        <f t="shared" si="615"/>
        <v>1419550.0000000002</v>
      </c>
      <c r="D917" s="3">
        <f t="shared" si="610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11">
        <v>0</v>
      </c>
      <c r="L917" s="5">
        <v>0</v>
      </c>
      <c r="M917" s="5">
        <v>258.10000000000002</v>
      </c>
      <c r="N917" s="3">
        <f t="shared" ref="N917:N926" si="618">M917*5500</f>
        <v>1419550.0000000002</v>
      </c>
      <c r="O917" s="5">
        <v>0</v>
      </c>
      <c r="P917" s="5">
        <v>0</v>
      </c>
      <c r="Q917" s="5">
        <v>0</v>
      </c>
      <c r="R917" s="3">
        <f t="shared" si="612"/>
        <v>0</v>
      </c>
      <c r="S917" s="5">
        <v>0</v>
      </c>
      <c r="T917" s="5">
        <v>0</v>
      </c>
      <c r="U917" s="5">
        <v>0</v>
      </c>
      <c r="V917" s="6">
        <f t="shared" si="613"/>
        <v>5500</v>
      </c>
    </row>
    <row r="918" spans="1:258" ht="21.9" customHeight="1">
      <c r="A918" s="37" t="s">
        <v>923</v>
      </c>
      <c r="B918" s="8" t="s">
        <v>673</v>
      </c>
      <c r="C918" s="2">
        <f t="shared" si="615"/>
        <v>3058000</v>
      </c>
      <c r="D918" s="3">
        <f t="shared" si="610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11">
        <v>0</v>
      </c>
      <c r="L918" s="5">
        <v>0</v>
      </c>
      <c r="M918" s="3">
        <v>556</v>
      </c>
      <c r="N918" s="3">
        <f t="shared" si="618"/>
        <v>3058000</v>
      </c>
      <c r="O918" s="5">
        <v>0</v>
      </c>
      <c r="P918" s="5">
        <v>0</v>
      </c>
      <c r="Q918" s="5">
        <v>0</v>
      </c>
      <c r="R918" s="3">
        <f t="shared" si="612"/>
        <v>0</v>
      </c>
      <c r="S918" s="5">
        <v>0</v>
      </c>
      <c r="T918" s="5">
        <v>0</v>
      </c>
      <c r="U918" s="5">
        <v>0</v>
      </c>
      <c r="V918" s="6">
        <f t="shared" si="613"/>
        <v>5500</v>
      </c>
    </row>
    <row r="919" spans="1:258" ht="21.9" customHeight="1">
      <c r="A919" s="37" t="s">
        <v>924</v>
      </c>
      <c r="B919" s="8" t="s">
        <v>993</v>
      </c>
      <c r="C919" s="2">
        <f t="shared" si="615"/>
        <v>2850000</v>
      </c>
      <c r="D919" s="3">
        <f t="shared" si="610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11">
        <v>0</v>
      </c>
      <c r="L919" s="5">
        <v>0</v>
      </c>
      <c r="M919" s="3">
        <v>300</v>
      </c>
      <c r="N919" s="3">
        <f t="shared" si="618"/>
        <v>1650000</v>
      </c>
      <c r="O919" s="5">
        <v>0</v>
      </c>
      <c r="P919" s="5">
        <v>0</v>
      </c>
      <c r="Q919" s="5">
        <v>400</v>
      </c>
      <c r="R919" s="3">
        <f t="shared" si="612"/>
        <v>1200000</v>
      </c>
      <c r="S919" s="5">
        <v>0</v>
      </c>
      <c r="T919" s="5">
        <v>0</v>
      </c>
      <c r="U919" s="5">
        <v>0</v>
      </c>
      <c r="V919" s="6">
        <f t="shared" si="613"/>
        <v>5500</v>
      </c>
    </row>
    <row r="920" spans="1:258" ht="21.9" customHeight="1">
      <c r="A920" s="37" t="s">
        <v>925</v>
      </c>
      <c r="B920" s="8" t="s">
        <v>768</v>
      </c>
      <c r="C920" s="2">
        <f t="shared" si="615"/>
        <v>3619000</v>
      </c>
      <c r="D920" s="3">
        <f t="shared" si="610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658</v>
      </c>
      <c r="N920" s="3">
        <f t="shared" si="618"/>
        <v>3619000</v>
      </c>
      <c r="O920" s="5">
        <v>0</v>
      </c>
      <c r="P920" s="5">
        <v>0</v>
      </c>
      <c r="Q920" s="5">
        <v>0</v>
      </c>
      <c r="R920" s="3">
        <f t="shared" si="612"/>
        <v>0</v>
      </c>
      <c r="S920" s="5">
        <v>0</v>
      </c>
      <c r="T920" s="5">
        <v>0</v>
      </c>
      <c r="U920" s="5">
        <v>0</v>
      </c>
      <c r="V920" s="6">
        <f t="shared" si="613"/>
        <v>5500</v>
      </c>
    </row>
    <row r="921" spans="1:258" ht="21.9" customHeight="1">
      <c r="A921" s="37" t="s">
        <v>926</v>
      </c>
      <c r="B921" s="8" t="s">
        <v>769</v>
      </c>
      <c r="C921" s="2">
        <f t="shared" si="615"/>
        <v>3536500</v>
      </c>
      <c r="D921" s="3">
        <f t="shared" si="610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5">
        <v>643</v>
      </c>
      <c r="N921" s="3">
        <f t="shared" si="618"/>
        <v>3536500</v>
      </c>
      <c r="O921" s="5">
        <v>0</v>
      </c>
      <c r="P921" s="5">
        <v>0</v>
      </c>
      <c r="Q921" s="5">
        <v>0</v>
      </c>
      <c r="R921" s="3">
        <f t="shared" si="612"/>
        <v>0</v>
      </c>
      <c r="S921" s="5">
        <v>0</v>
      </c>
      <c r="T921" s="5">
        <v>0</v>
      </c>
      <c r="U921" s="5">
        <v>0</v>
      </c>
      <c r="V921" s="6">
        <f t="shared" si="613"/>
        <v>5500</v>
      </c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  <c r="IX921" s="17"/>
    </row>
    <row r="922" spans="1:258" ht="21.9" customHeight="1">
      <c r="A922" s="37" t="s">
        <v>927</v>
      </c>
      <c r="B922" s="8" t="s">
        <v>770</v>
      </c>
      <c r="C922" s="2">
        <f t="shared" si="615"/>
        <v>1640100</v>
      </c>
      <c r="D922" s="3">
        <f t="shared" si="610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3">
        <v>298.2</v>
      </c>
      <c r="N922" s="3">
        <f t="shared" si="618"/>
        <v>1640100</v>
      </c>
      <c r="O922" s="5">
        <v>0</v>
      </c>
      <c r="P922" s="5">
        <v>0</v>
      </c>
      <c r="Q922" s="5">
        <v>0</v>
      </c>
      <c r="R922" s="3">
        <f t="shared" si="612"/>
        <v>0</v>
      </c>
      <c r="S922" s="5">
        <v>0</v>
      </c>
      <c r="T922" s="5">
        <v>0</v>
      </c>
      <c r="U922" s="5">
        <v>0</v>
      </c>
      <c r="V922" s="6">
        <f t="shared" si="613"/>
        <v>5500</v>
      </c>
    </row>
    <row r="923" spans="1:258" ht="21.9" customHeight="1">
      <c r="A923" s="37" t="s">
        <v>928</v>
      </c>
      <c r="B923" s="8" t="s">
        <v>771</v>
      </c>
      <c r="C923" s="2">
        <f t="shared" si="615"/>
        <v>1188000</v>
      </c>
      <c r="D923" s="3">
        <f t="shared" si="610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5">
        <v>216</v>
      </c>
      <c r="N923" s="3">
        <f t="shared" si="618"/>
        <v>1188000</v>
      </c>
      <c r="O923" s="5">
        <v>0</v>
      </c>
      <c r="P923" s="5">
        <v>0</v>
      </c>
      <c r="Q923" s="5">
        <v>0</v>
      </c>
      <c r="R923" s="3">
        <f t="shared" si="612"/>
        <v>0</v>
      </c>
      <c r="S923" s="5">
        <v>0</v>
      </c>
      <c r="T923" s="5">
        <v>0</v>
      </c>
      <c r="U923" s="5">
        <v>0</v>
      </c>
      <c r="V923" s="6">
        <f t="shared" si="613"/>
        <v>5500</v>
      </c>
    </row>
    <row r="924" spans="1:258" s="6" customFormat="1" ht="21.9" customHeight="1">
      <c r="A924" s="37" t="s">
        <v>929</v>
      </c>
      <c r="B924" s="8" t="s">
        <v>674</v>
      </c>
      <c r="C924" s="2">
        <f t="shared" si="615"/>
        <v>2007500</v>
      </c>
      <c r="D924" s="3">
        <f t="shared" si="610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365</v>
      </c>
      <c r="N924" s="3">
        <f t="shared" si="618"/>
        <v>2007500</v>
      </c>
      <c r="O924" s="5">
        <v>0</v>
      </c>
      <c r="P924" s="5">
        <v>0</v>
      </c>
      <c r="Q924" s="5">
        <v>0</v>
      </c>
      <c r="R924" s="3">
        <f t="shared" si="612"/>
        <v>0</v>
      </c>
      <c r="S924" s="5">
        <v>0</v>
      </c>
      <c r="T924" s="5">
        <v>0</v>
      </c>
      <c r="U924" s="5">
        <v>0</v>
      </c>
      <c r="V924" s="6">
        <f t="shared" si="613"/>
        <v>5500</v>
      </c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7"/>
      <c r="DZ924" s="7"/>
      <c r="EA924" s="7"/>
      <c r="EB924" s="7"/>
      <c r="EC924" s="7"/>
      <c r="ED924" s="7"/>
      <c r="EE924" s="7"/>
      <c r="EF924" s="7"/>
      <c r="EG924" s="7"/>
      <c r="EH924" s="7"/>
      <c r="EI924" s="7"/>
      <c r="EJ924" s="7"/>
      <c r="EK924" s="7"/>
      <c r="EL924" s="7"/>
      <c r="EM924" s="7"/>
      <c r="EN924" s="7"/>
      <c r="EO924" s="7"/>
      <c r="EP924" s="7"/>
      <c r="EQ924" s="7"/>
      <c r="ER924" s="7"/>
      <c r="ES924" s="7"/>
      <c r="ET924" s="7"/>
      <c r="EU924" s="7"/>
      <c r="EV924" s="7"/>
      <c r="EW924" s="7"/>
      <c r="EX924" s="7"/>
      <c r="EY924" s="7"/>
      <c r="EZ924" s="7"/>
      <c r="FA924" s="7"/>
      <c r="FB924" s="7"/>
      <c r="FC924" s="7"/>
      <c r="FD924" s="7"/>
      <c r="FE924" s="7"/>
      <c r="FF924" s="7"/>
      <c r="FG924" s="7"/>
      <c r="FH924" s="7"/>
      <c r="FI924" s="7"/>
      <c r="FJ924" s="7"/>
      <c r="FK924" s="7"/>
      <c r="FL924" s="7"/>
      <c r="FM924" s="7"/>
      <c r="FN924" s="7"/>
      <c r="FO924" s="7"/>
      <c r="FP924" s="7"/>
      <c r="FQ924" s="7"/>
      <c r="FR924" s="7"/>
      <c r="FS924" s="7"/>
      <c r="FT924" s="7"/>
      <c r="FU924" s="7"/>
      <c r="FV924" s="7"/>
      <c r="FW924" s="7"/>
      <c r="FX924" s="7"/>
      <c r="FY924" s="7"/>
      <c r="FZ924" s="7"/>
      <c r="GA924" s="7"/>
      <c r="GB924" s="7"/>
      <c r="GC924" s="7"/>
      <c r="GD924" s="7"/>
      <c r="GE924" s="7"/>
      <c r="GF924" s="7"/>
      <c r="GG924" s="7"/>
      <c r="GH924" s="7"/>
      <c r="GI924" s="7"/>
      <c r="GJ924" s="7"/>
      <c r="GK924" s="7"/>
      <c r="GL924" s="7"/>
      <c r="GM924" s="7"/>
      <c r="GN924" s="7"/>
      <c r="GO924" s="7"/>
      <c r="GP924" s="7"/>
      <c r="GQ924" s="7"/>
      <c r="GR924" s="7"/>
      <c r="GS924" s="7"/>
      <c r="GT924" s="7"/>
      <c r="GU924" s="7"/>
      <c r="GV924" s="7"/>
      <c r="GW924" s="7"/>
      <c r="GX924" s="7"/>
      <c r="GY924" s="7"/>
      <c r="GZ924" s="7"/>
      <c r="HA924" s="7"/>
      <c r="HB924" s="7"/>
      <c r="HC924" s="7"/>
      <c r="HD924" s="7"/>
      <c r="HE924" s="7"/>
      <c r="HF924" s="7"/>
      <c r="HG924" s="7"/>
      <c r="HH924" s="7"/>
      <c r="HI924" s="7"/>
      <c r="HJ924" s="7"/>
      <c r="HK924" s="7"/>
      <c r="HL924" s="7"/>
      <c r="HM924" s="7"/>
      <c r="HN924" s="7"/>
      <c r="HO924" s="7"/>
      <c r="HP924" s="7"/>
      <c r="HQ924" s="7"/>
      <c r="HR924" s="7"/>
      <c r="HS924" s="7"/>
      <c r="HT924" s="7"/>
      <c r="HU924" s="7"/>
      <c r="HV924" s="7"/>
      <c r="HW924" s="7"/>
      <c r="HX924" s="7"/>
      <c r="HY924" s="7"/>
      <c r="HZ924" s="7"/>
      <c r="IA924" s="7"/>
      <c r="IB924" s="7"/>
      <c r="IC924" s="7"/>
      <c r="ID924" s="7"/>
      <c r="IE924" s="7"/>
      <c r="IF924" s="7"/>
      <c r="IG924" s="7"/>
      <c r="IH924" s="7"/>
      <c r="II924" s="7"/>
      <c r="IJ924" s="7"/>
      <c r="IK924" s="7"/>
      <c r="IL924" s="7"/>
      <c r="IM924" s="7"/>
      <c r="IN924" s="7"/>
      <c r="IO924" s="7"/>
      <c r="IP924" s="7"/>
      <c r="IQ924" s="7"/>
      <c r="IR924" s="7"/>
      <c r="IS924" s="7"/>
      <c r="IT924" s="7"/>
      <c r="IU924" s="7"/>
      <c r="IV924" s="7"/>
      <c r="IW924" s="7"/>
      <c r="IX924" s="7"/>
    </row>
    <row r="925" spans="1:258" ht="21.9" customHeight="1">
      <c r="A925" s="37" t="s">
        <v>930</v>
      </c>
      <c r="B925" s="8" t="s">
        <v>676</v>
      </c>
      <c r="C925" s="2">
        <f t="shared" si="615"/>
        <v>1125300</v>
      </c>
      <c r="D925" s="3">
        <f t="shared" si="610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5">
        <v>204.6</v>
      </c>
      <c r="N925" s="3">
        <f t="shared" si="618"/>
        <v>1125300</v>
      </c>
      <c r="O925" s="3">
        <v>0</v>
      </c>
      <c r="P925" s="3">
        <v>0</v>
      </c>
      <c r="Q925" s="3">
        <v>0</v>
      </c>
      <c r="R925" s="3">
        <f t="shared" si="612"/>
        <v>0</v>
      </c>
      <c r="S925" s="3">
        <v>0</v>
      </c>
      <c r="T925" s="5">
        <v>0</v>
      </c>
      <c r="U925" s="3">
        <v>0</v>
      </c>
      <c r="V925" s="6">
        <f t="shared" si="613"/>
        <v>5500</v>
      </c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  <c r="CH925" s="6"/>
      <c r="CI925" s="6"/>
      <c r="CJ925" s="6"/>
      <c r="CK925" s="6"/>
      <c r="CL925" s="6"/>
      <c r="CM925" s="6"/>
      <c r="CN925" s="6"/>
      <c r="CO925" s="6"/>
      <c r="CP925" s="6"/>
      <c r="CQ925" s="6"/>
      <c r="CR925" s="6"/>
      <c r="CS925" s="6"/>
      <c r="CT925" s="6"/>
      <c r="CU925" s="6"/>
      <c r="CV925" s="6"/>
      <c r="CW925" s="6"/>
      <c r="CX925" s="6"/>
      <c r="CY925" s="6"/>
      <c r="CZ925" s="6"/>
      <c r="DA925" s="6"/>
      <c r="DB925" s="6"/>
      <c r="DC925" s="6"/>
      <c r="DD925" s="6"/>
      <c r="DE925" s="6"/>
      <c r="DF925" s="6"/>
      <c r="DG925" s="6"/>
      <c r="DH925" s="6"/>
      <c r="DI925" s="6"/>
      <c r="DJ925" s="6"/>
      <c r="DK925" s="6"/>
      <c r="DL925" s="6"/>
      <c r="DM925" s="6"/>
      <c r="DN925" s="6"/>
      <c r="DO925" s="6"/>
      <c r="DP925" s="6"/>
      <c r="DQ925" s="6"/>
      <c r="DR925" s="6"/>
      <c r="DS925" s="6"/>
      <c r="DT925" s="6"/>
      <c r="DU925" s="6"/>
      <c r="DV925" s="6"/>
      <c r="DW925" s="6"/>
      <c r="DX925" s="6"/>
      <c r="DY925" s="6"/>
      <c r="DZ925" s="6"/>
      <c r="EA925" s="6"/>
      <c r="EB925" s="6"/>
      <c r="EC925" s="6"/>
      <c r="ED925" s="6"/>
      <c r="EE925" s="6"/>
      <c r="EF925" s="6"/>
      <c r="EG925" s="6"/>
      <c r="EH925" s="6"/>
      <c r="EI925" s="6"/>
      <c r="EJ925" s="6"/>
      <c r="EK925" s="6"/>
      <c r="EL925" s="6"/>
      <c r="EM925" s="6"/>
      <c r="EN925" s="6"/>
      <c r="EO925" s="6"/>
      <c r="EP925" s="6"/>
      <c r="EQ925" s="6"/>
      <c r="ER925" s="6"/>
      <c r="ES925" s="6"/>
      <c r="ET925" s="6"/>
      <c r="EU925" s="6"/>
      <c r="EV925" s="6"/>
      <c r="EW925" s="6"/>
      <c r="EX925" s="6"/>
      <c r="EY925" s="6"/>
      <c r="EZ925" s="6"/>
      <c r="FA925" s="6"/>
      <c r="FB925" s="6"/>
      <c r="FC925" s="6"/>
      <c r="FD925" s="6"/>
      <c r="FE925" s="6"/>
      <c r="FF925" s="6"/>
      <c r="FG925" s="6"/>
      <c r="FH925" s="6"/>
      <c r="FI925" s="6"/>
      <c r="FJ925" s="6"/>
      <c r="FK925" s="6"/>
      <c r="FL925" s="6"/>
      <c r="FM925" s="6"/>
      <c r="FN925" s="6"/>
      <c r="FO925" s="6"/>
      <c r="FP925" s="6"/>
      <c r="FQ925" s="6"/>
      <c r="FR925" s="6"/>
      <c r="FS925" s="6"/>
      <c r="FT925" s="6"/>
      <c r="FU925" s="6"/>
      <c r="FV925" s="6"/>
      <c r="FW925" s="6"/>
      <c r="FX925" s="6"/>
      <c r="FY925" s="6"/>
      <c r="FZ925" s="6"/>
      <c r="GA925" s="6"/>
      <c r="GB925" s="6"/>
      <c r="GC925" s="6"/>
      <c r="GD925" s="6"/>
      <c r="GE925" s="6"/>
      <c r="GF925" s="6"/>
      <c r="GG925" s="6"/>
      <c r="GH925" s="6"/>
      <c r="GI925" s="6"/>
      <c r="GJ925" s="6"/>
      <c r="GK925" s="6"/>
      <c r="GL925" s="6"/>
      <c r="GM925" s="6"/>
      <c r="GN925" s="6"/>
      <c r="GO925" s="6"/>
      <c r="GP925" s="6"/>
      <c r="GQ925" s="6"/>
      <c r="GR925" s="6"/>
      <c r="GS925" s="6"/>
      <c r="GT925" s="6"/>
      <c r="GU925" s="6"/>
      <c r="GV925" s="6"/>
      <c r="GW925" s="6"/>
      <c r="GX925" s="6"/>
      <c r="GY925" s="6"/>
      <c r="GZ925" s="6"/>
      <c r="HA925" s="6"/>
      <c r="HB925" s="6"/>
      <c r="HC925" s="6"/>
      <c r="HD925" s="6"/>
      <c r="HE925" s="6"/>
      <c r="HF925" s="6"/>
      <c r="HG925" s="6"/>
      <c r="HH925" s="6"/>
      <c r="HI925" s="6"/>
      <c r="HJ925" s="6"/>
      <c r="HK925" s="6"/>
      <c r="HL925" s="6"/>
      <c r="HM925" s="6"/>
      <c r="HN925" s="6"/>
      <c r="HO925" s="6"/>
      <c r="HP925" s="6"/>
      <c r="HQ925" s="6"/>
      <c r="HR925" s="6"/>
      <c r="HS925" s="6"/>
      <c r="HT925" s="6"/>
      <c r="HU925" s="6"/>
      <c r="HV925" s="6"/>
      <c r="HW925" s="6"/>
      <c r="HX925" s="6"/>
      <c r="HY925" s="6"/>
      <c r="HZ925" s="6"/>
      <c r="IA925" s="6"/>
      <c r="IB925" s="6"/>
      <c r="IC925" s="6"/>
      <c r="ID925" s="6"/>
      <c r="IE925" s="6"/>
      <c r="IF925" s="6"/>
      <c r="IG925" s="6"/>
      <c r="IH925" s="6"/>
      <c r="II925" s="6"/>
      <c r="IJ925" s="6"/>
      <c r="IK925" s="6"/>
      <c r="IL925" s="6"/>
      <c r="IM925" s="6"/>
      <c r="IN925" s="6"/>
      <c r="IO925" s="6"/>
      <c r="IP925" s="6"/>
      <c r="IQ925" s="6"/>
      <c r="IR925" s="6"/>
      <c r="IS925" s="6"/>
      <c r="IT925" s="6"/>
      <c r="IU925" s="6"/>
      <c r="IV925" s="6"/>
      <c r="IW925" s="6"/>
      <c r="IX925" s="6"/>
    </row>
    <row r="926" spans="1:258" ht="21.9" customHeight="1">
      <c r="A926" s="37" t="s">
        <v>931</v>
      </c>
      <c r="B926" s="8" t="s">
        <v>772</v>
      </c>
      <c r="C926" s="2">
        <f t="shared" si="615"/>
        <v>1193280</v>
      </c>
      <c r="D926" s="3">
        <f t="shared" si="610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5">
        <v>216.96</v>
      </c>
      <c r="N926" s="3">
        <f t="shared" si="618"/>
        <v>1193280</v>
      </c>
      <c r="O926" s="3">
        <v>0</v>
      </c>
      <c r="P926" s="3">
        <v>0</v>
      </c>
      <c r="Q926" s="3">
        <v>0</v>
      </c>
      <c r="R926" s="3">
        <f t="shared" si="612"/>
        <v>0</v>
      </c>
      <c r="S926" s="3">
        <v>0</v>
      </c>
      <c r="T926" s="5">
        <v>0</v>
      </c>
      <c r="U926" s="3">
        <v>0</v>
      </c>
      <c r="V926" s="6">
        <f t="shared" si="613"/>
        <v>5500</v>
      </c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  <c r="BL926" s="26"/>
      <c r="BM926" s="26"/>
      <c r="BN926" s="26"/>
      <c r="BO926" s="26"/>
      <c r="BP926" s="26"/>
      <c r="BQ926" s="26"/>
      <c r="BR926" s="26"/>
      <c r="BS926" s="26"/>
      <c r="BT926" s="26"/>
      <c r="BU926" s="26"/>
      <c r="BV926" s="26"/>
      <c r="BW926" s="26"/>
      <c r="BX926" s="26"/>
      <c r="BY926" s="26"/>
      <c r="BZ926" s="26"/>
      <c r="CA926" s="26"/>
      <c r="CB926" s="26"/>
      <c r="CC926" s="26"/>
      <c r="CD926" s="26"/>
      <c r="CE926" s="26"/>
      <c r="CF926" s="26"/>
      <c r="CG926" s="26"/>
      <c r="CH926" s="26"/>
      <c r="CI926" s="26"/>
      <c r="CJ926" s="26"/>
      <c r="CK926" s="26"/>
      <c r="CL926" s="26"/>
      <c r="CM926" s="26"/>
      <c r="CN926" s="26"/>
      <c r="CO926" s="26"/>
      <c r="CP926" s="26"/>
      <c r="CQ926" s="26"/>
      <c r="CR926" s="26"/>
      <c r="CS926" s="26"/>
      <c r="CT926" s="26"/>
      <c r="CU926" s="26"/>
      <c r="CV926" s="26"/>
      <c r="CW926" s="26"/>
      <c r="CX926" s="26"/>
      <c r="CY926" s="26"/>
      <c r="CZ926" s="26"/>
      <c r="DA926" s="26"/>
      <c r="DB926" s="26"/>
      <c r="DC926" s="26"/>
      <c r="DD926" s="26"/>
      <c r="DE926" s="26"/>
      <c r="DF926" s="26"/>
      <c r="DG926" s="26"/>
      <c r="DH926" s="26"/>
      <c r="DI926" s="26"/>
      <c r="DJ926" s="26"/>
      <c r="DK926" s="26"/>
      <c r="DL926" s="26"/>
      <c r="DM926" s="26"/>
      <c r="DN926" s="26"/>
      <c r="DO926" s="26"/>
      <c r="DP926" s="26"/>
      <c r="DQ926" s="26"/>
      <c r="DR926" s="26"/>
      <c r="DS926" s="26"/>
      <c r="DT926" s="26"/>
      <c r="DU926" s="26"/>
      <c r="DV926" s="26"/>
      <c r="DW926" s="26"/>
      <c r="DX926" s="26"/>
      <c r="DY926" s="26"/>
      <c r="DZ926" s="26"/>
      <c r="EA926" s="26"/>
      <c r="EB926" s="26"/>
      <c r="EC926" s="26"/>
      <c r="ED926" s="26"/>
      <c r="EE926" s="26"/>
      <c r="EF926" s="26"/>
      <c r="EG926" s="26"/>
      <c r="EH926" s="26"/>
      <c r="EI926" s="26"/>
      <c r="EJ926" s="26"/>
      <c r="EK926" s="26"/>
      <c r="EL926" s="26"/>
      <c r="EM926" s="26"/>
      <c r="EN926" s="26"/>
      <c r="EO926" s="26"/>
      <c r="EP926" s="26"/>
      <c r="EQ926" s="26"/>
      <c r="ER926" s="26"/>
      <c r="ES926" s="26"/>
      <c r="ET926" s="26"/>
      <c r="EU926" s="26"/>
      <c r="EV926" s="26"/>
      <c r="EW926" s="26"/>
      <c r="EX926" s="26"/>
      <c r="EY926" s="26"/>
      <c r="EZ926" s="26"/>
      <c r="FA926" s="26"/>
      <c r="FB926" s="26"/>
      <c r="FC926" s="26"/>
      <c r="FD926" s="26"/>
      <c r="FE926" s="26"/>
      <c r="FF926" s="26"/>
      <c r="FG926" s="26"/>
      <c r="FH926" s="26"/>
      <c r="FI926" s="26"/>
      <c r="FJ926" s="26"/>
      <c r="FK926" s="26"/>
      <c r="FL926" s="26"/>
      <c r="FM926" s="26"/>
      <c r="FN926" s="26"/>
      <c r="FO926" s="26"/>
      <c r="FP926" s="26"/>
      <c r="FQ926" s="26"/>
      <c r="FR926" s="26"/>
      <c r="FS926" s="26"/>
      <c r="FT926" s="26"/>
      <c r="FU926" s="26"/>
      <c r="FV926" s="26"/>
      <c r="FW926" s="26"/>
      <c r="FX926" s="26"/>
      <c r="FY926" s="26"/>
      <c r="FZ926" s="26"/>
      <c r="GA926" s="26"/>
      <c r="GB926" s="26"/>
      <c r="GC926" s="26"/>
      <c r="GD926" s="26"/>
      <c r="GE926" s="26"/>
      <c r="GF926" s="26"/>
      <c r="GG926" s="26"/>
      <c r="GH926" s="26"/>
      <c r="GI926" s="26"/>
      <c r="GJ926" s="26"/>
      <c r="GK926" s="26"/>
      <c r="GL926" s="26"/>
      <c r="GM926" s="26"/>
      <c r="GN926" s="26"/>
      <c r="GO926" s="26"/>
      <c r="GP926" s="26"/>
      <c r="GQ926" s="26"/>
      <c r="GR926" s="26"/>
      <c r="GS926" s="26"/>
      <c r="GT926" s="26"/>
      <c r="GU926" s="26"/>
      <c r="GV926" s="26"/>
      <c r="GW926" s="26"/>
      <c r="GX926" s="26"/>
      <c r="GY926" s="26"/>
      <c r="GZ926" s="26"/>
      <c r="HA926" s="26"/>
      <c r="HB926" s="26"/>
      <c r="HC926" s="26"/>
      <c r="HD926" s="26"/>
      <c r="HE926" s="26"/>
      <c r="HF926" s="26"/>
      <c r="HG926" s="26"/>
      <c r="HH926" s="26"/>
      <c r="HI926" s="26"/>
      <c r="HJ926" s="26"/>
      <c r="HK926" s="26"/>
      <c r="HL926" s="26"/>
      <c r="HM926" s="26"/>
      <c r="HN926" s="26"/>
      <c r="HO926" s="26"/>
      <c r="HP926" s="26"/>
      <c r="HQ926" s="26"/>
      <c r="HR926" s="26"/>
      <c r="HS926" s="26"/>
      <c r="HT926" s="26"/>
      <c r="HU926" s="26"/>
      <c r="HV926" s="26"/>
      <c r="HW926" s="26"/>
      <c r="HX926" s="26"/>
      <c r="HY926" s="26"/>
      <c r="HZ926" s="26"/>
      <c r="IA926" s="26"/>
      <c r="IB926" s="26"/>
      <c r="IC926" s="26"/>
      <c r="ID926" s="26"/>
      <c r="IE926" s="26"/>
      <c r="IF926" s="26"/>
      <c r="IG926" s="26"/>
      <c r="IH926" s="26"/>
      <c r="II926" s="26"/>
      <c r="IJ926" s="26"/>
      <c r="IK926" s="26"/>
      <c r="IL926" s="26"/>
      <c r="IM926" s="26"/>
      <c r="IN926" s="26"/>
      <c r="IO926" s="26"/>
      <c r="IP926" s="26"/>
      <c r="IQ926" s="26"/>
      <c r="IR926" s="26"/>
      <c r="IS926" s="26"/>
      <c r="IT926" s="26"/>
      <c r="IU926" s="26"/>
      <c r="IV926" s="26"/>
      <c r="IW926" s="26"/>
      <c r="IX926" s="26"/>
    </row>
    <row r="927" spans="1:258" ht="21.9" customHeight="1">
      <c r="A927" s="37" t="s">
        <v>932</v>
      </c>
      <c r="B927" s="23" t="s">
        <v>585</v>
      </c>
      <c r="C927" s="2">
        <f>D927+L927+N927+P927+R927+S927+T927+U927</f>
        <v>1851925</v>
      </c>
      <c r="D927" s="3">
        <f>SUM(E927:J927)</f>
        <v>1751925</v>
      </c>
      <c r="E927" s="3">
        <f>350*745.5</f>
        <v>260925</v>
      </c>
      <c r="F927" s="3">
        <f>1050*745.5</f>
        <v>782775</v>
      </c>
      <c r="G927" s="3">
        <f>300*745.5</f>
        <v>223650</v>
      </c>
      <c r="H927" s="3">
        <f>400*745.5</f>
        <v>298200</v>
      </c>
      <c r="I927" s="3">
        <f>250*745.5</f>
        <v>186375</v>
      </c>
      <c r="J927" s="3">
        <f>350*0</f>
        <v>0</v>
      </c>
      <c r="K927" s="11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3">
        <f>Q927*3000</f>
        <v>0</v>
      </c>
      <c r="S927" s="5">
        <v>0</v>
      </c>
      <c r="T927" s="5">
        <v>0</v>
      </c>
      <c r="U927" s="5">
        <v>100000</v>
      </c>
      <c r="V927" s="6" t="e">
        <f>N927/M927</f>
        <v>#DIV/0!</v>
      </c>
      <c r="W927" s="7" t="s">
        <v>1292</v>
      </c>
    </row>
    <row r="928" spans="1:258" ht="21.9" customHeight="1">
      <c r="A928" s="37" t="s">
        <v>933</v>
      </c>
      <c r="B928" s="8" t="s">
        <v>677</v>
      </c>
      <c r="C928" s="2">
        <f t="shared" si="615"/>
        <v>5936578</v>
      </c>
      <c r="D928" s="3">
        <f t="shared" si="610"/>
        <v>1310078</v>
      </c>
      <c r="E928" s="3">
        <f>350*557.48</f>
        <v>195118</v>
      </c>
      <c r="F928" s="3">
        <f>1050*557.48</f>
        <v>585354</v>
      </c>
      <c r="G928" s="3">
        <f>300*557.48</f>
        <v>167244</v>
      </c>
      <c r="H928" s="3">
        <f>400*557.48</f>
        <v>222992</v>
      </c>
      <c r="I928" s="3">
        <f>250*557.48</f>
        <v>139370</v>
      </c>
      <c r="J928" s="3">
        <v>0</v>
      </c>
      <c r="K928" s="4">
        <v>0</v>
      </c>
      <c r="L928" s="3">
        <v>0</v>
      </c>
      <c r="M928" s="3">
        <v>519.4</v>
      </c>
      <c r="N928" s="3">
        <f t="shared" ref="N928:N938" si="619">M928*5500</f>
        <v>2856700</v>
      </c>
      <c r="O928" s="3">
        <v>0</v>
      </c>
      <c r="P928" s="3">
        <v>0</v>
      </c>
      <c r="Q928" s="3">
        <v>556.6</v>
      </c>
      <c r="R928" s="3">
        <f t="shared" si="612"/>
        <v>1669800</v>
      </c>
      <c r="S928" s="3">
        <v>0</v>
      </c>
      <c r="T928" s="5">
        <v>0</v>
      </c>
      <c r="U928" s="3">
        <v>100000</v>
      </c>
      <c r="V928" s="6">
        <f t="shared" si="613"/>
        <v>5500</v>
      </c>
    </row>
    <row r="929" spans="1:258" ht="21.9" customHeight="1">
      <c r="A929" s="37" t="s">
        <v>934</v>
      </c>
      <c r="B929" s="8" t="s">
        <v>678</v>
      </c>
      <c r="C929" s="2">
        <f t="shared" si="615"/>
        <v>1663395</v>
      </c>
      <c r="D929" s="3">
        <f t="shared" si="610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5">
        <v>247.89</v>
      </c>
      <c r="N929" s="3">
        <f t="shared" si="619"/>
        <v>1363395</v>
      </c>
      <c r="O929" s="3">
        <v>0</v>
      </c>
      <c r="P929" s="3">
        <v>0</v>
      </c>
      <c r="Q929" s="3">
        <v>0</v>
      </c>
      <c r="R929" s="3">
        <f t="shared" si="612"/>
        <v>0</v>
      </c>
      <c r="S929" s="3">
        <v>0</v>
      </c>
      <c r="T929" s="5">
        <v>0</v>
      </c>
      <c r="U929" s="3">
        <v>300000</v>
      </c>
      <c r="V929" s="6">
        <f t="shared" si="613"/>
        <v>5500</v>
      </c>
    </row>
    <row r="930" spans="1:258" ht="21.9" customHeight="1">
      <c r="A930" s="37" t="s">
        <v>935</v>
      </c>
      <c r="B930" s="23" t="s">
        <v>992</v>
      </c>
      <c r="C930" s="2">
        <f t="shared" si="615"/>
        <v>3480500</v>
      </c>
      <c r="D930" s="3">
        <f t="shared" ref="D930:D931" si="620">SUM(E930:J930)</f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11">
        <v>0</v>
      </c>
      <c r="L930" s="5">
        <v>0</v>
      </c>
      <c r="M930" s="5">
        <v>371</v>
      </c>
      <c r="N930" s="3">
        <f t="shared" si="619"/>
        <v>2040500</v>
      </c>
      <c r="O930" s="5">
        <v>0</v>
      </c>
      <c r="P930" s="5">
        <v>0</v>
      </c>
      <c r="Q930" s="5">
        <v>480</v>
      </c>
      <c r="R930" s="3">
        <f t="shared" si="612"/>
        <v>1440000</v>
      </c>
      <c r="S930" s="5">
        <v>0</v>
      </c>
      <c r="T930" s="5">
        <v>0</v>
      </c>
      <c r="U930" s="5">
        <v>0</v>
      </c>
      <c r="V930" s="6">
        <f t="shared" si="613"/>
        <v>5500</v>
      </c>
    </row>
    <row r="931" spans="1:258" ht="21.9" customHeight="1">
      <c r="A931" s="37" t="s">
        <v>936</v>
      </c>
      <c r="B931" s="23" t="s">
        <v>508</v>
      </c>
      <c r="C931" s="2">
        <f t="shared" si="615"/>
        <v>2612500</v>
      </c>
      <c r="D931" s="3">
        <f t="shared" si="620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11">
        <v>0</v>
      </c>
      <c r="L931" s="5">
        <v>0</v>
      </c>
      <c r="M931" s="5">
        <v>475</v>
      </c>
      <c r="N931" s="3">
        <f t="shared" si="619"/>
        <v>2612500</v>
      </c>
      <c r="O931" s="5">
        <v>0</v>
      </c>
      <c r="P931" s="5">
        <v>0</v>
      </c>
      <c r="Q931" s="5">
        <v>0</v>
      </c>
      <c r="R931" s="3">
        <f t="shared" si="612"/>
        <v>0</v>
      </c>
      <c r="S931" s="5">
        <v>0</v>
      </c>
      <c r="T931" s="5">
        <v>0</v>
      </c>
      <c r="U931" s="5">
        <v>0</v>
      </c>
      <c r="V931" s="6">
        <f t="shared" si="613"/>
        <v>5500</v>
      </c>
    </row>
    <row r="932" spans="1:258" ht="21.9" customHeight="1">
      <c r="A932" s="37" t="s">
        <v>937</v>
      </c>
      <c r="B932" s="23" t="s">
        <v>679</v>
      </c>
      <c r="C932" s="2">
        <f t="shared" si="615"/>
        <v>2335000</v>
      </c>
      <c r="D932" s="3">
        <f t="shared" si="610"/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4">
        <v>0</v>
      </c>
      <c r="L932" s="3">
        <v>0</v>
      </c>
      <c r="M932" s="3">
        <v>370</v>
      </c>
      <c r="N932" s="3">
        <f t="shared" si="619"/>
        <v>2035000</v>
      </c>
      <c r="O932" s="3">
        <v>0</v>
      </c>
      <c r="P932" s="3">
        <v>0</v>
      </c>
      <c r="Q932" s="3">
        <v>0</v>
      </c>
      <c r="R932" s="3">
        <f t="shared" si="612"/>
        <v>0</v>
      </c>
      <c r="S932" s="3">
        <v>0</v>
      </c>
      <c r="T932" s="5">
        <v>0</v>
      </c>
      <c r="U932" s="3">
        <v>300000</v>
      </c>
      <c r="V932" s="6">
        <f t="shared" si="613"/>
        <v>5500</v>
      </c>
    </row>
    <row r="933" spans="1:258" ht="21.9" customHeight="1">
      <c r="A933" s="37" t="s">
        <v>938</v>
      </c>
      <c r="B933" s="8" t="s">
        <v>680</v>
      </c>
      <c r="C933" s="2">
        <f t="shared" si="615"/>
        <v>3070649.9999999995</v>
      </c>
      <c r="D933" s="3">
        <f t="shared" si="610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4">
        <v>0</v>
      </c>
      <c r="L933" s="3">
        <v>0</v>
      </c>
      <c r="M933" s="5">
        <v>558.29999999999995</v>
      </c>
      <c r="N933" s="3">
        <f t="shared" si="619"/>
        <v>3070649.9999999995</v>
      </c>
      <c r="O933" s="3">
        <v>0</v>
      </c>
      <c r="P933" s="3">
        <v>0</v>
      </c>
      <c r="Q933" s="3">
        <v>0</v>
      </c>
      <c r="R933" s="3">
        <f t="shared" si="612"/>
        <v>0</v>
      </c>
      <c r="S933" s="3">
        <v>0</v>
      </c>
      <c r="T933" s="5">
        <v>0</v>
      </c>
      <c r="U933" s="3">
        <v>0</v>
      </c>
      <c r="V933" s="6">
        <f t="shared" si="613"/>
        <v>5500</v>
      </c>
    </row>
    <row r="934" spans="1:258" ht="21.9" customHeight="1">
      <c r="A934" s="37" t="s">
        <v>939</v>
      </c>
      <c r="B934" s="8" t="s">
        <v>681</v>
      </c>
      <c r="C934" s="2">
        <f t="shared" si="615"/>
        <v>1447600</v>
      </c>
      <c r="D934" s="3">
        <f t="shared" si="610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11">
        <v>0</v>
      </c>
      <c r="L934" s="3">
        <v>0</v>
      </c>
      <c r="M934" s="3">
        <v>263.2</v>
      </c>
      <c r="N934" s="3">
        <f t="shared" si="619"/>
        <v>1447600</v>
      </c>
      <c r="O934" s="3">
        <v>0</v>
      </c>
      <c r="P934" s="3">
        <v>0</v>
      </c>
      <c r="Q934" s="3">
        <v>0</v>
      </c>
      <c r="R934" s="3">
        <f t="shared" si="612"/>
        <v>0</v>
      </c>
      <c r="S934" s="3">
        <v>0</v>
      </c>
      <c r="T934" s="5">
        <v>0</v>
      </c>
      <c r="U934" s="3">
        <v>0</v>
      </c>
      <c r="V934" s="6">
        <f t="shared" si="613"/>
        <v>5500</v>
      </c>
    </row>
    <row r="935" spans="1:258" s="17" customFormat="1" ht="21.9" customHeight="1">
      <c r="A935" s="37" t="s">
        <v>940</v>
      </c>
      <c r="B935" s="8" t="s">
        <v>682</v>
      </c>
      <c r="C935" s="2">
        <f t="shared" si="615"/>
        <v>1958000</v>
      </c>
      <c r="D935" s="3">
        <f t="shared" si="610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11">
        <v>0</v>
      </c>
      <c r="L935" s="3">
        <v>0</v>
      </c>
      <c r="M935" s="3">
        <v>356</v>
      </c>
      <c r="N935" s="3">
        <f t="shared" si="619"/>
        <v>1958000</v>
      </c>
      <c r="O935" s="3">
        <v>0</v>
      </c>
      <c r="P935" s="3">
        <v>0</v>
      </c>
      <c r="Q935" s="3">
        <v>0</v>
      </c>
      <c r="R935" s="3">
        <f t="shared" si="612"/>
        <v>0</v>
      </c>
      <c r="S935" s="3">
        <v>0</v>
      </c>
      <c r="T935" s="5">
        <v>0</v>
      </c>
      <c r="U935" s="3">
        <v>0</v>
      </c>
      <c r="V935" s="6">
        <f t="shared" si="613"/>
        <v>5500</v>
      </c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7"/>
      <c r="DZ935" s="7"/>
      <c r="EA935" s="7"/>
      <c r="EB935" s="7"/>
      <c r="EC935" s="7"/>
      <c r="ED935" s="7"/>
      <c r="EE935" s="7"/>
      <c r="EF935" s="7"/>
      <c r="EG935" s="7"/>
      <c r="EH935" s="7"/>
      <c r="EI935" s="7"/>
      <c r="EJ935" s="7"/>
      <c r="EK935" s="7"/>
      <c r="EL935" s="7"/>
      <c r="EM935" s="7"/>
      <c r="EN935" s="7"/>
      <c r="EO935" s="7"/>
      <c r="EP935" s="7"/>
      <c r="EQ935" s="7"/>
      <c r="ER935" s="7"/>
      <c r="ES935" s="7"/>
      <c r="ET935" s="7"/>
      <c r="EU935" s="7"/>
      <c r="EV935" s="7"/>
      <c r="EW935" s="7"/>
      <c r="EX935" s="7"/>
      <c r="EY935" s="7"/>
      <c r="EZ935" s="7"/>
      <c r="FA935" s="7"/>
      <c r="FB935" s="7"/>
      <c r="FC935" s="7"/>
      <c r="FD935" s="7"/>
      <c r="FE935" s="7"/>
      <c r="FF935" s="7"/>
      <c r="FG935" s="7"/>
      <c r="FH935" s="7"/>
      <c r="FI935" s="7"/>
      <c r="FJ935" s="7"/>
      <c r="FK935" s="7"/>
      <c r="FL935" s="7"/>
      <c r="FM935" s="7"/>
      <c r="FN935" s="7"/>
      <c r="FO935" s="7"/>
      <c r="FP935" s="7"/>
      <c r="FQ935" s="7"/>
      <c r="FR935" s="7"/>
      <c r="FS935" s="7"/>
      <c r="FT935" s="7"/>
      <c r="FU935" s="7"/>
      <c r="FV935" s="7"/>
      <c r="FW935" s="7"/>
      <c r="FX935" s="7"/>
      <c r="FY935" s="7"/>
      <c r="FZ935" s="7"/>
      <c r="GA935" s="7"/>
      <c r="GB935" s="7"/>
      <c r="GC935" s="7"/>
      <c r="GD935" s="7"/>
      <c r="GE935" s="7"/>
      <c r="GF935" s="7"/>
      <c r="GG935" s="7"/>
      <c r="GH935" s="7"/>
      <c r="GI935" s="7"/>
      <c r="GJ935" s="7"/>
      <c r="GK935" s="7"/>
      <c r="GL935" s="7"/>
      <c r="GM935" s="7"/>
      <c r="GN935" s="7"/>
      <c r="GO935" s="7"/>
      <c r="GP935" s="7"/>
      <c r="GQ935" s="7"/>
      <c r="GR935" s="7"/>
      <c r="GS935" s="7"/>
      <c r="GT935" s="7"/>
      <c r="GU935" s="7"/>
      <c r="GV935" s="7"/>
      <c r="GW935" s="7"/>
      <c r="GX935" s="7"/>
      <c r="GY935" s="7"/>
      <c r="GZ935" s="7"/>
      <c r="HA935" s="7"/>
      <c r="HB935" s="7"/>
      <c r="HC935" s="7"/>
      <c r="HD935" s="7"/>
      <c r="HE935" s="7"/>
      <c r="HF935" s="7"/>
      <c r="HG935" s="7"/>
      <c r="HH935" s="7"/>
      <c r="HI935" s="7"/>
      <c r="HJ935" s="7"/>
      <c r="HK935" s="7"/>
      <c r="HL935" s="7"/>
      <c r="HM935" s="7"/>
      <c r="HN935" s="7"/>
      <c r="HO935" s="7"/>
      <c r="HP935" s="7"/>
      <c r="HQ935" s="7"/>
      <c r="HR935" s="7"/>
      <c r="HS935" s="7"/>
      <c r="HT935" s="7"/>
      <c r="HU935" s="7"/>
      <c r="HV935" s="7"/>
      <c r="HW935" s="7"/>
      <c r="HX935" s="7"/>
      <c r="HY935" s="7"/>
      <c r="HZ935" s="7"/>
      <c r="IA935" s="7"/>
      <c r="IB935" s="7"/>
      <c r="IC935" s="7"/>
      <c r="ID935" s="7"/>
      <c r="IE935" s="7"/>
      <c r="IF935" s="7"/>
      <c r="IG935" s="7"/>
      <c r="IH935" s="7"/>
      <c r="II935" s="7"/>
      <c r="IJ935" s="7"/>
      <c r="IK935" s="7"/>
      <c r="IL935" s="7"/>
      <c r="IM935" s="7"/>
      <c r="IN935" s="7"/>
      <c r="IO935" s="7"/>
      <c r="IP935" s="7"/>
      <c r="IQ935" s="7"/>
      <c r="IR935" s="7"/>
      <c r="IS935" s="7"/>
      <c r="IT935" s="7"/>
      <c r="IU935" s="7"/>
      <c r="IV935" s="7"/>
      <c r="IW935" s="7"/>
      <c r="IX935" s="7"/>
    </row>
    <row r="936" spans="1:258" ht="21.9" customHeight="1">
      <c r="A936" s="37" t="s">
        <v>941</v>
      </c>
      <c r="B936" s="8" t="s">
        <v>773</v>
      </c>
      <c r="C936" s="2">
        <f t="shared" si="615"/>
        <v>1837000</v>
      </c>
      <c r="D936" s="3">
        <f t="shared" si="610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11">
        <v>0</v>
      </c>
      <c r="L936" s="3">
        <v>0</v>
      </c>
      <c r="M936" s="3">
        <v>334</v>
      </c>
      <c r="N936" s="3">
        <f t="shared" si="619"/>
        <v>1837000</v>
      </c>
      <c r="O936" s="3">
        <v>0</v>
      </c>
      <c r="P936" s="3">
        <v>0</v>
      </c>
      <c r="Q936" s="3">
        <v>0</v>
      </c>
      <c r="R936" s="3">
        <f t="shared" si="612"/>
        <v>0</v>
      </c>
      <c r="S936" s="3">
        <v>0</v>
      </c>
      <c r="T936" s="5">
        <v>0</v>
      </c>
      <c r="U936" s="3">
        <v>0</v>
      </c>
      <c r="V936" s="6">
        <f t="shared" si="613"/>
        <v>5500</v>
      </c>
    </row>
    <row r="937" spans="1:258" ht="21.9" customHeight="1">
      <c r="A937" s="37" t="s">
        <v>942</v>
      </c>
      <c r="B937" s="8" t="s">
        <v>586</v>
      </c>
      <c r="C937" s="2">
        <f t="shared" si="615"/>
        <v>2706550</v>
      </c>
      <c r="D937" s="3">
        <f t="shared" ref="D937" si="621">SUM(E937:J937)</f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11">
        <v>0</v>
      </c>
      <c r="L937" s="5">
        <v>0</v>
      </c>
      <c r="M937" s="5">
        <v>492.1</v>
      </c>
      <c r="N937" s="3">
        <f t="shared" si="619"/>
        <v>2706550</v>
      </c>
      <c r="O937" s="5">
        <v>0</v>
      </c>
      <c r="P937" s="5">
        <v>0</v>
      </c>
      <c r="Q937" s="5">
        <v>0</v>
      </c>
      <c r="R937" s="3">
        <f t="shared" si="612"/>
        <v>0</v>
      </c>
      <c r="S937" s="5">
        <v>0</v>
      </c>
      <c r="T937" s="5">
        <v>0</v>
      </c>
      <c r="U937" s="5">
        <v>0</v>
      </c>
      <c r="V937" s="6">
        <f t="shared" si="613"/>
        <v>5500</v>
      </c>
    </row>
    <row r="938" spans="1:258" ht="21.9" customHeight="1">
      <c r="A938" s="37" t="s">
        <v>943</v>
      </c>
      <c r="B938" s="8" t="s">
        <v>509</v>
      </c>
      <c r="C938" s="2">
        <f t="shared" si="615"/>
        <v>1270500</v>
      </c>
      <c r="D938" s="3">
        <f t="shared" ref="D938" si="622">SUM(E938:J938)</f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11">
        <v>0</v>
      </c>
      <c r="L938" s="5">
        <v>0</v>
      </c>
      <c r="M938" s="5">
        <v>231</v>
      </c>
      <c r="N938" s="3">
        <f t="shared" si="619"/>
        <v>1270500</v>
      </c>
      <c r="O938" s="5">
        <v>0</v>
      </c>
      <c r="P938" s="5">
        <v>0</v>
      </c>
      <c r="Q938" s="5">
        <v>0</v>
      </c>
      <c r="R938" s="3">
        <f t="shared" si="612"/>
        <v>0</v>
      </c>
      <c r="S938" s="5">
        <v>0</v>
      </c>
      <c r="T938" s="5">
        <v>0</v>
      </c>
      <c r="U938" s="5">
        <v>0</v>
      </c>
      <c r="V938" s="6">
        <f t="shared" si="613"/>
        <v>5500</v>
      </c>
    </row>
    <row r="939" spans="1:258" s="26" customFormat="1" ht="21.9" customHeight="1">
      <c r="A939" s="37" t="s">
        <v>944</v>
      </c>
      <c r="B939" s="23" t="s">
        <v>774</v>
      </c>
      <c r="C939" s="2">
        <f t="shared" si="615"/>
        <v>4168866</v>
      </c>
      <c r="D939" s="3">
        <f t="shared" si="610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11">
        <v>0</v>
      </c>
      <c r="L939" s="3">
        <v>0</v>
      </c>
      <c r="M939" s="3">
        <v>1131</v>
      </c>
      <c r="N939" s="3">
        <f>M939*3686</f>
        <v>4168866</v>
      </c>
      <c r="O939" s="3">
        <v>0</v>
      </c>
      <c r="P939" s="3">
        <v>0</v>
      </c>
      <c r="Q939" s="3">
        <v>0</v>
      </c>
      <c r="R939" s="3">
        <f t="shared" si="612"/>
        <v>0</v>
      </c>
      <c r="S939" s="3">
        <v>0</v>
      </c>
      <c r="T939" s="5">
        <v>0</v>
      </c>
      <c r="U939" s="3">
        <v>0</v>
      </c>
      <c r="V939" s="6">
        <f t="shared" si="613"/>
        <v>3686</v>
      </c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7"/>
      <c r="DZ939" s="7"/>
      <c r="EA939" s="7"/>
      <c r="EB939" s="7"/>
      <c r="EC939" s="7"/>
      <c r="ED939" s="7"/>
      <c r="EE939" s="7"/>
      <c r="EF939" s="7"/>
      <c r="EG939" s="7"/>
      <c r="EH939" s="7"/>
      <c r="EI939" s="7"/>
      <c r="EJ939" s="7"/>
      <c r="EK939" s="7"/>
      <c r="EL939" s="7"/>
      <c r="EM939" s="7"/>
      <c r="EN939" s="7"/>
      <c r="EO939" s="7"/>
      <c r="EP939" s="7"/>
      <c r="EQ939" s="7"/>
      <c r="ER939" s="7"/>
      <c r="ES939" s="7"/>
      <c r="ET939" s="7"/>
      <c r="EU939" s="7"/>
      <c r="EV939" s="7"/>
      <c r="EW939" s="7"/>
      <c r="EX939" s="7"/>
      <c r="EY939" s="7"/>
      <c r="EZ939" s="7"/>
      <c r="FA939" s="7"/>
      <c r="FB939" s="7"/>
      <c r="FC939" s="7"/>
      <c r="FD939" s="7"/>
      <c r="FE939" s="7"/>
      <c r="FF939" s="7"/>
      <c r="FG939" s="7"/>
      <c r="FH939" s="7"/>
      <c r="FI939" s="7"/>
      <c r="FJ939" s="7"/>
      <c r="FK939" s="7"/>
      <c r="FL939" s="7"/>
      <c r="FM939" s="7"/>
      <c r="FN939" s="7"/>
      <c r="FO939" s="7"/>
      <c r="FP939" s="7"/>
      <c r="FQ939" s="7"/>
      <c r="FR939" s="7"/>
      <c r="FS939" s="7"/>
      <c r="FT939" s="7"/>
      <c r="FU939" s="7"/>
      <c r="FV939" s="7"/>
      <c r="FW939" s="7"/>
      <c r="FX939" s="7"/>
      <c r="FY939" s="7"/>
      <c r="FZ939" s="7"/>
      <c r="GA939" s="7"/>
      <c r="GB939" s="7"/>
      <c r="GC939" s="7"/>
      <c r="GD939" s="7"/>
      <c r="GE939" s="7"/>
      <c r="GF939" s="7"/>
      <c r="GG939" s="7"/>
      <c r="GH939" s="7"/>
      <c r="GI939" s="7"/>
      <c r="GJ939" s="7"/>
      <c r="GK939" s="7"/>
      <c r="GL939" s="7"/>
      <c r="GM939" s="7"/>
      <c r="GN939" s="7"/>
      <c r="GO939" s="7"/>
      <c r="GP939" s="7"/>
      <c r="GQ939" s="7"/>
      <c r="GR939" s="7"/>
      <c r="GS939" s="7"/>
      <c r="GT939" s="7"/>
      <c r="GU939" s="7"/>
      <c r="GV939" s="7"/>
      <c r="GW939" s="7"/>
      <c r="GX939" s="7"/>
      <c r="GY939" s="7"/>
      <c r="GZ939" s="7"/>
      <c r="HA939" s="7"/>
      <c r="HB939" s="7"/>
      <c r="HC939" s="7"/>
      <c r="HD939" s="7"/>
      <c r="HE939" s="7"/>
      <c r="HF939" s="7"/>
      <c r="HG939" s="7"/>
      <c r="HH939" s="7"/>
      <c r="HI939" s="7"/>
      <c r="HJ939" s="7"/>
      <c r="HK939" s="7"/>
      <c r="HL939" s="7"/>
      <c r="HM939" s="7"/>
      <c r="HN939" s="7"/>
      <c r="HO939" s="7"/>
      <c r="HP939" s="7"/>
      <c r="HQ939" s="7"/>
      <c r="HR939" s="7"/>
      <c r="HS939" s="7"/>
      <c r="HT939" s="7"/>
      <c r="HU939" s="7"/>
      <c r="HV939" s="7"/>
      <c r="HW939" s="7"/>
      <c r="HX939" s="7"/>
      <c r="HY939" s="7"/>
      <c r="HZ939" s="7"/>
      <c r="IA939" s="7"/>
      <c r="IB939" s="7"/>
      <c r="IC939" s="7"/>
      <c r="ID939" s="7"/>
      <c r="IE939" s="7"/>
      <c r="IF939" s="7"/>
      <c r="IG939" s="7"/>
      <c r="IH939" s="7"/>
      <c r="II939" s="7"/>
      <c r="IJ939" s="7"/>
      <c r="IK939" s="7"/>
      <c r="IL939" s="7"/>
      <c r="IM939" s="7"/>
      <c r="IN939" s="7"/>
      <c r="IO939" s="7"/>
      <c r="IP939" s="7"/>
      <c r="IQ939" s="7"/>
      <c r="IR939" s="7"/>
      <c r="IS939" s="7"/>
      <c r="IT939" s="7"/>
      <c r="IU939" s="7"/>
      <c r="IV939" s="7"/>
      <c r="IW939" s="7"/>
      <c r="IX939" s="7"/>
    </row>
    <row r="940" spans="1:258" s="26" customFormat="1" ht="21.9" customHeight="1">
      <c r="A940" s="37" t="s">
        <v>945</v>
      </c>
      <c r="B940" s="23" t="s">
        <v>821</v>
      </c>
      <c r="C940" s="2">
        <f t="shared" si="615"/>
        <v>26493260.5</v>
      </c>
      <c r="D940" s="3">
        <f t="shared" si="610"/>
        <v>10684110.5</v>
      </c>
      <c r="E940" s="3">
        <f>350*4546.43</f>
        <v>1591250.5</v>
      </c>
      <c r="F940" s="3">
        <f>1050*4546.43</f>
        <v>4773751.5</v>
      </c>
      <c r="G940" s="3">
        <f>300*4546.43</f>
        <v>1363929</v>
      </c>
      <c r="H940" s="3">
        <f>400*4546.43</f>
        <v>1818572</v>
      </c>
      <c r="I940" s="3">
        <f>250*4546.43</f>
        <v>1136607.5</v>
      </c>
      <c r="J940" s="3">
        <v>0</v>
      </c>
      <c r="K940" s="4">
        <v>0</v>
      </c>
      <c r="L940" s="3">
        <v>0</v>
      </c>
      <c r="M940" s="5">
        <v>1234</v>
      </c>
      <c r="N940" s="3">
        <f t="shared" ref="N940:N942" si="623">M940*5500</f>
        <v>6787000</v>
      </c>
      <c r="O940" s="3">
        <v>0</v>
      </c>
      <c r="P940" s="3">
        <v>0</v>
      </c>
      <c r="Q940" s="3">
        <v>2974.05</v>
      </c>
      <c r="R940" s="3">
        <f t="shared" si="612"/>
        <v>8922150</v>
      </c>
      <c r="S940" s="3">
        <v>0</v>
      </c>
      <c r="T940" s="5">
        <v>0</v>
      </c>
      <c r="U940" s="3">
        <v>100000</v>
      </c>
      <c r="V940" s="6">
        <f t="shared" si="613"/>
        <v>5500</v>
      </c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7"/>
      <c r="DZ940" s="7"/>
      <c r="EA940" s="7"/>
      <c r="EB940" s="7"/>
      <c r="EC940" s="7"/>
      <c r="ED940" s="7"/>
      <c r="EE940" s="7"/>
      <c r="EF940" s="7"/>
      <c r="EG940" s="7"/>
      <c r="EH940" s="7"/>
      <c r="EI940" s="7"/>
      <c r="EJ940" s="7"/>
      <c r="EK940" s="7"/>
      <c r="EL940" s="7"/>
      <c r="EM940" s="7"/>
      <c r="EN940" s="7"/>
      <c r="EO940" s="7"/>
      <c r="EP940" s="7"/>
      <c r="EQ940" s="7"/>
      <c r="ER940" s="7"/>
      <c r="ES940" s="7"/>
      <c r="ET940" s="7"/>
      <c r="EU940" s="7"/>
      <c r="EV940" s="7"/>
      <c r="EW940" s="7"/>
      <c r="EX940" s="7"/>
      <c r="EY940" s="7"/>
      <c r="EZ940" s="7"/>
      <c r="FA940" s="7"/>
      <c r="FB940" s="7"/>
      <c r="FC940" s="7"/>
      <c r="FD940" s="7"/>
      <c r="FE940" s="7"/>
      <c r="FF940" s="7"/>
      <c r="FG940" s="7"/>
      <c r="FH940" s="7"/>
      <c r="FI940" s="7"/>
      <c r="FJ940" s="7"/>
      <c r="FK940" s="7"/>
      <c r="FL940" s="7"/>
      <c r="FM940" s="7"/>
      <c r="FN940" s="7"/>
      <c r="FO940" s="7"/>
      <c r="FP940" s="7"/>
      <c r="FQ940" s="7"/>
      <c r="FR940" s="7"/>
      <c r="FS940" s="7"/>
      <c r="FT940" s="7"/>
      <c r="FU940" s="7"/>
      <c r="FV940" s="7"/>
      <c r="FW940" s="7"/>
      <c r="FX940" s="7"/>
      <c r="FY940" s="7"/>
      <c r="FZ940" s="7"/>
      <c r="GA940" s="7"/>
      <c r="GB940" s="7"/>
      <c r="GC940" s="7"/>
      <c r="GD940" s="7"/>
      <c r="GE940" s="7"/>
      <c r="GF940" s="7"/>
      <c r="GG940" s="7"/>
      <c r="GH940" s="7"/>
      <c r="GI940" s="7"/>
      <c r="GJ940" s="7"/>
      <c r="GK940" s="7"/>
      <c r="GL940" s="7"/>
      <c r="GM940" s="7"/>
      <c r="GN940" s="7"/>
      <c r="GO940" s="7"/>
      <c r="GP940" s="7"/>
      <c r="GQ940" s="7"/>
      <c r="GR940" s="7"/>
      <c r="GS940" s="7"/>
      <c r="GT940" s="7"/>
      <c r="GU940" s="7"/>
      <c r="GV940" s="7"/>
      <c r="GW940" s="7"/>
      <c r="GX940" s="7"/>
      <c r="GY940" s="7"/>
      <c r="GZ940" s="7"/>
      <c r="HA940" s="7"/>
      <c r="HB940" s="7"/>
      <c r="HC940" s="7"/>
      <c r="HD940" s="7"/>
      <c r="HE940" s="7"/>
      <c r="HF940" s="7"/>
      <c r="HG940" s="7"/>
      <c r="HH940" s="7"/>
      <c r="HI940" s="7"/>
      <c r="HJ940" s="7"/>
      <c r="HK940" s="7"/>
      <c r="HL940" s="7"/>
      <c r="HM940" s="7"/>
      <c r="HN940" s="7"/>
      <c r="HO940" s="7"/>
      <c r="HP940" s="7"/>
      <c r="HQ940" s="7"/>
      <c r="HR940" s="7"/>
      <c r="HS940" s="7"/>
      <c r="HT940" s="7"/>
      <c r="HU940" s="7"/>
      <c r="HV940" s="7"/>
      <c r="HW940" s="7"/>
      <c r="HX940" s="7"/>
      <c r="HY940" s="7"/>
      <c r="HZ940" s="7"/>
      <c r="IA940" s="7"/>
      <c r="IB940" s="7"/>
      <c r="IC940" s="7"/>
      <c r="ID940" s="7"/>
      <c r="IE940" s="7"/>
      <c r="IF940" s="7"/>
      <c r="IG940" s="7"/>
      <c r="IH940" s="7"/>
      <c r="II940" s="7"/>
      <c r="IJ940" s="7"/>
      <c r="IK940" s="7"/>
      <c r="IL940" s="7"/>
      <c r="IM940" s="7"/>
      <c r="IN940" s="7"/>
      <c r="IO940" s="7"/>
      <c r="IP940" s="7"/>
      <c r="IQ940" s="7"/>
      <c r="IR940" s="7"/>
      <c r="IS940" s="7"/>
      <c r="IT940" s="7"/>
      <c r="IU940" s="7"/>
      <c r="IV940" s="7"/>
      <c r="IW940" s="7"/>
      <c r="IX940" s="7"/>
    </row>
    <row r="941" spans="1:258" ht="21.9" customHeight="1">
      <c r="A941" s="37" t="s">
        <v>946</v>
      </c>
      <c r="B941" s="8" t="s">
        <v>684</v>
      </c>
      <c r="C941" s="2">
        <f t="shared" si="615"/>
        <v>1595000</v>
      </c>
      <c r="D941" s="3">
        <f t="shared" si="610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290</v>
      </c>
      <c r="N941" s="3">
        <f t="shared" si="623"/>
        <v>1595000</v>
      </c>
      <c r="O941" s="3">
        <v>0</v>
      </c>
      <c r="P941" s="3">
        <v>0</v>
      </c>
      <c r="Q941" s="3">
        <v>0</v>
      </c>
      <c r="R941" s="3">
        <f t="shared" si="612"/>
        <v>0</v>
      </c>
      <c r="S941" s="3">
        <v>0</v>
      </c>
      <c r="T941" s="5">
        <v>0</v>
      </c>
      <c r="U941" s="3">
        <v>0</v>
      </c>
      <c r="V941" s="6">
        <f t="shared" si="613"/>
        <v>5500</v>
      </c>
    </row>
    <row r="942" spans="1:258" ht="21.9" customHeight="1">
      <c r="A942" s="37" t="s">
        <v>947</v>
      </c>
      <c r="B942" s="8" t="s">
        <v>685</v>
      </c>
      <c r="C942" s="2">
        <f t="shared" si="615"/>
        <v>1611500</v>
      </c>
      <c r="D942" s="3">
        <f t="shared" si="610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3">
        <v>293</v>
      </c>
      <c r="N942" s="3">
        <f t="shared" si="623"/>
        <v>1611500</v>
      </c>
      <c r="O942" s="3">
        <v>0</v>
      </c>
      <c r="P942" s="3">
        <v>0</v>
      </c>
      <c r="Q942" s="3">
        <v>0</v>
      </c>
      <c r="R942" s="3">
        <f t="shared" si="612"/>
        <v>0</v>
      </c>
      <c r="S942" s="3">
        <v>0</v>
      </c>
      <c r="T942" s="5">
        <v>0</v>
      </c>
      <c r="U942" s="3">
        <v>0</v>
      </c>
      <c r="V942" s="6">
        <f t="shared" si="613"/>
        <v>5500</v>
      </c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  <c r="IX942" s="17"/>
    </row>
    <row r="943" spans="1:258" s="17" customFormat="1" ht="21.9" customHeight="1">
      <c r="A943" s="37" t="s">
        <v>948</v>
      </c>
      <c r="B943" s="8" t="s">
        <v>686</v>
      </c>
      <c r="C943" s="2">
        <f t="shared" si="615"/>
        <v>1611500</v>
      </c>
      <c r="D943" s="3">
        <f t="shared" si="610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293</v>
      </c>
      <c r="N943" s="3">
        <f t="shared" ref="N943:N956" si="624">M943*5500</f>
        <v>1611500</v>
      </c>
      <c r="O943" s="3">
        <v>0</v>
      </c>
      <c r="P943" s="3">
        <v>0</v>
      </c>
      <c r="Q943" s="3">
        <v>0</v>
      </c>
      <c r="R943" s="3">
        <f t="shared" si="612"/>
        <v>0</v>
      </c>
      <c r="S943" s="3">
        <v>0</v>
      </c>
      <c r="T943" s="5">
        <v>0</v>
      </c>
      <c r="U943" s="3">
        <v>0</v>
      </c>
      <c r="V943" s="6">
        <f t="shared" si="613"/>
        <v>5500</v>
      </c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7"/>
      <c r="DZ943" s="7"/>
      <c r="EA943" s="7"/>
      <c r="EB943" s="7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  <c r="GA943" s="7"/>
      <c r="GB943" s="7"/>
      <c r="GC943" s="7"/>
      <c r="GD943" s="7"/>
      <c r="GE943" s="7"/>
      <c r="GF943" s="7"/>
      <c r="GG943" s="7"/>
      <c r="GH943" s="7"/>
      <c r="GI943" s="7"/>
      <c r="GJ943" s="7"/>
      <c r="GK943" s="7"/>
      <c r="GL943" s="7"/>
      <c r="GM943" s="7"/>
      <c r="GN943" s="7"/>
      <c r="GO943" s="7"/>
      <c r="GP943" s="7"/>
      <c r="GQ943" s="7"/>
      <c r="GR943" s="7"/>
      <c r="GS943" s="7"/>
      <c r="GT943" s="7"/>
      <c r="GU943" s="7"/>
      <c r="GV943" s="7"/>
      <c r="GW943" s="7"/>
      <c r="GX943" s="7"/>
      <c r="GY943" s="7"/>
      <c r="GZ943" s="7"/>
      <c r="HA943" s="7"/>
      <c r="HB943" s="7"/>
      <c r="HC943" s="7"/>
      <c r="HD943" s="7"/>
      <c r="HE943" s="7"/>
      <c r="HF943" s="7"/>
      <c r="HG943" s="7"/>
      <c r="HH943" s="7"/>
      <c r="HI943" s="7"/>
      <c r="HJ943" s="7"/>
      <c r="HK943" s="7"/>
      <c r="HL943" s="7"/>
      <c r="HM943" s="7"/>
      <c r="HN943" s="7"/>
      <c r="HO943" s="7"/>
      <c r="HP943" s="7"/>
      <c r="HQ943" s="7"/>
      <c r="HR943" s="7"/>
      <c r="HS943" s="7"/>
      <c r="HT943" s="7"/>
      <c r="HU943" s="7"/>
      <c r="HV943" s="7"/>
      <c r="HW943" s="7"/>
      <c r="HX943" s="7"/>
      <c r="HY943" s="7"/>
      <c r="HZ943" s="7"/>
      <c r="IA943" s="7"/>
      <c r="IB943" s="7"/>
      <c r="IC943" s="7"/>
      <c r="ID943" s="7"/>
      <c r="IE943" s="7"/>
      <c r="IF943" s="7"/>
      <c r="IG943" s="7"/>
      <c r="IH943" s="7"/>
      <c r="II943" s="7"/>
      <c r="IJ943" s="7"/>
      <c r="IK943" s="7"/>
      <c r="IL943" s="7"/>
      <c r="IM943" s="7"/>
      <c r="IN943" s="7"/>
      <c r="IO943" s="7"/>
      <c r="IP943" s="7"/>
      <c r="IQ943" s="7"/>
      <c r="IR943" s="7"/>
      <c r="IS943" s="7"/>
      <c r="IT943" s="7"/>
      <c r="IU943" s="7"/>
      <c r="IV943" s="7"/>
      <c r="IW943" s="7"/>
      <c r="IX943" s="7"/>
    </row>
    <row r="944" spans="1:258" ht="21.9" customHeight="1">
      <c r="A944" s="37" t="s">
        <v>949</v>
      </c>
      <c r="B944" s="8" t="s">
        <v>687</v>
      </c>
      <c r="C944" s="2">
        <f t="shared" si="615"/>
        <v>1617000</v>
      </c>
      <c r="D944" s="3">
        <f t="shared" si="610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3">
        <v>294</v>
      </c>
      <c r="N944" s="3">
        <f t="shared" si="624"/>
        <v>1617000</v>
      </c>
      <c r="O944" s="3">
        <v>0</v>
      </c>
      <c r="P944" s="3">
        <v>0</v>
      </c>
      <c r="Q944" s="3">
        <v>0</v>
      </c>
      <c r="R944" s="3">
        <f t="shared" si="612"/>
        <v>0</v>
      </c>
      <c r="S944" s="3">
        <v>0</v>
      </c>
      <c r="T944" s="5">
        <v>0</v>
      </c>
      <c r="U944" s="3">
        <v>0</v>
      </c>
      <c r="V944" s="6">
        <f t="shared" si="613"/>
        <v>5500</v>
      </c>
    </row>
    <row r="945" spans="1:258" ht="21.9" customHeight="1">
      <c r="A945" s="37" t="s">
        <v>950</v>
      </c>
      <c r="B945" s="8" t="s">
        <v>688</v>
      </c>
      <c r="C945" s="2">
        <f t="shared" si="615"/>
        <v>1600500</v>
      </c>
      <c r="D945" s="3">
        <f t="shared" si="610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3">
        <v>291</v>
      </c>
      <c r="N945" s="3">
        <f t="shared" si="624"/>
        <v>1600500</v>
      </c>
      <c r="O945" s="3">
        <v>0</v>
      </c>
      <c r="P945" s="3">
        <v>0</v>
      </c>
      <c r="Q945" s="3">
        <v>0</v>
      </c>
      <c r="R945" s="3">
        <f t="shared" si="612"/>
        <v>0</v>
      </c>
      <c r="S945" s="3">
        <v>0</v>
      </c>
      <c r="T945" s="5">
        <v>0</v>
      </c>
      <c r="U945" s="3">
        <v>0</v>
      </c>
      <c r="V945" s="6">
        <f t="shared" si="613"/>
        <v>5500</v>
      </c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  <c r="BL945" s="26"/>
      <c r="BM945" s="26"/>
      <c r="BN945" s="26"/>
      <c r="BO945" s="26"/>
      <c r="BP945" s="26"/>
      <c r="BQ945" s="26"/>
      <c r="BR945" s="26"/>
      <c r="BS945" s="26"/>
      <c r="BT945" s="26"/>
      <c r="BU945" s="26"/>
      <c r="BV945" s="26"/>
      <c r="BW945" s="26"/>
      <c r="BX945" s="26"/>
      <c r="BY945" s="26"/>
      <c r="BZ945" s="26"/>
      <c r="CA945" s="26"/>
      <c r="CB945" s="26"/>
      <c r="CC945" s="26"/>
      <c r="CD945" s="26"/>
      <c r="CE945" s="26"/>
      <c r="CF945" s="26"/>
      <c r="CG945" s="26"/>
      <c r="CH945" s="26"/>
      <c r="CI945" s="26"/>
      <c r="CJ945" s="26"/>
      <c r="CK945" s="26"/>
      <c r="CL945" s="26"/>
      <c r="CM945" s="26"/>
      <c r="CN945" s="26"/>
      <c r="CO945" s="26"/>
      <c r="CP945" s="26"/>
      <c r="CQ945" s="26"/>
      <c r="CR945" s="26"/>
      <c r="CS945" s="26"/>
      <c r="CT945" s="26"/>
      <c r="CU945" s="26"/>
      <c r="CV945" s="26"/>
      <c r="CW945" s="26"/>
      <c r="CX945" s="26"/>
      <c r="CY945" s="26"/>
      <c r="CZ945" s="26"/>
      <c r="DA945" s="26"/>
      <c r="DB945" s="26"/>
      <c r="DC945" s="26"/>
      <c r="DD945" s="26"/>
      <c r="DE945" s="26"/>
      <c r="DF945" s="26"/>
      <c r="DG945" s="26"/>
      <c r="DH945" s="26"/>
      <c r="DI945" s="26"/>
      <c r="DJ945" s="26"/>
      <c r="DK945" s="26"/>
      <c r="DL945" s="26"/>
      <c r="DM945" s="26"/>
      <c r="DN945" s="26"/>
      <c r="DO945" s="26"/>
      <c r="DP945" s="26"/>
      <c r="DQ945" s="26"/>
      <c r="DR945" s="26"/>
      <c r="DS945" s="26"/>
      <c r="DT945" s="26"/>
      <c r="DU945" s="26"/>
      <c r="DV945" s="26"/>
      <c r="DW945" s="26"/>
      <c r="DX945" s="26"/>
      <c r="DY945" s="26"/>
      <c r="DZ945" s="26"/>
      <c r="EA945" s="26"/>
      <c r="EB945" s="26"/>
      <c r="EC945" s="26"/>
      <c r="ED945" s="26"/>
      <c r="EE945" s="26"/>
      <c r="EF945" s="26"/>
      <c r="EG945" s="26"/>
      <c r="EH945" s="26"/>
      <c r="EI945" s="26"/>
      <c r="EJ945" s="26"/>
      <c r="EK945" s="26"/>
      <c r="EL945" s="26"/>
      <c r="EM945" s="26"/>
      <c r="EN945" s="26"/>
      <c r="EO945" s="26"/>
      <c r="EP945" s="26"/>
      <c r="EQ945" s="26"/>
      <c r="ER945" s="26"/>
      <c r="ES945" s="26"/>
      <c r="ET945" s="26"/>
      <c r="EU945" s="26"/>
      <c r="EV945" s="26"/>
      <c r="EW945" s="26"/>
      <c r="EX945" s="26"/>
      <c r="EY945" s="26"/>
      <c r="EZ945" s="26"/>
      <c r="FA945" s="26"/>
      <c r="FB945" s="26"/>
      <c r="FC945" s="26"/>
      <c r="FD945" s="26"/>
      <c r="FE945" s="26"/>
      <c r="FF945" s="26"/>
      <c r="FG945" s="26"/>
      <c r="FH945" s="26"/>
      <c r="FI945" s="26"/>
      <c r="FJ945" s="26"/>
      <c r="FK945" s="26"/>
      <c r="FL945" s="26"/>
      <c r="FM945" s="26"/>
      <c r="FN945" s="26"/>
      <c r="FO945" s="26"/>
      <c r="FP945" s="26"/>
      <c r="FQ945" s="26"/>
      <c r="FR945" s="26"/>
      <c r="FS945" s="26"/>
      <c r="FT945" s="26"/>
      <c r="FU945" s="26"/>
      <c r="FV945" s="26"/>
      <c r="FW945" s="26"/>
      <c r="FX945" s="26"/>
      <c r="FY945" s="26"/>
      <c r="FZ945" s="26"/>
      <c r="GA945" s="26"/>
      <c r="GB945" s="26"/>
      <c r="GC945" s="26"/>
      <c r="GD945" s="26"/>
      <c r="GE945" s="26"/>
      <c r="GF945" s="26"/>
      <c r="GG945" s="26"/>
      <c r="GH945" s="26"/>
      <c r="GI945" s="26"/>
      <c r="GJ945" s="26"/>
      <c r="GK945" s="26"/>
      <c r="GL945" s="26"/>
      <c r="GM945" s="26"/>
      <c r="GN945" s="26"/>
      <c r="GO945" s="26"/>
      <c r="GP945" s="26"/>
      <c r="GQ945" s="26"/>
      <c r="GR945" s="26"/>
      <c r="GS945" s="26"/>
      <c r="GT945" s="26"/>
      <c r="GU945" s="26"/>
      <c r="GV945" s="26"/>
      <c r="GW945" s="26"/>
      <c r="GX945" s="26"/>
      <c r="GY945" s="26"/>
      <c r="GZ945" s="26"/>
      <c r="HA945" s="26"/>
      <c r="HB945" s="26"/>
      <c r="HC945" s="26"/>
      <c r="HD945" s="26"/>
      <c r="HE945" s="26"/>
      <c r="HF945" s="26"/>
      <c r="HG945" s="26"/>
      <c r="HH945" s="26"/>
      <c r="HI945" s="26"/>
      <c r="HJ945" s="26"/>
      <c r="HK945" s="26"/>
      <c r="HL945" s="26"/>
      <c r="HM945" s="26"/>
      <c r="HN945" s="26"/>
      <c r="HO945" s="26"/>
      <c r="HP945" s="26"/>
      <c r="HQ945" s="26"/>
      <c r="HR945" s="26"/>
      <c r="HS945" s="26"/>
      <c r="HT945" s="26"/>
      <c r="HU945" s="26"/>
      <c r="HV945" s="26"/>
      <c r="HW945" s="26"/>
      <c r="HX945" s="26"/>
      <c r="HY945" s="26"/>
      <c r="HZ945" s="26"/>
      <c r="IA945" s="26"/>
      <c r="IB945" s="26"/>
      <c r="IC945" s="26"/>
      <c r="ID945" s="26"/>
      <c r="IE945" s="26"/>
      <c r="IF945" s="26"/>
      <c r="IG945" s="26"/>
      <c r="IH945" s="26"/>
      <c r="II945" s="26"/>
      <c r="IJ945" s="26"/>
      <c r="IK945" s="26"/>
      <c r="IL945" s="26"/>
      <c r="IM945" s="26"/>
      <c r="IN945" s="26"/>
      <c r="IO945" s="26"/>
      <c r="IP945" s="26"/>
      <c r="IQ945" s="26"/>
      <c r="IR945" s="26"/>
      <c r="IS945" s="26"/>
      <c r="IT945" s="26"/>
      <c r="IU945" s="26"/>
      <c r="IV945" s="26"/>
      <c r="IW945" s="26"/>
      <c r="IX945" s="26"/>
    </row>
    <row r="946" spans="1:258" ht="21.9" customHeight="1">
      <c r="A946" s="37" t="s">
        <v>951</v>
      </c>
      <c r="B946" s="8" t="s">
        <v>689</v>
      </c>
      <c r="C946" s="2">
        <f t="shared" si="615"/>
        <v>1589500</v>
      </c>
      <c r="D946" s="3">
        <f t="shared" si="610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3">
        <v>289</v>
      </c>
      <c r="N946" s="3">
        <f t="shared" si="624"/>
        <v>1589500</v>
      </c>
      <c r="O946" s="3">
        <v>0</v>
      </c>
      <c r="P946" s="3">
        <v>0</v>
      </c>
      <c r="Q946" s="3">
        <v>0</v>
      </c>
      <c r="R946" s="3">
        <f t="shared" si="612"/>
        <v>0</v>
      </c>
      <c r="S946" s="3">
        <v>0</v>
      </c>
      <c r="T946" s="5">
        <v>0</v>
      </c>
      <c r="U946" s="3">
        <v>0</v>
      </c>
      <c r="V946" s="6">
        <f t="shared" si="613"/>
        <v>5500</v>
      </c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  <c r="BJ946" s="26"/>
      <c r="BK946" s="26"/>
      <c r="BL946" s="26"/>
      <c r="BM946" s="26"/>
      <c r="BN946" s="26"/>
      <c r="BO946" s="26"/>
      <c r="BP946" s="26"/>
      <c r="BQ946" s="26"/>
      <c r="BR946" s="26"/>
      <c r="BS946" s="26"/>
      <c r="BT946" s="26"/>
      <c r="BU946" s="26"/>
      <c r="BV946" s="26"/>
      <c r="BW946" s="26"/>
      <c r="BX946" s="26"/>
      <c r="BY946" s="26"/>
      <c r="BZ946" s="26"/>
      <c r="CA946" s="26"/>
      <c r="CB946" s="26"/>
      <c r="CC946" s="26"/>
      <c r="CD946" s="26"/>
      <c r="CE946" s="26"/>
      <c r="CF946" s="26"/>
      <c r="CG946" s="26"/>
      <c r="CH946" s="26"/>
      <c r="CI946" s="26"/>
      <c r="CJ946" s="26"/>
      <c r="CK946" s="26"/>
      <c r="CL946" s="26"/>
      <c r="CM946" s="26"/>
      <c r="CN946" s="26"/>
      <c r="CO946" s="26"/>
      <c r="CP946" s="26"/>
      <c r="CQ946" s="26"/>
      <c r="CR946" s="26"/>
      <c r="CS946" s="26"/>
      <c r="CT946" s="26"/>
      <c r="CU946" s="26"/>
      <c r="CV946" s="26"/>
      <c r="CW946" s="26"/>
      <c r="CX946" s="26"/>
      <c r="CY946" s="26"/>
      <c r="CZ946" s="26"/>
      <c r="DA946" s="26"/>
      <c r="DB946" s="26"/>
      <c r="DC946" s="26"/>
      <c r="DD946" s="26"/>
      <c r="DE946" s="26"/>
      <c r="DF946" s="26"/>
      <c r="DG946" s="26"/>
      <c r="DH946" s="26"/>
      <c r="DI946" s="26"/>
      <c r="DJ946" s="26"/>
      <c r="DK946" s="26"/>
      <c r="DL946" s="26"/>
      <c r="DM946" s="26"/>
      <c r="DN946" s="26"/>
      <c r="DO946" s="26"/>
      <c r="DP946" s="26"/>
      <c r="DQ946" s="26"/>
      <c r="DR946" s="26"/>
      <c r="DS946" s="26"/>
      <c r="DT946" s="26"/>
      <c r="DU946" s="26"/>
      <c r="DV946" s="26"/>
      <c r="DW946" s="26"/>
      <c r="DX946" s="26"/>
      <c r="DY946" s="26"/>
      <c r="DZ946" s="26"/>
      <c r="EA946" s="26"/>
      <c r="EB946" s="26"/>
      <c r="EC946" s="26"/>
      <c r="ED946" s="26"/>
      <c r="EE946" s="26"/>
      <c r="EF946" s="26"/>
      <c r="EG946" s="26"/>
      <c r="EH946" s="26"/>
      <c r="EI946" s="26"/>
      <c r="EJ946" s="26"/>
      <c r="EK946" s="26"/>
      <c r="EL946" s="26"/>
      <c r="EM946" s="26"/>
      <c r="EN946" s="26"/>
      <c r="EO946" s="26"/>
      <c r="EP946" s="26"/>
      <c r="EQ946" s="26"/>
      <c r="ER946" s="26"/>
      <c r="ES946" s="26"/>
      <c r="ET946" s="26"/>
      <c r="EU946" s="26"/>
      <c r="EV946" s="26"/>
      <c r="EW946" s="26"/>
      <c r="EX946" s="26"/>
      <c r="EY946" s="26"/>
      <c r="EZ946" s="26"/>
      <c r="FA946" s="26"/>
      <c r="FB946" s="26"/>
      <c r="FC946" s="26"/>
      <c r="FD946" s="26"/>
      <c r="FE946" s="26"/>
      <c r="FF946" s="26"/>
      <c r="FG946" s="26"/>
      <c r="FH946" s="26"/>
      <c r="FI946" s="26"/>
      <c r="FJ946" s="26"/>
      <c r="FK946" s="26"/>
      <c r="FL946" s="26"/>
      <c r="FM946" s="26"/>
      <c r="FN946" s="26"/>
      <c r="FO946" s="26"/>
      <c r="FP946" s="26"/>
      <c r="FQ946" s="26"/>
      <c r="FR946" s="26"/>
      <c r="FS946" s="26"/>
      <c r="FT946" s="26"/>
      <c r="FU946" s="26"/>
      <c r="FV946" s="26"/>
      <c r="FW946" s="26"/>
      <c r="FX946" s="26"/>
      <c r="FY946" s="26"/>
      <c r="FZ946" s="26"/>
      <c r="GA946" s="26"/>
      <c r="GB946" s="26"/>
      <c r="GC946" s="26"/>
      <c r="GD946" s="26"/>
      <c r="GE946" s="26"/>
      <c r="GF946" s="26"/>
      <c r="GG946" s="26"/>
      <c r="GH946" s="26"/>
      <c r="GI946" s="26"/>
      <c r="GJ946" s="26"/>
      <c r="GK946" s="26"/>
      <c r="GL946" s="26"/>
      <c r="GM946" s="26"/>
      <c r="GN946" s="26"/>
      <c r="GO946" s="26"/>
      <c r="GP946" s="26"/>
      <c r="GQ946" s="26"/>
      <c r="GR946" s="26"/>
      <c r="GS946" s="26"/>
      <c r="GT946" s="26"/>
      <c r="GU946" s="26"/>
      <c r="GV946" s="26"/>
      <c r="GW946" s="26"/>
      <c r="GX946" s="26"/>
      <c r="GY946" s="26"/>
      <c r="GZ946" s="26"/>
      <c r="HA946" s="26"/>
      <c r="HB946" s="26"/>
      <c r="HC946" s="26"/>
      <c r="HD946" s="26"/>
      <c r="HE946" s="26"/>
      <c r="HF946" s="26"/>
      <c r="HG946" s="26"/>
      <c r="HH946" s="26"/>
      <c r="HI946" s="26"/>
      <c r="HJ946" s="26"/>
      <c r="HK946" s="26"/>
      <c r="HL946" s="26"/>
      <c r="HM946" s="26"/>
      <c r="HN946" s="26"/>
      <c r="HO946" s="26"/>
      <c r="HP946" s="26"/>
      <c r="HQ946" s="26"/>
      <c r="HR946" s="26"/>
      <c r="HS946" s="26"/>
      <c r="HT946" s="26"/>
      <c r="HU946" s="26"/>
      <c r="HV946" s="26"/>
      <c r="HW946" s="26"/>
      <c r="HX946" s="26"/>
      <c r="HY946" s="26"/>
      <c r="HZ946" s="26"/>
      <c r="IA946" s="26"/>
      <c r="IB946" s="26"/>
      <c r="IC946" s="26"/>
      <c r="ID946" s="26"/>
      <c r="IE946" s="26"/>
      <c r="IF946" s="26"/>
      <c r="IG946" s="26"/>
      <c r="IH946" s="26"/>
      <c r="II946" s="26"/>
      <c r="IJ946" s="26"/>
      <c r="IK946" s="26"/>
      <c r="IL946" s="26"/>
      <c r="IM946" s="26"/>
      <c r="IN946" s="26"/>
      <c r="IO946" s="26"/>
      <c r="IP946" s="26"/>
      <c r="IQ946" s="26"/>
      <c r="IR946" s="26"/>
      <c r="IS946" s="26"/>
      <c r="IT946" s="26"/>
      <c r="IU946" s="26"/>
      <c r="IV946" s="26"/>
      <c r="IW946" s="26"/>
      <c r="IX946" s="26"/>
    </row>
    <row r="947" spans="1:258" ht="21.9" customHeight="1">
      <c r="A947" s="37" t="s">
        <v>952</v>
      </c>
      <c r="B947" s="8" t="s">
        <v>775</v>
      </c>
      <c r="C947" s="2">
        <f t="shared" si="615"/>
        <v>3432000</v>
      </c>
      <c r="D947" s="3">
        <f t="shared" si="610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5">
        <v>624</v>
      </c>
      <c r="N947" s="3">
        <f t="shared" si="624"/>
        <v>3432000</v>
      </c>
      <c r="O947" s="3">
        <v>0</v>
      </c>
      <c r="P947" s="3">
        <v>0</v>
      </c>
      <c r="Q947" s="3">
        <v>0</v>
      </c>
      <c r="R947" s="3">
        <f t="shared" si="612"/>
        <v>0</v>
      </c>
      <c r="S947" s="3">
        <v>0</v>
      </c>
      <c r="T947" s="5">
        <v>0</v>
      </c>
      <c r="U947" s="3">
        <v>0</v>
      </c>
      <c r="V947" s="6">
        <f t="shared" si="613"/>
        <v>5500</v>
      </c>
    </row>
    <row r="948" spans="1:258" ht="21.9" customHeight="1">
      <c r="A948" s="37" t="s">
        <v>953</v>
      </c>
      <c r="B948" s="8" t="s">
        <v>690</v>
      </c>
      <c r="C948" s="2">
        <f t="shared" si="615"/>
        <v>1606000</v>
      </c>
      <c r="D948" s="3">
        <f t="shared" si="610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292</v>
      </c>
      <c r="N948" s="3">
        <f t="shared" si="624"/>
        <v>1606000</v>
      </c>
      <c r="O948" s="3">
        <v>0</v>
      </c>
      <c r="P948" s="3">
        <v>0</v>
      </c>
      <c r="Q948" s="3">
        <v>0</v>
      </c>
      <c r="R948" s="3">
        <f t="shared" si="612"/>
        <v>0</v>
      </c>
      <c r="S948" s="3">
        <v>0</v>
      </c>
      <c r="T948" s="5">
        <v>0</v>
      </c>
      <c r="U948" s="3">
        <v>0</v>
      </c>
      <c r="V948" s="6">
        <f t="shared" si="613"/>
        <v>5500</v>
      </c>
    </row>
    <row r="949" spans="1:258" ht="21.9" customHeight="1">
      <c r="A949" s="37" t="s">
        <v>954</v>
      </c>
      <c r="B949" s="8" t="s">
        <v>691</v>
      </c>
      <c r="C949" s="2">
        <f t="shared" si="615"/>
        <v>1606000</v>
      </c>
      <c r="D949" s="3">
        <f t="shared" si="610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292</v>
      </c>
      <c r="N949" s="3">
        <f t="shared" si="624"/>
        <v>1606000</v>
      </c>
      <c r="O949" s="3">
        <v>0</v>
      </c>
      <c r="P949" s="3">
        <v>0</v>
      </c>
      <c r="Q949" s="3">
        <v>0</v>
      </c>
      <c r="R949" s="3">
        <f t="shared" si="612"/>
        <v>0</v>
      </c>
      <c r="S949" s="3">
        <v>0</v>
      </c>
      <c r="T949" s="5">
        <v>0</v>
      </c>
      <c r="U949" s="3">
        <v>0</v>
      </c>
      <c r="V949" s="6">
        <f t="shared" si="613"/>
        <v>5500</v>
      </c>
    </row>
    <row r="950" spans="1:258" ht="21.9" customHeight="1">
      <c r="A950" s="37" t="s">
        <v>955</v>
      </c>
      <c r="B950" s="8" t="s">
        <v>692</v>
      </c>
      <c r="C950" s="2">
        <f t="shared" si="615"/>
        <v>3701500</v>
      </c>
      <c r="D950" s="3">
        <f t="shared" si="610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673</v>
      </c>
      <c r="N950" s="3">
        <f t="shared" si="624"/>
        <v>3701500</v>
      </c>
      <c r="O950" s="3">
        <v>0</v>
      </c>
      <c r="P950" s="3">
        <v>0</v>
      </c>
      <c r="Q950" s="3">
        <v>0</v>
      </c>
      <c r="R950" s="3">
        <f t="shared" si="612"/>
        <v>0</v>
      </c>
      <c r="S950" s="3">
        <v>0</v>
      </c>
      <c r="T950" s="5">
        <v>0</v>
      </c>
      <c r="U950" s="3">
        <v>0</v>
      </c>
      <c r="V950" s="6">
        <f t="shared" si="613"/>
        <v>5500</v>
      </c>
    </row>
    <row r="951" spans="1:258" ht="21.9" customHeight="1">
      <c r="A951" s="37" t="s">
        <v>956</v>
      </c>
      <c r="B951" s="8" t="s">
        <v>693</v>
      </c>
      <c r="C951" s="2">
        <f t="shared" si="615"/>
        <v>1633500</v>
      </c>
      <c r="D951" s="3">
        <f t="shared" si="610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297</v>
      </c>
      <c r="N951" s="3">
        <f t="shared" si="624"/>
        <v>1633500</v>
      </c>
      <c r="O951" s="3">
        <v>0</v>
      </c>
      <c r="P951" s="3">
        <v>0</v>
      </c>
      <c r="Q951" s="3">
        <v>0</v>
      </c>
      <c r="R951" s="3">
        <f t="shared" si="612"/>
        <v>0</v>
      </c>
      <c r="S951" s="3">
        <v>0</v>
      </c>
      <c r="T951" s="5">
        <v>0</v>
      </c>
      <c r="U951" s="3">
        <v>0</v>
      </c>
      <c r="V951" s="6">
        <f t="shared" si="613"/>
        <v>5500</v>
      </c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  <c r="EC951" s="17"/>
      <c r="ED951" s="17"/>
      <c r="EE951" s="17"/>
      <c r="EF951" s="17"/>
      <c r="EG951" s="17"/>
      <c r="EH951" s="17"/>
      <c r="EI951" s="17"/>
      <c r="EJ951" s="17"/>
      <c r="EK951" s="17"/>
      <c r="EL951" s="17"/>
      <c r="EM951" s="17"/>
      <c r="EN951" s="17"/>
      <c r="EO951" s="17"/>
      <c r="EP951" s="17"/>
      <c r="EQ951" s="17"/>
      <c r="ER951" s="17"/>
      <c r="ES951" s="17"/>
      <c r="ET951" s="17"/>
      <c r="EU951" s="17"/>
      <c r="EV951" s="17"/>
      <c r="EW951" s="17"/>
      <c r="EX951" s="17"/>
      <c r="EY951" s="17"/>
      <c r="EZ951" s="17"/>
      <c r="FA951" s="17"/>
      <c r="FB951" s="17"/>
      <c r="FC951" s="17"/>
      <c r="FD951" s="17"/>
      <c r="FE951" s="17"/>
      <c r="FF951" s="17"/>
      <c r="FG951" s="17"/>
      <c r="FH951" s="17"/>
      <c r="FI951" s="17"/>
      <c r="FJ951" s="17"/>
      <c r="FK951" s="17"/>
      <c r="FL951" s="17"/>
      <c r="FM951" s="17"/>
      <c r="FN951" s="17"/>
      <c r="FO951" s="17"/>
      <c r="FP951" s="17"/>
      <c r="FQ951" s="17"/>
      <c r="FR951" s="17"/>
      <c r="FS951" s="17"/>
      <c r="FT951" s="17"/>
      <c r="FU951" s="17"/>
      <c r="FV951" s="17"/>
      <c r="FW951" s="17"/>
      <c r="FX951" s="17"/>
      <c r="FY951" s="17"/>
      <c r="FZ951" s="17"/>
      <c r="GA951" s="17"/>
      <c r="GB951" s="17"/>
      <c r="GC951" s="17"/>
      <c r="GD951" s="17"/>
      <c r="GE951" s="17"/>
      <c r="GF951" s="17"/>
      <c r="GG951" s="17"/>
      <c r="GH951" s="17"/>
      <c r="GI951" s="17"/>
      <c r="GJ951" s="17"/>
      <c r="GK951" s="17"/>
      <c r="GL951" s="17"/>
      <c r="GM951" s="17"/>
      <c r="GN951" s="17"/>
      <c r="GO951" s="17"/>
      <c r="GP951" s="17"/>
      <c r="GQ951" s="17"/>
      <c r="GR951" s="17"/>
      <c r="GS951" s="17"/>
      <c r="GT951" s="17"/>
      <c r="GU951" s="17"/>
      <c r="GV951" s="17"/>
      <c r="GW951" s="17"/>
      <c r="GX951" s="17"/>
      <c r="GY951" s="17"/>
      <c r="GZ951" s="17"/>
      <c r="HA951" s="17"/>
      <c r="HB951" s="17"/>
      <c r="HC951" s="17"/>
      <c r="HD951" s="17"/>
      <c r="HE951" s="17"/>
      <c r="HF951" s="17"/>
      <c r="HG951" s="17"/>
      <c r="HH951" s="17"/>
      <c r="HI951" s="17"/>
      <c r="HJ951" s="17"/>
      <c r="HK951" s="17"/>
      <c r="HL951" s="17"/>
      <c r="HM951" s="17"/>
      <c r="HN951" s="17"/>
      <c r="HO951" s="17"/>
      <c r="HP951" s="17"/>
      <c r="HQ951" s="17"/>
      <c r="HR951" s="17"/>
      <c r="HS951" s="17"/>
      <c r="HT951" s="17"/>
      <c r="HU951" s="17"/>
      <c r="HV951" s="17"/>
      <c r="HW951" s="17"/>
      <c r="HX951" s="17"/>
      <c r="HY951" s="17"/>
      <c r="HZ951" s="17"/>
      <c r="IA951" s="17"/>
      <c r="IB951" s="17"/>
      <c r="IC951" s="17"/>
      <c r="ID951" s="17"/>
      <c r="IE951" s="17"/>
      <c r="IF951" s="17"/>
      <c r="IG951" s="17"/>
      <c r="IH951" s="17"/>
      <c r="II951" s="17"/>
      <c r="IJ951" s="17"/>
      <c r="IK951" s="17"/>
      <c r="IL951" s="17"/>
      <c r="IM951" s="17"/>
      <c r="IN951" s="17"/>
      <c r="IO951" s="17"/>
      <c r="IP951" s="17"/>
      <c r="IQ951" s="17"/>
      <c r="IR951" s="17"/>
      <c r="IS951" s="17"/>
      <c r="IT951" s="17"/>
      <c r="IU951" s="17"/>
      <c r="IV951" s="17"/>
      <c r="IW951" s="17"/>
      <c r="IX951" s="17"/>
    </row>
    <row r="952" spans="1:258" ht="21.9" customHeight="1">
      <c r="A952" s="37" t="s">
        <v>957</v>
      </c>
      <c r="B952" s="8" t="s">
        <v>683</v>
      </c>
      <c r="C952" s="2">
        <f>D952+L952+N952+P952+R952+S952+T952+U952</f>
        <v>1606000</v>
      </c>
      <c r="D952" s="3">
        <f>SUM(E952:J952)</f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292</v>
      </c>
      <c r="N952" s="3">
        <f>M952*5500</f>
        <v>1606000</v>
      </c>
      <c r="O952" s="3">
        <v>0</v>
      </c>
      <c r="P952" s="3">
        <v>0</v>
      </c>
      <c r="Q952" s="3">
        <v>0</v>
      </c>
      <c r="R952" s="3">
        <f>Q952*3000</f>
        <v>0</v>
      </c>
      <c r="S952" s="3">
        <v>0</v>
      </c>
      <c r="T952" s="5">
        <v>0</v>
      </c>
      <c r="U952" s="3">
        <v>0</v>
      </c>
      <c r="V952" s="6">
        <f>N952/M952</f>
        <v>5500</v>
      </c>
    </row>
    <row r="953" spans="1:258" ht="21.9" customHeight="1">
      <c r="A953" s="37" t="s">
        <v>958</v>
      </c>
      <c r="B953" s="8" t="s">
        <v>776</v>
      </c>
      <c r="C953" s="2">
        <f t="shared" si="615"/>
        <v>2931500</v>
      </c>
      <c r="D953" s="3">
        <f t="shared" si="610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5">
        <v>533</v>
      </c>
      <c r="N953" s="3">
        <f t="shared" si="624"/>
        <v>2931500</v>
      </c>
      <c r="O953" s="3">
        <v>0</v>
      </c>
      <c r="P953" s="3">
        <v>0</v>
      </c>
      <c r="Q953" s="3">
        <v>0</v>
      </c>
      <c r="R953" s="3">
        <f t="shared" si="612"/>
        <v>0</v>
      </c>
      <c r="S953" s="3">
        <v>0</v>
      </c>
      <c r="T953" s="5">
        <v>0</v>
      </c>
      <c r="U953" s="3">
        <v>0</v>
      </c>
      <c r="V953" s="6">
        <f t="shared" si="613"/>
        <v>5500</v>
      </c>
    </row>
    <row r="954" spans="1:258" ht="21.9" customHeight="1">
      <c r="A954" s="37" t="s">
        <v>959</v>
      </c>
      <c r="B954" s="8" t="s">
        <v>694</v>
      </c>
      <c r="C954" s="2">
        <f t="shared" si="615"/>
        <v>1358500</v>
      </c>
      <c r="D954" s="3">
        <f t="shared" si="610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">
        <v>247</v>
      </c>
      <c r="N954" s="3">
        <f t="shared" si="624"/>
        <v>1358500</v>
      </c>
      <c r="O954" s="3">
        <v>0</v>
      </c>
      <c r="P954" s="3">
        <v>0</v>
      </c>
      <c r="Q954" s="3">
        <v>0</v>
      </c>
      <c r="R954" s="3">
        <f t="shared" si="612"/>
        <v>0</v>
      </c>
      <c r="S954" s="3">
        <v>0</v>
      </c>
      <c r="T954" s="5">
        <v>0</v>
      </c>
      <c r="U954" s="3">
        <v>0</v>
      </c>
      <c r="V954" s="6">
        <f t="shared" si="613"/>
        <v>5500</v>
      </c>
    </row>
    <row r="955" spans="1:258" ht="21.9" customHeight="1">
      <c r="A955" s="37" t="s">
        <v>960</v>
      </c>
      <c r="B955" s="8" t="s">
        <v>695</v>
      </c>
      <c r="C955" s="2">
        <f t="shared" si="615"/>
        <v>2755500</v>
      </c>
      <c r="D955" s="3">
        <f t="shared" si="610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3">
        <v>501</v>
      </c>
      <c r="N955" s="3">
        <f t="shared" si="624"/>
        <v>2755500</v>
      </c>
      <c r="O955" s="3">
        <v>0</v>
      </c>
      <c r="P955" s="3">
        <v>0</v>
      </c>
      <c r="Q955" s="3">
        <v>0</v>
      </c>
      <c r="R955" s="3">
        <f t="shared" si="612"/>
        <v>0</v>
      </c>
      <c r="S955" s="3">
        <v>0</v>
      </c>
      <c r="T955" s="5">
        <v>0</v>
      </c>
      <c r="U955" s="3">
        <v>0</v>
      </c>
      <c r="V955" s="6">
        <f t="shared" si="613"/>
        <v>5500</v>
      </c>
    </row>
    <row r="956" spans="1:258" ht="21.9" customHeight="1">
      <c r="A956" s="37" t="s">
        <v>961</v>
      </c>
      <c r="B956" s="8" t="s">
        <v>696</v>
      </c>
      <c r="C956" s="2">
        <f t="shared" si="615"/>
        <v>2148300</v>
      </c>
      <c r="D956" s="3">
        <f t="shared" si="610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390.6</v>
      </c>
      <c r="N956" s="3">
        <f t="shared" si="624"/>
        <v>2148300</v>
      </c>
      <c r="O956" s="3">
        <v>0</v>
      </c>
      <c r="P956" s="3">
        <v>0</v>
      </c>
      <c r="Q956" s="5">
        <v>0</v>
      </c>
      <c r="R956" s="3">
        <f t="shared" si="612"/>
        <v>0</v>
      </c>
      <c r="S956" s="3">
        <v>0</v>
      </c>
      <c r="T956" s="5">
        <v>0</v>
      </c>
      <c r="U956" s="3">
        <v>0</v>
      </c>
      <c r="V956" s="6">
        <f t="shared" si="613"/>
        <v>5500</v>
      </c>
    </row>
    <row r="957" spans="1:258" ht="21.9" customHeight="1">
      <c r="A957" s="37" t="s">
        <v>962</v>
      </c>
      <c r="B957" s="8" t="s">
        <v>1222</v>
      </c>
      <c r="C957" s="2">
        <f t="shared" si="615"/>
        <v>10500000</v>
      </c>
      <c r="D957" s="3">
        <f t="shared" si="610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0</v>
      </c>
      <c r="N957" s="3">
        <v>0</v>
      </c>
      <c r="O957" s="3">
        <v>0</v>
      </c>
      <c r="P957" s="3">
        <v>0</v>
      </c>
      <c r="Q957" s="3">
        <v>3500</v>
      </c>
      <c r="R957" s="3">
        <f t="shared" si="612"/>
        <v>10500000</v>
      </c>
      <c r="S957" s="3">
        <v>0</v>
      </c>
      <c r="T957" s="5">
        <v>0</v>
      </c>
      <c r="U957" s="3">
        <v>0</v>
      </c>
      <c r="V957" s="6" t="e">
        <f t="shared" si="613"/>
        <v>#DIV/0!</v>
      </c>
    </row>
    <row r="958" spans="1:258" ht="21.9" customHeight="1">
      <c r="A958" s="37" t="s">
        <v>963</v>
      </c>
      <c r="B958" s="8" t="s">
        <v>589</v>
      </c>
      <c r="C958" s="2">
        <f t="shared" si="615"/>
        <v>6084500</v>
      </c>
      <c r="D958" s="3">
        <f t="shared" ref="D958" si="625">SUM(E958:J958)</f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11">
        <v>0</v>
      </c>
      <c r="L958" s="5">
        <v>0</v>
      </c>
      <c r="M958" s="5">
        <v>659</v>
      </c>
      <c r="N958" s="3">
        <f t="shared" ref="N958" si="626">M958*5500</f>
        <v>3624500</v>
      </c>
      <c r="O958" s="5">
        <v>0</v>
      </c>
      <c r="P958" s="5">
        <v>0</v>
      </c>
      <c r="Q958" s="5">
        <v>820</v>
      </c>
      <c r="R958" s="3">
        <f t="shared" si="612"/>
        <v>2460000</v>
      </c>
      <c r="S958" s="5">
        <v>0</v>
      </c>
      <c r="T958" s="5">
        <v>0</v>
      </c>
      <c r="U958" s="5">
        <v>0</v>
      </c>
      <c r="V958" s="6">
        <f t="shared" si="613"/>
        <v>5500</v>
      </c>
    </row>
    <row r="959" spans="1:258" ht="21.9" customHeight="1">
      <c r="A959" s="37" t="s">
        <v>964</v>
      </c>
      <c r="B959" s="8" t="s">
        <v>697</v>
      </c>
      <c r="C959" s="2">
        <f t="shared" si="615"/>
        <v>2863300</v>
      </c>
      <c r="D959" s="3">
        <f t="shared" si="610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3">
        <v>520.6</v>
      </c>
      <c r="N959" s="3">
        <f t="shared" ref="N959:N963" si="627">M959*5500</f>
        <v>2863300</v>
      </c>
      <c r="O959" s="3">
        <v>0</v>
      </c>
      <c r="P959" s="3">
        <v>0</v>
      </c>
      <c r="Q959" s="5">
        <v>0</v>
      </c>
      <c r="R959" s="3">
        <f t="shared" si="612"/>
        <v>0</v>
      </c>
      <c r="S959" s="3">
        <v>0</v>
      </c>
      <c r="T959" s="5">
        <v>0</v>
      </c>
      <c r="U959" s="3">
        <v>0</v>
      </c>
      <c r="V959" s="6">
        <f t="shared" si="613"/>
        <v>5500</v>
      </c>
    </row>
    <row r="960" spans="1:258" ht="21.9" customHeight="1">
      <c r="A960" s="37" t="s">
        <v>965</v>
      </c>
      <c r="B960" s="8" t="s">
        <v>698</v>
      </c>
      <c r="C960" s="2">
        <f t="shared" si="615"/>
        <v>1611500</v>
      </c>
      <c r="D960" s="3">
        <f t="shared" si="610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3">
        <v>293</v>
      </c>
      <c r="N960" s="3">
        <f t="shared" si="627"/>
        <v>1611500</v>
      </c>
      <c r="O960" s="3">
        <v>0</v>
      </c>
      <c r="P960" s="3">
        <v>0</v>
      </c>
      <c r="Q960" s="5">
        <v>0</v>
      </c>
      <c r="R960" s="3">
        <f t="shared" si="612"/>
        <v>0</v>
      </c>
      <c r="S960" s="3">
        <v>0</v>
      </c>
      <c r="T960" s="5">
        <v>0</v>
      </c>
      <c r="U960" s="3">
        <v>0</v>
      </c>
      <c r="V960" s="6">
        <f t="shared" si="613"/>
        <v>5500</v>
      </c>
    </row>
    <row r="961" spans="1:258" ht="21.9" customHeight="1">
      <c r="A961" s="37" t="s">
        <v>966</v>
      </c>
      <c r="B961" s="23" t="s">
        <v>818</v>
      </c>
      <c r="C961" s="2">
        <f t="shared" si="615"/>
        <v>5694087.5</v>
      </c>
      <c r="D961" s="3">
        <f t="shared" si="610"/>
        <v>1286037.5</v>
      </c>
      <c r="E961" s="3">
        <f>350*547.25</f>
        <v>191537.5</v>
      </c>
      <c r="F961" s="3">
        <f>1050*547.25</f>
        <v>574612.5</v>
      </c>
      <c r="G961" s="3">
        <f>300*547.25</f>
        <v>164175</v>
      </c>
      <c r="H961" s="3">
        <f>400*547.25</f>
        <v>218900</v>
      </c>
      <c r="I961" s="3">
        <f>250*547.25</f>
        <v>136812.5</v>
      </c>
      <c r="J961" s="3">
        <v>0</v>
      </c>
      <c r="K961" s="4">
        <v>0</v>
      </c>
      <c r="L961" s="3">
        <v>0</v>
      </c>
      <c r="M961" s="5">
        <v>493.1</v>
      </c>
      <c r="N961" s="3">
        <f t="shared" si="627"/>
        <v>2712050</v>
      </c>
      <c r="O961" s="3">
        <v>0</v>
      </c>
      <c r="P961" s="3">
        <v>0</v>
      </c>
      <c r="Q961" s="3">
        <v>532</v>
      </c>
      <c r="R961" s="3">
        <f t="shared" si="612"/>
        <v>1596000</v>
      </c>
      <c r="S961" s="3">
        <v>0</v>
      </c>
      <c r="T961" s="5">
        <v>0</v>
      </c>
      <c r="U961" s="3">
        <v>100000</v>
      </c>
      <c r="V961" s="6">
        <f t="shared" si="613"/>
        <v>5500</v>
      </c>
    </row>
    <row r="962" spans="1:258" ht="21.9" customHeight="1">
      <c r="A962" s="37" t="s">
        <v>967</v>
      </c>
      <c r="B962" s="8" t="s">
        <v>520</v>
      </c>
      <c r="C962" s="2">
        <f t="shared" si="615"/>
        <v>2741200</v>
      </c>
      <c r="D962" s="3">
        <f t="shared" ref="D962" si="628">SUM(E962:J962)</f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11">
        <v>0</v>
      </c>
      <c r="L962" s="5">
        <v>0</v>
      </c>
      <c r="M962" s="5">
        <v>498.4</v>
      </c>
      <c r="N962" s="3">
        <f t="shared" si="627"/>
        <v>2741200</v>
      </c>
      <c r="O962" s="5">
        <v>0</v>
      </c>
      <c r="P962" s="5">
        <v>0</v>
      </c>
      <c r="Q962" s="5">
        <v>0</v>
      </c>
      <c r="R962" s="3">
        <f t="shared" si="612"/>
        <v>0</v>
      </c>
      <c r="S962" s="5">
        <v>0</v>
      </c>
      <c r="T962" s="5">
        <v>0</v>
      </c>
      <c r="U962" s="5">
        <v>0</v>
      </c>
      <c r="V962" s="6">
        <f t="shared" si="613"/>
        <v>5500</v>
      </c>
    </row>
    <row r="963" spans="1:258" ht="21.9" customHeight="1">
      <c r="A963" s="37" t="s">
        <v>997</v>
      </c>
      <c r="B963" s="8" t="s">
        <v>778</v>
      </c>
      <c r="C963" s="2">
        <f t="shared" si="615"/>
        <v>1677500</v>
      </c>
      <c r="D963" s="3">
        <f t="shared" si="610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3">
        <v>305</v>
      </c>
      <c r="N963" s="3">
        <f t="shared" si="627"/>
        <v>1677500</v>
      </c>
      <c r="O963" s="3">
        <v>0</v>
      </c>
      <c r="P963" s="3">
        <v>0</v>
      </c>
      <c r="Q963" s="5">
        <v>0</v>
      </c>
      <c r="R963" s="3">
        <f t="shared" si="612"/>
        <v>0</v>
      </c>
      <c r="S963" s="3">
        <v>0</v>
      </c>
      <c r="T963" s="5">
        <v>0</v>
      </c>
      <c r="U963" s="3">
        <v>0</v>
      </c>
      <c r="V963" s="6">
        <f t="shared" si="613"/>
        <v>5500</v>
      </c>
    </row>
    <row r="964" spans="1:258" ht="21.9" customHeight="1">
      <c r="A964" s="37" t="s">
        <v>968</v>
      </c>
      <c r="B964" s="8" t="s">
        <v>779</v>
      </c>
      <c r="C964" s="2">
        <f t="shared" si="615"/>
        <v>1415699.9999999998</v>
      </c>
      <c r="D964" s="3">
        <f t="shared" si="610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3">
        <v>257.39999999999998</v>
      </c>
      <c r="N964" s="3">
        <f t="shared" ref="N964:N973" si="629">M964*5500</f>
        <v>1415699.9999999998</v>
      </c>
      <c r="O964" s="3">
        <v>0</v>
      </c>
      <c r="P964" s="3">
        <v>0</v>
      </c>
      <c r="Q964" s="5">
        <v>0</v>
      </c>
      <c r="R964" s="3">
        <f t="shared" si="612"/>
        <v>0</v>
      </c>
      <c r="S964" s="3">
        <v>0</v>
      </c>
      <c r="T964" s="5">
        <v>0</v>
      </c>
      <c r="U964" s="3">
        <v>0</v>
      </c>
      <c r="V964" s="6">
        <f t="shared" si="613"/>
        <v>5500</v>
      </c>
    </row>
    <row r="965" spans="1:258" ht="21.9" customHeight="1">
      <c r="A965" s="37" t="s">
        <v>971</v>
      </c>
      <c r="B965" s="8" t="s">
        <v>780</v>
      </c>
      <c r="C965" s="2">
        <f t="shared" si="615"/>
        <v>21761490</v>
      </c>
      <c r="D965" s="3">
        <f t="shared" si="610"/>
        <v>18220490</v>
      </c>
      <c r="E965" s="3">
        <f>350*7753.4</f>
        <v>2713690</v>
      </c>
      <c r="F965" s="3">
        <f>1050*7753.4</f>
        <v>8141070</v>
      </c>
      <c r="G965" s="3">
        <f>300*7753.4</f>
        <v>2326020</v>
      </c>
      <c r="H965" s="3">
        <f>400*7753.4</f>
        <v>3101360</v>
      </c>
      <c r="I965" s="3">
        <f>250*7753.4</f>
        <v>1938350</v>
      </c>
      <c r="J965" s="3">
        <v>0</v>
      </c>
      <c r="K965" s="4">
        <v>0</v>
      </c>
      <c r="L965" s="3">
        <v>0</v>
      </c>
      <c r="M965" s="3">
        <v>438</v>
      </c>
      <c r="N965" s="3">
        <f t="shared" si="629"/>
        <v>2409000</v>
      </c>
      <c r="O965" s="3">
        <v>0</v>
      </c>
      <c r="P965" s="3">
        <v>0</v>
      </c>
      <c r="Q965" s="3">
        <v>344</v>
      </c>
      <c r="R965" s="3">
        <f t="shared" si="612"/>
        <v>1032000</v>
      </c>
      <c r="S965" s="3">
        <v>0</v>
      </c>
      <c r="T965" s="5">
        <v>0</v>
      </c>
      <c r="U965" s="3">
        <v>100000</v>
      </c>
      <c r="V965" s="6">
        <f t="shared" si="613"/>
        <v>5500</v>
      </c>
    </row>
    <row r="966" spans="1:258" ht="21.9" customHeight="1">
      <c r="A966" s="37" t="s">
        <v>998</v>
      </c>
      <c r="B966" s="8" t="s">
        <v>524</v>
      </c>
      <c r="C966" s="2">
        <f>D966+L966+N966+P966+R966+S966+T966+U966</f>
        <v>2860000</v>
      </c>
      <c r="D966" s="3">
        <f>SUM(E966:J966)</f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11">
        <v>0</v>
      </c>
      <c r="L966" s="5">
        <v>0</v>
      </c>
      <c r="M966" s="5">
        <v>520</v>
      </c>
      <c r="N966" s="3">
        <f>M966*5500</f>
        <v>2860000</v>
      </c>
      <c r="O966" s="5">
        <v>0</v>
      </c>
      <c r="P966" s="5">
        <v>0</v>
      </c>
      <c r="Q966" s="5">
        <v>0</v>
      </c>
      <c r="R966" s="3">
        <f>Q966*3000</f>
        <v>0</v>
      </c>
      <c r="S966" s="5">
        <v>0</v>
      </c>
      <c r="T966" s="5">
        <v>0</v>
      </c>
      <c r="U966" s="5">
        <v>0</v>
      </c>
      <c r="V966" s="6">
        <f>N966/M966</f>
        <v>5500</v>
      </c>
    </row>
    <row r="967" spans="1:258" s="28" customFormat="1" ht="21.9" customHeight="1">
      <c r="A967" s="37" t="s">
        <v>999</v>
      </c>
      <c r="B967" s="8" t="s">
        <v>699</v>
      </c>
      <c r="C967" s="2">
        <f t="shared" si="615"/>
        <v>1418449.9999999998</v>
      </c>
      <c r="D967" s="3">
        <f t="shared" si="610"/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4">
        <v>0</v>
      </c>
      <c r="L967" s="3">
        <v>0</v>
      </c>
      <c r="M967" s="3">
        <v>257.89999999999998</v>
      </c>
      <c r="N967" s="3">
        <f t="shared" si="629"/>
        <v>1418449.9999999998</v>
      </c>
      <c r="O967" s="3">
        <v>0</v>
      </c>
      <c r="P967" s="3">
        <v>0</v>
      </c>
      <c r="Q967" s="5">
        <v>0</v>
      </c>
      <c r="R967" s="3">
        <f t="shared" si="612"/>
        <v>0</v>
      </c>
      <c r="S967" s="3">
        <v>0</v>
      </c>
      <c r="T967" s="5">
        <v>0</v>
      </c>
      <c r="U967" s="3">
        <v>0</v>
      </c>
      <c r="V967" s="6">
        <f t="shared" si="613"/>
        <v>5500</v>
      </c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7"/>
      <c r="DZ967" s="7"/>
      <c r="EA967" s="7"/>
      <c r="EB967" s="7"/>
      <c r="EC967" s="7"/>
      <c r="ED967" s="7"/>
      <c r="EE967" s="7"/>
      <c r="EF967" s="7"/>
      <c r="EG967" s="7"/>
      <c r="EH967" s="7"/>
      <c r="EI967" s="7"/>
      <c r="EJ967" s="7"/>
      <c r="EK967" s="7"/>
      <c r="EL967" s="7"/>
      <c r="EM967" s="7"/>
      <c r="EN967" s="7"/>
      <c r="EO967" s="7"/>
      <c r="EP967" s="7"/>
      <c r="EQ967" s="7"/>
      <c r="ER967" s="7"/>
      <c r="ES967" s="7"/>
      <c r="ET967" s="7"/>
      <c r="EU967" s="7"/>
      <c r="EV967" s="7"/>
      <c r="EW967" s="7"/>
      <c r="EX967" s="7"/>
      <c r="EY967" s="7"/>
      <c r="EZ967" s="7"/>
      <c r="FA967" s="7"/>
      <c r="FB967" s="7"/>
      <c r="FC967" s="7"/>
      <c r="FD967" s="7"/>
      <c r="FE967" s="7"/>
      <c r="FF967" s="7"/>
      <c r="FG967" s="7"/>
      <c r="FH967" s="7"/>
      <c r="FI967" s="7"/>
      <c r="FJ967" s="7"/>
      <c r="FK967" s="7"/>
      <c r="FL967" s="7"/>
      <c r="FM967" s="7"/>
      <c r="FN967" s="7"/>
      <c r="FO967" s="7"/>
      <c r="FP967" s="7"/>
      <c r="FQ967" s="7"/>
      <c r="FR967" s="7"/>
      <c r="FS967" s="7"/>
      <c r="FT967" s="7"/>
      <c r="FU967" s="7"/>
      <c r="FV967" s="7"/>
      <c r="FW967" s="7"/>
      <c r="FX967" s="7"/>
      <c r="FY967" s="7"/>
      <c r="FZ967" s="7"/>
      <c r="GA967" s="7"/>
      <c r="GB967" s="7"/>
      <c r="GC967" s="7"/>
      <c r="GD967" s="7"/>
      <c r="GE967" s="7"/>
      <c r="GF967" s="7"/>
      <c r="GG967" s="7"/>
      <c r="GH967" s="7"/>
      <c r="GI967" s="7"/>
      <c r="GJ967" s="7"/>
      <c r="GK967" s="7"/>
      <c r="GL967" s="7"/>
      <c r="GM967" s="7"/>
      <c r="GN967" s="7"/>
      <c r="GO967" s="7"/>
      <c r="GP967" s="7"/>
      <c r="GQ967" s="7"/>
      <c r="GR967" s="7"/>
      <c r="GS967" s="7"/>
      <c r="GT967" s="7"/>
      <c r="GU967" s="7"/>
      <c r="GV967" s="7"/>
      <c r="GW967" s="7"/>
      <c r="GX967" s="7"/>
      <c r="GY967" s="7"/>
      <c r="GZ967" s="7"/>
      <c r="HA967" s="7"/>
      <c r="HB967" s="7"/>
      <c r="HC967" s="7"/>
      <c r="HD967" s="7"/>
      <c r="HE967" s="7"/>
      <c r="HF967" s="7"/>
      <c r="HG967" s="7"/>
      <c r="HH967" s="7"/>
      <c r="HI967" s="7"/>
      <c r="HJ967" s="7"/>
      <c r="HK967" s="7"/>
      <c r="HL967" s="7"/>
      <c r="HM967" s="7"/>
      <c r="HN967" s="7"/>
      <c r="HO967" s="7"/>
      <c r="HP967" s="7"/>
      <c r="HQ967" s="7"/>
      <c r="HR967" s="7"/>
      <c r="HS967" s="7"/>
      <c r="HT967" s="7"/>
      <c r="HU967" s="7"/>
      <c r="HV967" s="7"/>
      <c r="HW967" s="7"/>
      <c r="HX967" s="7"/>
      <c r="HY967" s="7"/>
      <c r="HZ967" s="7"/>
      <c r="IA967" s="7"/>
      <c r="IB967" s="7"/>
      <c r="IC967" s="7"/>
      <c r="ID967" s="7"/>
      <c r="IE967" s="7"/>
      <c r="IF967" s="7"/>
      <c r="IG967" s="7"/>
      <c r="IH967" s="7"/>
      <c r="II967" s="7"/>
      <c r="IJ967" s="7"/>
      <c r="IK967" s="7"/>
      <c r="IL967" s="7"/>
      <c r="IM967" s="7"/>
      <c r="IN967" s="7"/>
      <c r="IO967" s="7"/>
      <c r="IP967" s="7"/>
      <c r="IQ967" s="7"/>
      <c r="IR967" s="7"/>
      <c r="IS967" s="7"/>
      <c r="IT967" s="7"/>
      <c r="IU967" s="7"/>
      <c r="IV967" s="7"/>
      <c r="IW967" s="7"/>
      <c r="IX967" s="7"/>
    </row>
    <row r="968" spans="1:258" ht="21.9" customHeight="1">
      <c r="A968" s="37" t="s">
        <v>1000</v>
      </c>
      <c r="B968" s="8" t="s">
        <v>700</v>
      </c>
      <c r="C968" s="2">
        <f t="shared" si="615"/>
        <v>300000</v>
      </c>
      <c r="D968" s="3">
        <f t="shared" si="610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3">
        <v>0</v>
      </c>
      <c r="N968" s="3">
        <f t="shared" si="629"/>
        <v>0</v>
      </c>
      <c r="O968" s="3">
        <v>0</v>
      </c>
      <c r="P968" s="3">
        <v>0</v>
      </c>
      <c r="Q968" s="5">
        <v>0</v>
      </c>
      <c r="R968" s="3">
        <f t="shared" si="612"/>
        <v>0</v>
      </c>
      <c r="S968" s="3">
        <v>0</v>
      </c>
      <c r="T968" s="5">
        <v>0</v>
      </c>
      <c r="U968" s="3">
        <v>300000</v>
      </c>
      <c r="V968" s="6" t="e">
        <f t="shared" si="613"/>
        <v>#DIV/0!</v>
      </c>
    </row>
    <row r="969" spans="1:258" ht="21.9" customHeight="1">
      <c r="A969" s="37" t="s">
        <v>1001</v>
      </c>
      <c r="B969" s="23" t="s">
        <v>781</v>
      </c>
      <c r="C969" s="2">
        <f t="shared" si="615"/>
        <v>2695000</v>
      </c>
      <c r="D969" s="3">
        <f t="shared" si="610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4">
        <v>0</v>
      </c>
      <c r="L969" s="3">
        <v>0</v>
      </c>
      <c r="M969" s="3">
        <v>490</v>
      </c>
      <c r="N969" s="3">
        <f t="shared" si="629"/>
        <v>2695000</v>
      </c>
      <c r="O969" s="3">
        <v>0</v>
      </c>
      <c r="P969" s="3">
        <v>0</v>
      </c>
      <c r="Q969" s="5">
        <v>0</v>
      </c>
      <c r="R969" s="3">
        <f t="shared" si="612"/>
        <v>0</v>
      </c>
      <c r="S969" s="3">
        <v>0</v>
      </c>
      <c r="T969" s="5">
        <v>0</v>
      </c>
      <c r="U969" s="3">
        <v>0</v>
      </c>
      <c r="V969" s="6">
        <f t="shared" si="613"/>
        <v>5500</v>
      </c>
    </row>
    <row r="970" spans="1:258" ht="21.9" customHeight="1">
      <c r="A970" s="37" t="s">
        <v>1002</v>
      </c>
      <c r="B970" s="8" t="s">
        <v>701</v>
      </c>
      <c r="C970" s="2">
        <f t="shared" si="615"/>
        <v>3494810</v>
      </c>
      <c r="D970" s="3">
        <f t="shared" si="610"/>
        <v>3394810</v>
      </c>
      <c r="E970" s="3">
        <f>350*1444.6</f>
        <v>505609.99999999994</v>
      </c>
      <c r="F970" s="3">
        <f>1050*1444.6</f>
        <v>1516830</v>
      </c>
      <c r="G970" s="3">
        <f>300*1444.6</f>
        <v>433380</v>
      </c>
      <c r="H970" s="3">
        <f>400*1444.6</f>
        <v>577840</v>
      </c>
      <c r="I970" s="3">
        <f>250*1444.6</f>
        <v>361150</v>
      </c>
      <c r="J970" s="3">
        <v>0</v>
      </c>
      <c r="K970" s="4">
        <v>0</v>
      </c>
      <c r="L970" s="3">
        <v>0</v>
      </c>
      <c r="M970" s="3">
        <v>0</v>
      </c>
      <c r="N970" s="3">
        <f t="shared" si="629"/>
        <v>0</v>
      </c>
      <c r="O970" s="3">
        <v>0</v>
      </c>
      <c r="P970" s="3">
        <v>0</v>
      </c>
      <c r="Q970" s="5">
        <v>0</v>
      </c>
      <c r="R970" s="3">
        <f t="shared" si="612"/>
        <v>0</v>
      </c>
      <c r="S970" s="3">
        <v>0</v>
      </c>
      <c r="T970" s="5">
        <v>0</v>
      </c>
      <c r="U970" s="3">
        <v>100000</v>
      </c>
      <c r="V970" s="6" t="e">
        <f t="shared" si="613"/>
        <v>#DIV/0!</v>
      </c>
    </row>
    <row r="971" spans="1:258" ht="21.9" customHeight="1">
      <c r="A971" s="37" t="s">
        <v>1003</v>
      </c>
      <c r="B971" s="8" t="s">
        <v>782</v>
      </c>
      <c r="C971" s="2">
        <f t="shared" si="615"/>
        <v>3140500</v>
      </c>
      <c r="D971" s="3">
        <f t="shared" si="610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3">
        <v>571</v>
      </c>
      <c r="N971" s="3">
        <f t="shared" si="629"/>
        <v>3140500</v>
      </c>
      <c r="O971" s="3">
        <v>0</v>
      </c>
      <c r="P971" s="3">
        <v>0</v>
      </c>
      <c r="Q971" s="5">
        <v>0</v>
      </c>
      <c r="R971" s="3">
        <f t="shared" si="612"/>
        <v>0</v>
      </c>
      <c r="S971" s="3">
        <v>0</v>
      </c>
      <c r="T971" s="5">
        <v>0</v>
      </c>
      <c r="U971" s="3">
        <v>0</v>
      </c>
      <c r="V971" s="6">
        <f t="shared" si="613"/>
        <v>5500</v>
      </c>
    </row>
    <row r="972" spans="1:258" s="29" customFormat="1" ht="21.9" customHeight="1">
      <c r="A972" s="37" t="s">
        <v>1987</v>
      </c>
      <c r="B972" s="8" t="s">
        <v>702</v>
      </c>
      <c r="C972" s="2">
        <f t="shared" si="615"/>
        <v>2743950</v>
      </c>
      <c r="D972" s="3">
        <f t="shared" si="610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498.9</v>
      </c>
      <c r="N972" s="3">
        <f t="shared" si="629"/>
        <v>2743950</v>
      </c>
      <c r="O972" s="3">
        <v>0</v>
      </c>
      <c r="P972" s="3">
        <v>0</v>
      </c>
      <c r="Q972" s="5">
        <v>0</v>
      </c>
      <c r="R972" s="3">
        <f t="shared" si="612"/>
        <v>0</v>
      </c>
      <c r="S972" s="3">
        <v>0</v>
      </c>
      <c r="T972" s="5">
        <v>0</v>
      </c>
      <c r="U972" s="3">
        <v>0</v>
      </c>
      <c r="V972" s="6">
        <f t="shared" si="613"/>
        <v>5500</v>
      </c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7"/>
      <c r="DO972" s="7"/>
      <c r="DP972" s="7"/>
      <c r="DQ972" s="7"/>
      <c r="DR972" s="7"/>
      <c r="DS972" s="7"/>
      <c r="DT972" s="7"/>
      <c r="DU972" s="7"/>
      <c r="DV972" s="7"/>
      <c r="DW972" s="7"/>
      <c r="DX972" s="7"/>
      <c r="DY972" s="7"/>
      <c r="DZ972" s="7"/>
      <c r="EA972" s="7"/>
      <c r="EB972" s="7"/>
      <c r="EC972" s="7"/>
      <c r="ED972" s="7"/>
      <c r="EE972" s="7"/>
      <c r="EF972" s="7"/>
      <c r="EG972" s="7"/>
      <c r="EH972" s="7"/>
      <c r="EI972" s="7"/>
      <c r="EJ972" s="7"/>
      <c r="EK972" s="7"/>
      <c r="EL972" s="7"/>
      <c r="EM972" s="7"/>
      <c r="EN972" s="7"/>
      <c r="EO972" s="7"/>
      <c r="EP972" s="7"/>
      <c r="EQ972" s="7"/>
      <c r="ER972" s="7"/>
      <c r="ES972" s="7"/>
      <c r="ET972" s="7"/>
      <c r="EU972" s="7"/>
      <c r="EV972" s="7"/>
      <c r="EW972" s="7"/>
      <c r="EX972" s="7"/>
      <c r="EY972" s="7"/>
      <c r="EZ972" s="7"/>
      <c r="FA972" s="7"/>
      <c r="FB972" s="7"/>
      <c r="FC972" s="7"/>
      <c r="FD972" s="7"/>
      <c r="FE972" s="7"/>
      <c r="FF972" s="7"/>
      <c r="FG972" s="7"/>
      <c r="FH972" s="7"/>
      <c r="FI972" s="7"/>
      <c r="FJ972" s="7"/>
      <c r="FK972" s="7"/>
      <c r="FL972" s="7"/>
      <c r="FM972" s="7"/>
      <c r="FN972" s="7"/>
      <c r="FO972" s="7"/>
      <c r="FP972" s="7"/>
      <c r="FQ972" s="7"/>
      <c r="FR972" s="7"/>
      <c r="FS972" s="7"/>
      <c r="FT972" s="7"/>
      <c r="FU972" s="7"/>
      <c r="FV972" s="7"/>
      <c r="FW972" s="7"/>
      <c r="FX972" s="7"/>
      <c r="FY972" s="7"/>
      <c r="FZ972" s="7"/>
      <c r="GA972" s="7"/>
      <c r="GB972" s="7"/>
      <c r="GC972" s="7"/>
      <c r="GD972" s="7"/>
      <c r="GE972" s="7"/>
      <c r="GF972" s="7"/>
      <c r="GG972" s="7"/>
      <c r="GH972" s="7"/>
      <c r="GI972" s="7"/>
      <c r="GJ972" s="7"/>
      <c r="GK972" s="7"/>
      <c r="GL972" s="7"/>
      <c r="GM972" s="7"/>
      <c r="GN972" s="7"/>
      <c r="GO972" s="7"/>
      <c r="GP972" s="7"/>
      <c r="GQ972" s="7"/>
      <c r="GR972" s="7"/>
      <c r="GS972" s="7"/>
      <c r="GT972" s="7"/>
      <c r="GU972" s="7"/>
      <c r="GV972" s="7"/>
      <c r="GW972" s="7"/>
      <c r="GX972" s="7"/>
      <c r="GY972" s="7"/>
      <c r="GZ972" s="7"/>
      <c r="HA972" s="7"/>
      <c r="HB972" s="7"/>
      <c r="HC972" s="7"/>
      <c r="HD972" s="7"/>
      <c r="HE972" s="7"/>
      <c r="HF972" s="7"/>
      <c r="HG972" s="7"/>
      <c r="HH972" s="7"/>
      <c r="HI972" s="7"/>
      <c r="HJ972" s="7"/>
      <c r="HK972" s="7"/>
      <c r="HL972" s="7"/>
      <c r="HM972" s="7"/>
      <c r="HN972" s="7"/>
      <c r="HO972" s="7"/>
      <c r="HP972" s="7"/>
      <c r="HQ972" s="7"/>
      <c r="HR972" s="7"/>
      <c r="HS972" s="7"/>
      <c r="HT972" s="7"/>
      <c r="HU972" s="7"/>
      <c r="HV972" s="7"/>
      <c r="HW972" s="7"/>
      <c r="HX972" s="7"/>
      <c r="HY972" s="7"/>
      <c r="HZ972" s="7"/>
      <c r="IA972" s="7"/>
      <c r="IB972" s="7"/>
      <c r="IC972" s="7"/>
      <c r="ID972" s="7"/>
      <c r="IE972" s="7"/>
      <c r="IF972" s="7"/>
      <c r="IG972" s="7"/>
      <c r="IH972" s="7"/>
      <c r="II972" s="7"/>
      <c r="IJ972" s="7"/>
      <c r="IK972" s="7"/>
      <c r="IL972" s="7"/>
      <c r="IM972" s="7"/>
      <c r="IN972" s="7"/>
      <c r="IO972" s="7"/>
      <c r="IP972" s="7"/>
      <c r="IQ972" s="7"/>
      <c r="IR972" s="7"/>
      <c r="IS972" s="7"/>
      <c r="IT972" s="7"/>
      <c r="IU972" s="7"/>
      <c r="IV972" s="7"/>
      <c r="IW972" s="7"/>
      <c r="IX972" s="7"/>
    </row>
    <row r="973" spans="1:258" ht="21.9" customHeight="1">
      <c r="A973" s="37" t="s">
        <v>1004</v>
      </c>
      <c r="B973" s="8" t="s">
        <v>703</v>
      </c>
      <c r="C973" s="2">
        <f t="shared" si="615"/>
        <v>2743950</v>
      </c>
      <c r="D973" s="3">
        <f t="shared" si="610"/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4">
        <v>0</v>
      </c>
      <c r="L973" s="3">
        <v>0</v>
      </c>
      <c r="M973" s="3">
        <v>498.9</v>
      </c>
      <c r="N973" s="3">
        <f t="shared" si="629"/>
        <v>2743950</v>
      </c>
      <c r="O973" s="3">
        <v>0</v>
      </c>
      <c r="P973" s="3">
        <v>0</v>
      </c>
      <c r="Q973" s="5">
        <v>0</v>
      </c>
      <c r="R973" s="3">
        <f t="shared" si="612"/>
        <v>0</v>
      </c>
      <c r="S973" s="3">
        <v>0</v>
      </c>
      <c r="T973" s="5">
        <v>0</v>
      </c>
      <c r="U973" s="3">
        <v>0</v>
      </c>
      <c r="V973" s="6">
        <f t="shared" si="613"/>
        <v>5500</v>
      </c>
    </row>
    <row r="974" spans="1:258" ht="21.9" customHeight="1">
      <c r="A974" s="37" t="s">
        <v>1005</v>
      </c>
      <c r="B974" s="8" t="s">
        <v>783</v>
      </c>
      <c r="C974" s="2">
        <f t="shared" si="615"/>
        <v>5720000</v>
      </c>
      <c r="D974" s="3">
        <f t="shared" si="610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3">
        <v>1040</v>
      </c>
      <c r="N974" s="3">
        <f t="shared" ref="N974:N981" si="630">M974*5500</f>
        <v>5720000</v>
      </c>
      <c r="O974" s="3">
        <v>0</v>
      </c>
      <c r="P974" s="3">
        <v>0</v>
      </c>
      <c r="Q974" s="5">
        <v>0</v>
      </c>
      <c r="R974" s="3">
        <f t="shared" si="612"/>
        <v>0</v>
      </c>
      <c r="S974" s="3">
        <v>0</v>
      </c>
      <c r="T974" s="5">
        <v>0</v>
      </c>
      <c r="U974" s="3">
        <v>0</v>
      </c>
      <c r="V974" s="6">
        <f t="shared" si="613"/>
        <v>5500</v>
      </c>
    </row>
    <row r="975" spans="1:258" ht="21.9" customHeight="1">
      <c r="A975" s="37" t="s">
        <v>1006</v>
      </c>
      <c r="B975" s="23" t="s">
        <v>785</v>
      </c>
      <c r="C975" s="2">
        <f>D975+L975+N975+P975+R975+S975+T975+U975</f>
        <v>3371500</v>
      </c>
      <c r="D975" s="3">
        <f>SUM(E975:J975)</f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5">
        <v>613</v>
      </c>
      <c r="N975" s="3">
        <f>M975*5500</f>
        <v>3371500</v>
      </c>
      <c r="O975" s="3">
        <v>0</v>
      </c>
      <c r="P975" s="3">
        <v>0</v>
      </c>
      <c r="Q975" s="5">
        <v>0</v>
      </c>
      <c r="R975" s="3">
        <f>Q975*3000</f>
        <v>0</v>
      </c>
      <c r="S975" s="3">
        <v>0</v>
      </c>
      <c r="T975" s="5">
        <v>0</v>
      </c>
      <c r="U975" s="3">
        <v>0</v>
      </c>
      <c r="V975" s="6">
        <f>N975/M975</f>
        <v>5500</v>
      </c>
    </row>
    <row r="976" spans="1:258" ht="21.9" customHeight="1">
      <c r="A976" s="37" t="s">
        <v>1007</v>
      </c>
      <c r="B976" s="23" t="s">
        <v>528</v>
      </c>
      <c r="C976" s="2">
        <f t="shared" ref="C976" si="631">D976+L976+N976+P976+R976+S976+T976+U976</f>
        <v>1496000</v>
      </c>
      <c r="D976" s="3">
        <f t="shared" ref="D976" si="632">SUM(E976:J976)</f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11">
        <v>0</v>
      </c>
      <c r="L976" s="5">
        <v>0</v>
      </c>
      <c r="M976" s="5">
        <v>272</v>
      </c>
      <c r="N976" s="3">
        <f t="shared" ref="N976" si="633">M976*5500</f>
        <v>1496000</v>
      </c>
      <c r="O976" s="5">
        <v>0</v>
      </c>
      <c r="P976" s="5">
        <v>0</v>
      </c>
      <c r="Q976" s="5">
        <v>0</v>
      </c>
      <c r="R976" s="3">
        <f t="shared" ref="R976" si="634">Q976*3000</f>
        <v>0</v>
      </c>
      <c r="S976" s="5">
        <v>0</v>
      </c>
      <c r="T976" s="5">
        <v>0</v>
      </c>
      <c r="U976" s="5">
        <v>0</v>
      </c>
      <c r="V976" s="6">
        <f t="shared" ref="V976" si="635">N976/M976</f>
        <v>5500</v>
      </c>
    </row>
    <row r="977" spans="1:258" ht="21.9" customHeight="1">
      <c r="A977" s="37" t="s">
        <v>1008</v>
      </c>
      <c r="B977" s="23" t="s">
        <v>784</v>
      </c>
      <c r="C977" s="2">
        <f t="shared" si="615"/>
        <v>3602500</v>
      </c>
      <c r="D977" s="3">
        <f t="shared" si="610"/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5">
        <v>655</v>
      </c>
      <c r="N977" s="3">
        <f t="shared" si="630"/>
        <v>3602500</v>
      </c>
      <c r="O977" s="3">
        <v>0</v>
      </c>
      <c r="P977" s="3">
        <v>0</v>
      </c>
      <c r="Q977" s="5">
        <v>0</v>
      </c>
      <c r="R977" s="3">
        <f t="shared" ref="R977:R1050" si="636">Q977*3000</f>
        <v>0</v>
      </c>
      <c r="S977" s="3">
        <v>0</v>
      </c>
      <c r="T977" s="5">
        <v>0</v>
      </c>
      <c r="U977" s="3">
        <v>0</v>
      </c>
      <c r="V977" s="6">
        <f t="shared" ref="V977:V1050" si="637">N977/M977</f>
        <v>5500</v>
      </c>
    </row>
    <row r="978" spans="1:258" ht="21.9" customHeight="1">
      <c r="A978" s="37" t="s">
        <v>1082</v>
      </c>
      <c r="B978" s="24" t="s">
        <v>987</v>
      </c>
      <c r="C978" s="2">
        <f t="shared" si="615"/>
        <v>9162100</v>
      </c>
      <c r="D978" s="3">
        <f t="shared" ref="D978:D1051" si="638">SUM(E978:J978)</f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3">
        <v>960.7</v>
      </c>
      <c r="N978" s="3">
        <f t="shared" si="630"/>
        <v>5283850</v>
      </c>
      <c r="O978" s="3">
        <v>0</v>
      </c>
      <c r="P978" s="3">
        <v>0</v>
      </c>
      <c r="Q978" s="3">
        <v>1292.75</v>
      </c>
      <c r="R978" s="3">
        <f t="shared" si="636"/>
        <v>3878250</v>
      </c>
      <c r="S978" s="3">
        <v>0</v>
      </c>
      <c r="T978" s="5">
        <v>0</v>
      </c>
      <c r="U978" s="3">
        <v>0</v>
      </c>
      <c r="V978" s="6">
        <f t="shared" si="637"/>
        <v>5500</v>
      </c>
    </row>
    <row r="979" spans="1:258" ht="21.9" customHeight="1">
      <c r="A979" s="37" t="s">
        <v>1083</v>
      </c>
      <c r="B979" s="8" t="s">
        <v>704</v>
      </c>
      <c r="C979" s="2">
        <f t="shared" si="615"/>
        <v>1545500</v>
      </c>
      <c r="D979" s="3">
        <f t="shared" si="638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3">
        <v>281</v>
      </c>
      <c r="N979" s="3">
        <f t="shared" si="630"/>
        <v>1545500</v>
      </c>
      <c r="O979" s="3">
        <v>0</v>
      </c>
      <c r="P979" s="3">
        <v>0</v>
      </c>
      <c r="Q979" s="5">
        <v>0</v>
      </c>
      <c r="R979" s="3">
        <f t="shared" si="636"/>
        <v>0</v>
      </c>
      <c r="S979" s="3">
        <v>0</v>
      </c>
      <c r="T979" s="5">
        <v>0</v>
      </c>
      <c r="U979" s="3">
        <v>0</v>
      </c>
      <c r="V979" s="6">
        <f t="shared" si="637"/>
        <v>5500</v>
      </c>
    </row>
    <row r="980" spans="1:258" ht="21.9" customHeight="1">
      <c r="A980" s="37" t="s">
        <v>1084</v>
      </c>
      <c r="B980" s="23" t="s">
        <v>705</v>
      </c>
      <c r="C980" s="2">
        <f t="shared" ref="C980:C1056" si="639">D980+L980+N980+P980+R980+S980+T980+U980</f>
        <v>5954299.9999999991</v>
      </c>
      <c r="D980" s="3">
        <f t="shared" si="638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5">
        <v>1082.5999999999999</v>
      </c>
      <c r="N980" s="3">
        <f t="shared" si="630"/>
        <v>5954299.9999999991</v>
      </c>
      <c r="O980" s="3">
        <v>0</v>
      </c>
      <c r="P980" s="3">
        <v>0</v>
      </c>
      <c r="Q980" s="5">
        <v>0</v>
      </c>
      <c r="R980" s="3">
        <f t="shared" si="636"/>
        <v>0</v>
      </c>
      <c r="S980" s="3">
        <v>0</v>
      </c>
      <c r="T980" s="5">
        <v>0</v>
      </c>
      <c r="U980" s="3">
        <v>0</v>
      </c>
      <c r="V980" s="6">
        <f t="shared" si="637"/>
        <v>5500</v>
      </c>
    </row>
    <row r="981" spans="1:258" ht="21.9" customHeight="1">
      <c r="A981" s="37" t="s">
        <v>1085</v>
      </c>
      <c r="B981" s="8" t="s">
        <v>788</v>
      </c>
      <c r="C981" s="2">
        <f t="shared" si="639"/>
        <v>2952950</v>
      </c>
      <c r="D981" s="3">
        <f t="shared" si="638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5">
        <v>536.9</v>
      </c>
      <c r="N981" s="3">
        <f t="shared" si="630"/>
        <v>2952950</v>
      </c>
      <c r="O981" s="3">
        <v>0</v>
      </c>
      <c r="P981" s="3">
        <v>0</v>
      </c>
      <c r="Q981" s="5">
        <v>0</v>
      </c>
      <c r="R981" s="3">
        <f t="shared" si="636"/>
        <v>0</v>
      </c>
      <c r="S981" s="3">
        <v>0</v>
      </c>
      <c r="T981" s="5">
        <v>0</v>
      </c>
      <c r="U981" s="3">
        <v>0</v>
      </c>
      <c r="V981" s="6">
        <f t="shared" si="637"/>
        <v>5500</v>
      </c>
    </row>
    <row r="982" spans="1:258" s="17" customFormat="1" ht="21.9" customHeight="1">
      <c r="A982" s="37" t="s">
        <v>1086</v>
      </c>
      <c r="B982" s="8" t="s">
        <v>786</v>
      </c>
      <c r="C982" s="2">
        <f>D982+L982+N982+P982+R982+S982+T982+U982</f>
        <v>5953200.0000000009</v>
      </c>
      <c r="D982" s="3">
        <f>SUM(E982:J982)</f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5">
        <v>1082.4000000000001</v>
      </c>
      <c r="N982" s="3">
        <f>M982*5500</f>
        <v>5953200.0000000009</v>
      </c>
      <c r="O982" s="3">
        <v>0</v>
      </c>
      <c r="P982" s="3">
        <v>0</v>
      </c>
      <c r="Q982" s="5">
        <v>0</v>
      </c>
      <c r="R982" s="3">
        <f>Q982*3000</f>
        <v>0</v>
      </c>
      <c r="S982" s="3">
        <v>0</v>
      </c>
      <c r="T982" s="5">
        <v>0</v>
      </c>
      <c r="U982" s="3">
        <v>0</v>
      </c>
      <c r="V982" s="6">
        <f>N982/M982</f>
        <v>5500</v>
      </c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7"/>
      <c r="DZ982" s="7"/>
      <c r="EA982" s="7"/>
      <c r="EB982" s="7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  <c r="GJ982" s="7"/>
      <c r="GK982" s="7"/>
      <c r="GL982" s="7"/>
      <c r="GM982" s="7"/>
      <c r="GN982" s="7"/>
      <c r="GO982" s="7"/>
      <c r="GP982" s="7"/>
      <c r="GQ982" s="7"/>
      <c r="GR982" s="7"/>
      <c r="GS982" s="7"/>
      <c r="GT982" s="7"/>
      <c r="GU982" s="7"/>
      <c r="GV982" s="7"/>
      <c r="GW982" s="7"/>
      <c r="GX982" s="7"/>
      <c r="GY982" s="7"/>
      <c r="GZ982" s="7"/>
      <c r="HA982" s="7"/>
      <c r="HB982" s="7"/>
      <c r="HC982" s="7"/>
      <c r="HD982" s="7"/>
      <c r="HE982" s="7"/>
      <c r="HF982" s="7"/>
      <c r="HG982" s="7"/>
      <c r="HH982" s="7"/>
      <c r="HI982" s="7"/>
      <c r="HJ982" s="7"/>
      <c r="HK982" s="7"/>
      <c r="HL982" s="7"/>
      <c r="HM982" s="7"/>
      <c r="HN982" s="7"/>
      <c r="HO982" s="7"/>
      <c r="HP982" s="7"/>
      <c r="HQ982" s="7"/>
      <c r="HR982" s="7"/>
      <c r="HS982" s="7"/>
      <c r="HT982" s="7"/>
      <c r="HU982" s="7"/>
      <c r="HV982" s="7"/>
      <c r="HW982" s="7"/>
      <c r="HX982" s="7"/>
      <c r="HY982" s="7"/>
      <c r="HZ982" s="7"/>
      <c r="IA982" s="7"/>
      <c r="IB982" s="7"/>
      <c r="IC982" s="7"/>
      <c r="ID982" s="7"/>
      <c r="IE982" s="7"/>
      <c r="IF982" s="7"/>
      <c r="IG982" s="7"/>
      <c r="IH982" s="7"/>
      <c r="II982" s="7"/>
      <c r="IJ982" s="7"/>
      <c r="IK982" s="7"/>
      <c r="IL982" s="7"/>
      <c r="IM982" s="7"/>
      <c r="IN982" s="7"/>
      <c r="IO982" s="7"/>
      <c r="IP982" s="7"/>
      <c r="IQ982" s="7"/>
      <c r="IR982" s="7"/>
      <c r="IS982" s="7"/>
      <c r="IT982" s="7"/>
      <c r="IU982" s="7"/>
      <c r="IV982" s="7"/>
      <c r="IW982" s="7"/>
      <c r="IX982" s="7"/>
    </row>
    <row r="983" spans="1:258" ht="21.9" customHeight="1">
      <c r="A983" s="37" t="s">
        <v>1087</v>
      </c>
      <c r="B983" s="8" t="s">
        <v>706</v>
      </c>
      <c r="C983" s="2">
        <f t="shared" si="639"/>
        <v>3045350.0000000005</v>
      </c>
      <c r="D983" s="3">
        <f t="shared" si="638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3">
        <v>553.70000000000005</v>
      </c>
      <c r="N983" s="3">
        <f t="shared" ref="N983:N991" si="640">M983*5500</f>
        <v>3045350.0000000005</v>
      </c>
      <c r="O983" s="3">
        <v>0</v>
      </c>
      <c r="P983" s="3">
        <v>0</v>
      </c>
      <c r="Q983" s="5">
        <v>0</v>
      </c>
      <c r="R983" s="3">
        <f t="shared" si="636"/>
        <v>0</v>
      </c>
      <c r="S983" s="3">
        <v>0</v>
      </c>
      <c r="T983" s="5">
        <v>0</v>
      </c>
      <c r="U983" s="3">
        <v>0</v>
      </c>
      <c r="V983" s="6">
        <f t="shared" si="637"/>
        <v>5500</v>
      </c>
    </row>
    <row r="984" spans="1:258" ht="21.9" customHeight="1">
      <c r="A984" s="37" t="s">
        <v>1088</v>
      </c>
      <c r="B984" s="8" t="s">
        <v>709</v>
      </c>
      <c r="C984" s="2">
        <f t="shared" si="639"/>
        <v>2997500</v>
      </c>
      <c r="D984" s="3">
        <f t="shared" si="638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3">
        <v>545</v>
      </c>
      <c r="N984" s="3">
        <f t="shared" si="640"/>
        <v>2997500</v>
      </c>
      <c r="O984" s="3">
        <v>0</v>
      </c>
      <c r="P984" s="3">
        <v>0</v>
      </c>
      <c r="Q984" s="5">
        <v>0</v>
      </c>
      <c r="R984" s="3">
        <f t="shared" si="636"/>
        <v>0</v>
      </c>
      <c r="S984" s="3">
        <v>0</v>
      </c>
      <c r="T984" s="5">
        <v>0</v>
      </c>
      <c r="U984" s="3">
        <v>0</v>
      </c>
      <c r="V984" s="6">
        <f t="shared" si="637"/>
        <v>5500</v>
      </c>
    </row>
    <row r="985" spans="1:258" ht="21.9" customHeight="1">
      <c r="A985" s="37" t="s">
        <v>1089</v>
      </c>
      <c r="B985" s="8" t="s">
        <v>710</v>
      </c>
      <c r="C985" s="2">
        <f t="shared" si="639"/>
        <v>2392500</v>
      </c>
      <c r="D985" s="3">
        <f t="shared" si="638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3">
        <v>435</v>
      </c>
      <c r="N985" s="3">
        <f t="shared" si="640"/>
        <v>2392500</v>
      </c>
      <c r="O985" s="3">
        <v>0</v>
      </c>
      <c r="P985" s="3">
        <v>0</v>
      </c>
      <c r="Q985" s="5">
        <v>0</v>
      </c>
      <c r="R985" s="3">
        <f t="shared" si="636"/>
        <v>0</v>
      </c>
      <c r="S985" s="3">
        <v>0</v>
      </c>
      <c r="T985" s="5">
        <v>0</v>
      </c>
      <c r="U985" s="3">
        <v>0</v>
      </c>
      <c r="V985" s="6">
        <f t="shared" si="637"/>
        <v>5500</v>
      </c>
    </row>
    <row r="986" spans="1:258" ht="21.9" customHeight="1">
      <c r="A986" s="37" t="s">
        <v>1090</v>
      </c>
      <c r="B986" s="8" t="s">
        <v>711</v>
      </c>
      <c r="C986" s="2">
        <f t="shared" si="639"/>
        <v>3247200</v>
      </c>
      <c r="D986" s="3">
        <f t="shared" si="638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5">
        <v>590.4</v>
      </c>
      <c r="N986" s="3">
        <f t="shared" si="640"/>
        <v>3247200</v>
      </c>
      <c r="O986" s="3">
        <v>0</v>
      </c>
      <c r="P986" s="3">
        <v>0</v>
      </c>
      <c r="Q986" s="5">
        <v>0</v>
      </c>
      <c r="R986" s="3">
        <f t="shared" si="636"/>
        <v>0</v>
      </c>
      <c r="S986" s="3">
        <v>0</v>
      </c>
      <c r="T986" s="5">
        <v>0</v>
      </c>
      <c r="U986" s="3">
        <v>0</v>
      </c>
      <c r="V986" s="6">
        <f t="shared" si="637"/>
        <v>5500</v>
      </c>
    </row>
    <row r="987" spans="1:258" ht="21.9" customHeight="1">
      <c r="A987" s="37" t="s">
        <v>1091</v>
      </c>
      <c r="B987" s="8" t="s">
        <v>712</v>
      </c>
      <c r="C987" s="2">
        <f t="shared" si="639"/>
        <v>3011250</v>
      </c>
      <c r="D987" s="3">
        <f t="shared" si="638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3">
        <v>547.5</v>
      </c>
      <c r="N987" s="3">
        <f t="shared" si="640"/>
        <v>3011250</v>
      </c>
      <c r="O987" s="3">
        <v>0</v>
      </c>
      <c r="P987" s="3">
        <v>0</v>
      </c>
      <c r="Q987" s="5">
        <v>0</v>
      </c>
      <c r="R987" s="3">
        <f t="shared" si="636"/>
        <v>0</v>
      </c>
      <c r="S987" s="3">
        <v>0</v>
      </c>
      <c r="T987" s="5">
        <v>0</v>
      </c>
      <c r="U987" s="3">
        <v>0</v>
      </c>
      <c r="V987" s="6">
        <f t="shared" si="637"/>
        <v>5500</v>
      </c>
    </row>
    <row r="988" spans="1:258" ht="21.9" customHeight="1">
      <c r="A988" s="37" t="s">
        <v>1092</v>
      </c>
      <c r="B988" s="8" t="s">
        <v>787</v>
      </c>
      <c r="C988" s="2">
        <f>D988+L988+N988+P988+R988+S988+T988+U988</f>
        <v>2640000</v>
      </c>
      <c r="D988" s="3">
        <f>SUM(E988:J988)</f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5">
        <v>480</v>
      </c>
      <c r="N988" s="3">
        <f>M988*5500</f>
        <v>2640000</v>
      </c>
      <c r="O988" s="3">
        <v>0</v>
      </c>
      <c r="P988" s="3">
        <v>0</v>
      </c>
      <c r="Q988" s="5">
        <v>0</v>
      </c>
      <c r="R988" s="3">
        <f>Q988*3000</f>
        <v>0</v>
      </c>
      <c r="S988" s="3">
        <v>0</v>
      </c>
      <c r="T988" s="5">
        <v>0</v>
      </c>
      <c r="U988" s="3">
        <v>0</v>
      </c>
      <c r="V988" s="6">
        <f>N988/M988</f>
        <v>5500</v>
      </c>
    </row>
    <row r="989" spans="1:258" ht="21.9" customHeight="1">
      <c r="A989" s="37" t="s">
        <v>1093</v>
      </c>
      <c r="B989" s="8" t="s">
        <v>707</v>
      </c>
      <c r="C989" s="2">
        <f>D989+L989+N989+P989+R989+S989+T989+U989</f>
        <v>2640000</v>
      </c>
      <c r="D989" s="3">
        <f>SUM(E989:J989)</f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3">
        <v>480</v>
      </c>
      <c r="N989" s="3">
        <f>M989*5500</f>
        <v>2640000</v>
      </c>
      <c r="O989" s="3">
        <v>0</v>
      </c>
      <c r="P989" s="3">
        <v>0</v>
      </c>
      <c r="Q989" s="5">
        <v>0</v>
      </c>
      <c r="R989" s="3">
        <f>Q989*3000</f>
        <v>0</v>
      </c>
      <c r="S989" s="3">
        <v>0</v>
      </c>
      <c r="T989" s="5">
        <v>0</v>
      </c>
      <c r="U989" s="3">
        <v>0</v>
      </c>
      <c r="V989" s="6">
        <f>N989/M989</f>
        <v>5500</v>
      </c>
    </row>
    <row r="990" spans="1:258" ht="21.9" customHeight="1">
      <c r="A990" s="37" t="s">
        <v>1094</v>
      </c>
      <c r="B990" s="8" t="s">
        <v>708</v>
      </c>
      <c r="C990" s="2">
        <f>D990+L990+N990+P990+R990+S990+T990+U990</f>
        <v>4510000</v>
      </c>
      <c r="D990" s="3">
        <f>SUM(E990:J990)</f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5">
        <v>820</v>
      </c>
      <c r="N990" s="3">
        <f>M990*5500</f>
        <v>4510000</v>
      </c>
      <c r="O990" s="3">
        <v>0</v>
      </c>
      <c r="P990" s="3">
        <v>0</v>
      </c>
      <c r="Q990" s="5">
        <v>0</v>
      </c>
      <c r="R990" s="3">
        <f>Q990*3000</f>
        <v>0</v>
      </c>
      <c r="S990" s="3">
        <v>0</v>
      </c>
      <c r="T990" s="5">
        <v>0</v>
      </c>
      <c r="U990" s="3">
        <v>0</v>
      </c>
      <c r="V990" s="6">
        <f>N990/M990</f>
        <v>5500</v>
      </c>
    </row>
    <row r="991" spans="1:258" ht="21.9" customHeight="1">
      <c r="A991" s="37" t="s">
        <v>1095</v>
      </c>
      <c r="B991" s="8" t="s">
        <v>789</v>
      </c>
      <c r="C991" s="2">
        <f t="shared" si="639"/>
        <v>3234000</v>
      </c>
      <c r="D991" s="3">
        <f t="shared" si="638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5">
        <v>588</v>
      </c>
      <c r="N991" s="3">
        <f t="shared" si="640"/>
        <v>3234000</v>
      </c>
      <c r="O991" s="3">
        <v>0</v>
      </c>
      <c r="P991" s="3">
        <v>0</v>
      </c>
      <c r="Q991" s="5">
        <v>0</v>
      </c>
      <c r="R991" s="3">
        <f t="shared" si="636"/>
        <v>0</v>
      </c>
      <c r="S991" s="3">
        <v>0</v>
      </c>
      <c r="T991" s="5">
        <v>0</v>
      </c>
      <c r="U991" s="3">
        <v>0</v>
      </c>
      <c r="V991" s="6">
        <f t="shared" si="637"/>
        <v>5500</v>
      </c>
    </row>
    <row r="992" spans="1:258" ht="21.9" customHeight="1">
      <c r="A992" s="37" t="s">
        <v>1096</v>
      </c>
      <c r="B992" s="8" t="s">
        <v>713</v>
      </c>
      <c r="C992" s="2">
        <f t="shared" si="639"/>
        <v>23829830</v>
      </c>
      <c r="D992" s="3">
        <f t="shared" si="638"/>
        <v>23729830</v>
      </c>
      <c r="E992" s="3">
        <f>350*10097.8</f>
        <v>3534229.9999999995</v>
      </c>
      <c r="F992" s="3">
        <f>1050*10097.8</f>
        <v>10602690</v>
      </c>
      <c r="G992" s="3">
        <f>300*10097.8</f>
        <v>3029340</v>
      </c>
      <c r="H992" s="3">
        <f>400*10097.8</f>
        <v>4039119.9999999995</v>
      </c>
      <c r="I992" s="3">
        <f>250*10097.8</f>
        <v>2524450</v>
      </c>
      <c r="J992" s="3">
        <v>0</v>
      </c>
      <c r="K992" s="4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f t="shared" si="636"/>
        <v>0</v>
      </c>
      <c r="S992" s="3">
        <v>0</v>
      </c>
      <c r="T992" s="5">
        <v>0</v>
      </c>
      <c r="U992" s="3">
        <v>100000</v>
      </c>
      <c r="V992" s="6" t="e">
        <f t="shared" si="637"/>
        <v>#DIV/0!</v>
      </c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  <c r="BL992" s="28"/>
      <c r="BM992" s="28"/>
      <c r="BN992" s="28"/>
      <c r="BO992" s="28"/>
      <c r="BP992" s="28"/>
      <c r="BQ992" s="28"/>
      <c r="BR992" s="28"/>
      <c r="BS992" s="28"/>
      <c r="BT992" s="28"/>
      <c r="BU992" s="28"/>
      <c r="BV992" s="28"/>
      <c r="BW992" s="28"/>
      <c r="BX992" s="28"/>
      <c r="BY992" s="28"/>
      <c r="BZ992" s="28"/>
      <c r="CA992" s="28"/>
      <c r="CB992" s="28"/>
      <c r="CC992" s="28"/>
      <c r="CD992" s="28"/>
      <c r="CE992" s="28"/>
      <c r="CF992" s="28"/>
      <c r="CG992" s="28"/>
      <c r="CH992" s="28"/>
      <c r="CI992" s="28"/>
      <c r="CJ992" s="28"/>
      <c r="CK992" s="28"/>
      <c r="CL992" s="28"/>
      <c r="CM992" s="28"/>
      <c r="CN992" s="28"/>
      <c r="CO992" s="28"/>
      <c r="CP992" s="28"/>
      <c r="CQ992" s="28"/>
      <c r="CR992" s="28"/>
      <c r="CS992" s="28"/>
      <c r="CT992" s="28"/>
      <c r="CU992" s="28"/>
      <c r="CV992" s="28"/>
      <c r="CW992" s="28"/>
      <c r="CX992" s="28"/>
      <c r="CY992" s="28"/>
      <c r="CZ992" s="28"/>
      <c r="DA992" s="28"/>
      <c r="DB992" s="28"/>
      <c r="DC992" s="28"/>
      <c r="DD992" s="28"/>
      <c r="DE992" s="28"/>
      <c r="DF992" s="28"/>
      <c r="DG992" s="28"/>
      <c r="DH992" s="28"/>
      <c r="DI992" s="28"/>
      <c r="DJ992" s="28"/>
      <c r="DK992" s="28"/>
      <c r="DL992" s="28"/>
      <c r="DM992" s="28"/>
      <c r="DN992" s="28"/>
      <c r="DO992" s="28"/>
      <c r="DP992" s="28"/>
      <c r="DQ992" s="28"/>
      <c r="DR992" s="28"/>
      <c r="DS992" s="28"/>
      <c r="DT992" s="28"/>
      <c r="DU992" s="28"/>
      <c r="DV992" s="28"/>
      <c r="DW992" s="28"/>
      <c r="DX992" s="28"/>
      <c r="DY992" s="28"/>
      <c r="DZ992" s="28"/>
      <c r="EA992" s="28"/>
      <c r="EB992" s="28"/>
      <c r="EC992" s="28"/>
      <c r="ED992" s="28"/>
      <c r="EE992" s="28"/>
      <c r="EF992" s="28"/>
      <c r="EG992" s="28"/>
      <c r="EH992" s="28"/>
      <c r="EI992" s="28"/>
      <c r="EJ992" s="28"/>
      <c r="EK992" s="28"/>
      <c r="EL992" s="28"/>
      <c r="EM992" s="28"/>
      <c r="EN992" s="28"/>
      <c r="EO992" s="28"/>
      <c r="EP992" s="28"/>
      <c r="EQ992" s="28"/>
      <c r="ER992" s="28"/>
      <c r="ES992" s="28"/>
      <c r="ET992" s="28"/>
      <c r="EU992" s="28"/>
      <c r="EV992" s="28"/>
      <c r="EW992" s="28"/>
      <c r="EX992" s="28"/>
      <c r="EY992" s="28"/>
      <c r="EZ992" s="28"/>
      <c r="FA992" s="28"/>
      <c r="FB992" s="28"/>
      <c r="FC992" s="28"/>
      <c r="FD992" s="28"/>
      <c r="FE992" s="28"/>
      <c r="FF992" s="28"/>
      <c r="FG992" s="28"/>
      <c r="FH992" s="28"/>
      <c r="FI992" s="28"/>
      <c r="FJ992" s="28"/>
      <c r="FK992" s="28"/>
      <c r="FL992" s="28"/>
      <c r="FM992" s="28"/>
      <c r="FN992" s="28"/>
      <c r="FO992" s="28"/>
      <c r="FP992" s="28"/>
      <c r="FQ992" s="28"/>
      <c r="FR992" s="28"/>
      <c r="FS992" s="28"/>
      <c r="FT992" s="28"/>
      <c r="FU992" s="28"/>
      <c r="FV992" s="28"/>
      <c r="FW992" s="28"/>
      <c r="FX992" s="28"/>
      <c r="FY992" s="28"/>
      <c r="FZ992" s="28"/>
      <c r="GA992" s="28"/>
      <c r="GB992" s="28"/>
      <c r="GC992" s="28"/>
      <c r="GD992" s="28"/>
      <c r="GE992" s="28"/>
      <c r="GF992" s="28"/>
      <c r="GG992" s="28"/>
      <c r="GH992" s="28"/>
      <c r="GI992" s="28"/>
      <c r="GJ992" s="28"/>
      <c r="GK992" s="28"/>
      <c r="GL992" s="28"/>
      <c r="GM992" s="28"/>
      <c r="GN992" s="28"/>
      <c r="GO992" s="28"/>
      <c r="GP992" s="28"/>
      <c r="GQ992" s="28"/>
      <c r="GR992" s="28"/>
      <c r="GS992" s="28"/>
      <c r="GT992" s="28"/>
      <c r="GU992" s="28"/>
      <c r="GV992" s="28"/>
      <c r="GW992" s="28"/>
      <c r="GX992" s="28"/>
      <c r="GY992" s="28"/>
      <c r="GZ992" s="28"/>
      <c r="HA992" s="28"/>
      <c r="HB992" s="28"/>
      <c r="HC992" s="28"/>
      <c r="HD992" s="28"/>
      <c r="HE992" s="28"/>
      <c r="HF992" s="28"/>
      <c r="HG992" s="28"/>
      <c r="HH992" s="28"/>
      <c r="HI992" s="28"/>
      <c r="HJ992" s="28"/>
      <c r="HK992" s="28"/>
      <c r="HL992" s="28"/>
      <c r="HM992" s="28"/>
      <c r="HN992" s="28"/>
      <c r="HO992" s="28"/>
      <c r="HP992" s="28"/>
      <c r="HQ992" s="28"/>
      <c r="HR992" s="28"/>
      <c r="HS992" s="28"/>
      <c r="HT992" s="28"/>
      <c r="HU992" s="28"/>
      <c r="HV992" s="28"/>
      <c r="HW992" s="28"/>
      <c r="HX992" s="28"/>
      <c r="HY992" s="28"/>
      <c r="HZ992" s="28"/>
      <c r="IA992" s="28"/>
      <c r="IB992" s="28"/>
      <c r="IC992" s="28"/>
      <c r="ID992" s="28"/>
      <c r="IE992" s="28"/>
      <c r="IF992" s="28"/>
      <c r="IG992" s="28"/>
      <c r="IH992" s="28"/>
      <c r="II992" s="28"/>
      <c r="IJ992" s="28"/>
      <c r="IK992" s="28"/>
      <c r="IL992" s="28"/>
      <c r="IM992" s="28"/>
      <c r="IN992" s="28"/>
      <c r="IO992" s="28"/>
      <c r="IP992" s="28"/>
      <c r="IQ992" s="28"/>
      <c r="IR992" s="28"/>
      <c r="IS992" s="28"/>
      <c r="IT992" s="28"/>
      <c r="IU992" s="28"/>
      <c r="IV992" s="28"/>
      <c r="IW992" s="28"/>
      <c r="IX992" s="28"/>
    </row>
    <row r="993" spans="1:258" ht="21.9" customHeight="1">
      <c r="A993" s="37" t="s">
        <v>1097</v>
      </c>
      <c r="B993" s="8" t="s">
        <v>790</v>
      </c>
      <c r="C993" s="2">
        <f t="shared" si="639"/>
        <v>4268571</v>
      </c>
      <c r="D993" s="3">
        <f t="shared" si="638"/>
        <v>4168571</v>
      </c>
      <c r="E993" s="3">
        <f>350*1773.86</f>
        <v>620851</v>
      </c>
      <c r="F993" s="3">
        <f>1050*1773.86</f>
        <v>1862553</v>
      </c>
      <c r="G993" s="3">
        <f>300*1773.86</f>
        <v>532158</v>
      </c>
      <c r="H993" s="3">
        <f>400*1773.86</f>
        <v>709544</v>
      </c>
      <c r="I993" s="3">
        <f>250*1773.86</f>
        <v>443465</v>
      </c>
      <c r="J993" s="3">
        <v>0</v>
      </c>
      <c r="K993" s="4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  <c r="Q993" s="3">
        <v>0</v>
      </c>
      <c r="R993" s="3">
        <f t="shared" si="636"/>
        <v>0</v>
      </c>
      <c r="S993" s="3">
        <v>0</v>
      </c>
      <c r="T993" s="5">
        <v>0</v>
      </c>
      <c r="U993" s="3">
        <v>100000</v>
      </c>
      <c r="V993" s="6" t="e">
        <f t="shared" si="637"/>
        <v>#DIV/0!</v>
      </c>
    </row>
    <row r="994" spans="1:258" ht="21.9" customHeight="1">
      <c r="A994" s="37" t="s">
        <v>1098</v>
      </c>
      <c r="B994" s="8" t="s">
        <v>714</v>
      </c>
      <c r="C994" s="2">
        <f t="shared" si="639"/>
        <v>1364000</v>
      </c>
      <c r="D994" s="3">
        <f t="shared" si="638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11">
        <v>0</v>
      </c>
      <c r="L994" s="5">
        <v>0</v>
      </c>
      <c r="M994" s="5">
        <v>248</v>
      </c>
      <c r="N994" s="3">
        <f t="shared" ref="N994:N998" si="641">M994*5500</f>
        <v>1364000</v>
      </c>
      <c r="O994" s="3">
        <v>0</v>
      </c>
      <c r="P994" s="3">
        <v>0</v>
      </c>
      <c r="Q994" s="3">
        <v>0</v>
      </c>
      <c r="R994" s="3">
        <f t="shared" si="636"/>
        <v>0</v>
      </c>
      <c r="S994" s="3">
        <v>0</v>
      </c>
      <c r="T994" s="5">
        <v>0</v>
      </c>
      <c r="U994" s="3">
        <v>0</v>
      </c>
      <c r="V994" s="6">
        <f t="shared" si="637"/>
        <v>5500</v>
      </c>
    </row>
    <row r="995" spans="1:258" s="6" customFormat="1" ht="21.9" customHeight="1">
      <c r="A995" s="37" t="s">
        <v>1099</v>
      </c>
      <c r="B995" s="8" t="s">
        <v>715</v>
      </c>
      <c r="C995" s="2">
        <f t="shared" si="639"/>
        <v>1408000</v>
      </c>
      <c r="D995" s="3">
        <f t="shared" si="638"/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11">
        <v>0</v>
      </c>
      <c r="L995" s="5">
        <v>0</v>
      </c>
      <c r="M995" s="3">
        <v>256</v>
      </c>
      <c r="N995" s="3">
        <f t="shared" si="641"/>
        <v>1408000</v>
      </c>
      <c r="O995" s="3">
        <v>0</v>
      </c>
      <c r="P995" s="3">
        <v>0</v>
      </c>
      <c r="Q995" s="3">
        <v>0</v>
      </c>
      <c r="R995" s="3">
        <f t="shared" si="636"/>
        <v>0</v>
      </c>
      <c r="S995" s="3">
        <v>0</v>
      </c>
      <c r="T995" s="5">
        <v>0</v>
      </c>
      <c r="U995" s="3">
        <v>0</v>
      </c>
      <c r="V995" s="6">
        <f t="shared" si="637"/>
        <v>5500</v>
      </c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7"/>
      <c r="DZ995" s="7"/>
      <c r="EA995" s="7"/>
      <c r="EB995" s="7"/>
      <c r="EC995" s="7"/>
      <c r="ED995" s="7"/>
      <c r="EE995" s="7"/>
      <c r="EF995" s="7"/>
      <c r="EG995" s="7"/>
      <c r="EH995" s="7"/>
      <c r="EI995" s="7"/>
      <c r="EJ995" s="7"/>
      <c r="EK995" s="7"/>
      <c r="EL995" s="7"/>
      <c r="EM995" s="7"/>
      <c r="EN995" s="7"/>
      <c r="EO995" s="7"/>
      <c r="EP995" s="7"/>
      <c r="EQ995" s="7"/>
      <c r="ER995" s="7"/>
      <c r="ES995" s="7"/>
      <c r="ET995" s="7"/>
      <c r="EU995" s="7"/>
      <c r="EV995" s="7"/>
      <c r="EW995" s="7"/>
      <c r="EX995" s="7"/>
      <c r="EY995" s="7"/>
      <c r="EZ995" s="7"/>
      <c r="FA995" s="7"/>
      <c r="FB995" s="7"/>
      <c r="FC995" s="7"/>
      <c r="FD995" s="7"/>
      <c r="FE995" s="7"/>
      <c r="FF995" s="7"/>
      <c r="FG995" s="7"/>
      <c r="FH995" s="7"/>
      <c r="FI995" s="7"/>
      <c r="FJ995" s="7"/>
      <c r="FK995" s="7"/>
      <c r="FL995" s="7"/>
      <c r="FM995" s="7"/>
      <c r="FN995" s="7"/>
      <c r="FO995" s="7"/>
      <c r="FP995" s="7"/>
      <c r="FQ995" s="7"/>
      <c r="FR995" s="7"/>
      <c r="FS995" s="7"/>
      <c r="FT995" s="7"/>
      <c r="FU995" s="7"/>
      <c r="FV995" s="7"/>
      <c r="FW995" s="7"/>
      <c r="FX995" s="7"/>
      <c r="FY995" s="7"/>
      <c r="FZ995" s="7"/>
      <c r="GA995" s="7"/>
      <c r="GB995" s="7"/>
      <c r="GC995" s="7"/>
      <c r="GD995" s="7"/>
      <c r="GE995" s="7"/>
      <c r="GF995" s="7"/>
      <c r="GG995" s="7"/>
      <c r="GH995" s="7"/>
      <c r="GI995" s="7"/>
      <c r="GJ995" s="7"/>
      <c r="GK995" s="7"/>
      <c r="GL995" s="7"/>
      <c r="GM995" s="7"/>
      <c r="GN995" s="7"/>
      <c r="GO995" s="7"/>
      <c r="GP995" s="7"/>
      <c r="GQ995" s="7"/>
      <c r="GR995" s="7"/>
      <c r="GS995" s="7"/>
      <c r="GT995" s="7"/>
      <c r="GU995" s="7"/>
      <c r="GV995" s="7"/>
      <c r="GW995" s="7"/>
      <c r="GX995" s="7"/>
      <c r="GY995" s="7"/>
      <c r="GZ995" s="7"/>
      <c r="HA995" s="7"/>
      <c r="HB995" s="7"/>
      <c r="HC995" s="7"/>
      <c r="HD995" s="7"/>
      <c r="HE995" s="7"/>
      <c r="HF995" s="7"/>
      <c r="HG995" s="7"/>
      <c r="HH995" s="7"/>
      <c r="HI995" s="7"/>
      <c r="HJ995" s="7"/>
      <c r="HK995" s="7"/>
      <c r="HL995" s="7"/>
      <c r="HM995" s="7"/>
      <c r="HN995" s="7"/>
      <c r="HO995" s="7"/>
      <c r="HP995" s="7"/>
      <c r="HQ995" s="7"/>
      <c r="HR995" s="7"/>
      <c r="HS995" s="7"/>
      <c r="HT995" s="7"/>
      <c r="HU995" s="7"/>
      <c r="HV995" s="7"/>
      <c r="HW995" s="7"/>
      <c r="HX995" s="7"/>
      <c r="HY995" s="7"/>
      <c r="HZ995" s="7"/>
      <c r="IA995" s="7"/>
      <c r="IB995" s="7"/>
      <c r="IC995" s="7"/>
      <c r="ID995" s="7"/>
      <c r="IE995" s="7"/>
      <c r="IF995" s="7"/>
      <c r="IG995" s="7"/>
      <c r="IH995" s="7"/>
      <c r="II995" s="7"/>
      <c r="IJ995" s="7"/>
      <c r="IK995" s="7"/>
      <c r="IL995" s="7"/>
      <c r="IM995" s="7"/>
      <c r="IN995" s="7"/>
      <c r="IO995" s="7"/>
      <c r="IP995" s="7"/>
      <c r="IQ995" s="7"/>
      <c r="IR995" s="7"/>
      <c r="IS995" s="7"/>
      <c r="IT995" s="7"/>
      <c r="IU995" s="7"/>
      <c r="IV995" s="7"/>
      <c r="IW995" s="7"/>
      <c r="IX995" s="7"/>
    </row>
    <row r="996" spans="1:258" ht="21.9" customHeight="1">
      <c r="A996" s="37" t="s">
        <v>1100</v>
      </c>
      <c r="B996" s="8" t="s">
        <v>716</v>
      </c>
      <c r="C996" s="2">
        <f t="shared" si="639"/>
        <v>1332100</v>
      </c>
      <c r="D996" s="3">
        <f t="shared" si="638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11">
        <v>0</v>
      </c>
      <c r="L996" s="5">
        <v>0</v>
      </c>
      <c r="M996" s="3">
        <v>242.2</v>
      </c>
      <c r="N996" s="3">
        <f t="shared" si="641"/>
        <v>1332100</v>
      </c>
      <c r="O996" s="3">
        <v>0</v>
      </c>
      <c r="P996" s="3">
        <v>0</v>
      </c>
      <c r="Q996" s="3">
        <v>0</v>
      </c>
      <c r="R996" s="3">
        <f t="shared" si="636"/>
        <v>0</v>
      </c>
      <c r="S996" s="3">
        <v>0</v>
      </c>
      <c r="T996" s="5">
        <v>0</v>
      </c>
      <c r="U996" s="3">
        <v>0</v>
      </c>
      <c r="V996" s="6">
        <f t="shared" si="637"/>
        <v>5500</v>
      </c>
    </row>
    <row r="997" spans="1:258" ht="21.9" customHeight="1">
      <c r="A997" s="37" t="s">
        <v>1101</v>
      </c>
      <c r="B997" s="8" t="s">
        <v>791</v>
      </c>
      <c r="C997" s="2">
        <f t="shared" si="639"/>
        <v>1430000</v>
      </c>
      <c r="D997" s="3">
        <f t="shared" si="638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11">
        <v>0</v>
      </c>
      <c r="L997" s="5">
        <v>0</v>
      </c>
      <c r="M997" s="3">
        <v>260</v>
      </c>
      <c r="N997" s="3">
        <f t="shared" si="641"/>
        <v>1430000</v>
      </c>
      <c r="O997" s="3">
        <v>0</v>
      </c>
      <c r="P997" s="3">
        <v>0</v>
      </c>
      <c r="Q997" s="3">
        <v>0</v>
      </c>
      <c r="R997" s="3">
        <f t="shared" si="636"/>
        <v>0</v>
      </c>
      <c r="S997" s="3">
        <v>0</v>
      </c>
      <c r="T997" s="5">
        <v>0</v>
      </c>
      <c r="U997" s="3">
        <v>0</v>
      </c>
      <c r="V997" s="6">
        <f t="shared" si="637"/>
        <v>5500</v>
      </c>
    </row>
    <row r="998" spans="1:258" ht="21.9" customHeight="1">
      <c r="A998" s="37" t="s">
        <v>1102</v>
      </c>
      <c r="B998" s="8" t="s">
        <v>792</v>
      </c>
      <c r="C998" s="2">
        <f t="shared" si="639"/>
        <v>3843950</v>
      </c>
      <c r="D998" s="3">
        <f t="shared" si="638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11">
        <v>0</v>
      </c>
      <c r="L998" s="5">
        <v>0</v>
      </c>
      <c r="M998" s="3">
        <v>698.9</v>
      </c>
      <c r="N998" s="3">
        <f t="shared" si="641"/>
        <v>3843950</v>
      </c>
      <c r="O998" s="3">
        <v>0</v>
      </c>
      <c r="P998" s="3">
        <v>0</v>
      </c>
      <c r="Q998" s="3">
        <v>0</v>
      </c>
      <c r="R998" s="3">
        <f t="shared" si="636"/>
        <v>0</v>
      </c>
      <c r="S998" s="3">
        <v>0</v>
      </c>
      <c r="T998" s="5">
        <v>0</v>
      </c>
      <c r="U998" s="3">
        <v>0</v>
      </c>
      <c r="V998" s="6">
        <f t="shared" si="637"/>
        <v>5500</v>
      </c>
    </row>
    <row r="999" spans="1:258" ht="21.9" customHeight="1">
      <c r="A999" s="37" t="s">
        <v>1103</v>
      </c>
      <c r="B999" s="8" t="s">
        <v>819</v>
      </c>
      <c r="C999" s="2">
        <f t="shared" si="639"/>
        <v>8498567.5</v>
      </c>
      <c r="D999" s="3">
        <f t="shared" si="638"/>
        <v>3558017.5</v>
      </c>
      <c r="E999" s="3">
        <f>350*1514.05</f>
        <v>529917.5</v>
      </c>
      <c r="F999" s="3">
        <f>1050*1514.05</f>
        <v>1589752.5</v>
      </c>
      <c r="G999" s="3">
        <f>300*1514.05</f>
        <v>454215</v>
      </c>
      <c r="H999" s="3">
        <f>400*1514.05</f>
        <v>605620</v>
      </c>
      <c r="I999" s="3">
        <f>250*1514.05</f>
        <v>378512.5</v>
      </c>
      <c r="J999" s="3">
        <v>0</v>
      </c>
      <c r="K999" s="4">
        <v>0</v>
      </c>
      <c r="L999" s="3">
        <v>0</v>
      </c>
      <c r="M999" s="5">
        <v>880.1</v>
      </c>
      <c r="N999" s="3">
        <f t="shared" ref="N999:N1006" si="642">M999*5500</f>
        <v>4840550</v>
      </c>
      <c r="O999" s="3">
        <v>0</v>
      </c>
      <c r="P999" s="3">
        <v>0</v>
      </c>
      <c r="Q999" s="3">
        <v>0</v>
      </c>
      <c r="R999" s="3">
        <f t="shared" si="636"/>
        <v>0</v>
      </c>
      <c r="S999" s="3">
        <v>0</v>
      </c>
      <c r="T999" s="5">
        <v>0</v>
      </c>
      <c r="U999" s="3">
        <v>100000</v>
      </c>
      <c r="V999" s="6">
        <f t="shared" si="637"/>
        <v>5500</v>
      </c>
    </row>
    <row r="1000" spans="1:258" ht="21.9" customHeight="1">
      <c r="A1000" s="37" t="s">
        <v>1104</v>
      </c>
      <c r="B1000" s="8" t="s">
        <v>793</v>
      </c>
      <c r="C1000" s="2">
        <f t="shared" si="639"/>
        <v>6671500</v>
      </c>
      <c r="D1000" s="3">
        <f t="shared" si="638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11">
        <v>0</v>
      </c>
      <c r="L1000" s="5">
        <v>0</v>
      </c>
      <c r="M1000" s="3">
        <v>1213</v>
      </c>
      <c r="N1000" s="3">
        <f t="shared" si="642"/>
        <v>6671500</v>
      </c>
      <c r="O1000" s="3">
        <v>0</v>
      </c>
      <c r="P1000" s="3">
        <v>0</v>
      </c>
      <c r="Q1000" s="3">
        <v>0</v>
      </c>
      <c r="R1000" s="3">
        <f t="shared" si="636"/>
        <v>0</v>
      </c>
      <c r="S1000" s="3">
        <v>0</v>
      </c>
      <c r="T1000" s="5">
        <v>0</v>
      </c>
      <c r="U1000" s="3">
        <v>0</v>
      </c>
      <c r="V1000" s="6">
        <f t="shared" si="637"/>
        <v>5500</v>
      </c>
    </row>
    <row r="1001" spans="1:258" ht="21.9" customHeight="1">
      <c r="A1001" s="37" t="s">
        <v>1105</v>
      </c>
      <c r="B1001" s="8" t="s">
        <v>717</v>
      </c>
      <c r="C1001" s="2">
        <f t="shared" si="639"/>
        <v>4891150</v>
      </c>
      <c r="D1001" s="3">
        <f t="shared" si="638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11">
        <v>0</v>
      </c>
      <c r="L1001" s="5">
        <v>0</v>
      </c>
      <c r="M1001" s="3">
        <v>889.3</v>
      </c>
      <c r="N1001" s="3">
        <f t="shared" si="642"/>
        <v>4891150</v>
      </c>
      <c r="O1001" s="3">
        <v>0</v>
      </c>
      <c r="P1001" s="3">
        <v>0</v>
      </c>
      <c r="Q1001" s="3">
        <v>0</v>
      </c>
      <c r="R1001" s="3">
        <f t="shared" si="636"/>
        <v>0</v>
      </c>
      <c r="S1001" s="3">
        <v>0</v>
      </c>
      <c r="T1001" s="5">
        <v>0</v>
      </c>
      <c r="U1001" s="3">
        <v>0</v>
      </c>
      <c r="V1001" s="6">
        <f t="shared" si="637"/>
        <v>5500</v>
      </c>
    </row>
    <row r="1002" spans="1:258" ht="21.9" customHeight="1">
      <c r="A1002" s="37" t="s">
        <v>1106</v>
      </c>
      <c r="B1002" s="8" t="s">
        <v>718</v>
      </c>
      <c r="C1002" s="2">
        <f t="shared" si="639"/>
        <v>2543500</v>
      </c>
      <c r="D1002" s="3">
        <f t="shared" si="638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11">
        <v>0</v>
      </c>
      <c r="L1002" s="5">
        <v>0</v>
      </c>
      <c r="M1002" s="5">
        <v>289</v>
      </c>
      <c r="N1002" s="3">
        <f t="shared" si="642"/>
        <v>1589500</v>
      </c>
      <c r="O1002" s="5">
        <v>0</v>
      </c>
      <c r="P1002" s="5">
        <v>0</v>
      </c>
      <c r="Q1002" s="5">
        <v>318</v>
      </c>
      <c r="R1002" s="3">
        <f t="shared" si="636"/>
        <v>954000</v>
      </c>
      <c r="S1002" s="5">
        <v>0</v>
      </c>
      <c r="T1002" s="5">
        <v>0</v>
      </c>
      <c r="U1002" s="5">
        <v>0</v>
      </c>
      <c r="V1002" s="6">
        <f t="shared" si="637"/>
        <v>5500</v>
      </c>
      <c r="W1002" s="48"/>
      <c r="X1002" s="48"/>
      <c r="Y1002" s="48"/>
      <c r="Z1002" s="48"/>
      <c r="AA1002" s="48"/>
      <c r="AB1002" s="48"/>
      <c r="AC1002" s="48"/>
      <c r="AD1002" s="48"/>
      <c r="AE1002" s="48"/>
      <c r="AF1002" s="48"/>
      <c r="AG1002" s="48"/>
      <c r="AH1002" s="48"/>
      <c r="AI1002" s="48"/>
      <c r="AJ1002" s="48"/>
      <c r="AK1002" s="48"/>
      <c r="AL1002" s="48"/>
      <c r="AM1002" s="48"/>
      <c r="AN1002" s="48"/>
      <c r="AO1002" s="48"/>
      <c r="AP1002" s="48"/>
      <c r="AQ1002" s="48"/>
      <c r="AR1002" s="48"/>
      <c r="AS1002" s="48"/>
      <c r="AT1002" s="48"/>
      <c r="AU1002" s="48"/>
      <c r="AV1002" s="48"/>
      <c r="AW1002" s="48"/>
      <c r="AX1002" s="48"/>
      <c r="AY1002" s="48"/>
      <c r="AZ1002" s="48"/>
      <c r="BA1002" s="48"/>
      <c r="BB1002" s="48"/>
      <c r="BC1002" s="48"/>
      <c r="BD1002" s="48"/>
      <c r="BE1002" s="48"/>
      <c r="BF1002" s="48"/>
      <c r="BG1002" s="48"/>
      <c r="BH1002" s="48"/>
      <c r="BI1002" s="48"/>
      <c r="BJ1002" s="48"/>
      <c r="BK1002" s="48"/>
      <c r="BL1002" s="48"/>
      <c r="BM1002" s="48"/>
      <c r="BN1002" s="48"/>
      <c r="BO1002" s="48"/>
      <c r="BP1002" s="48"/>
      <c r="BQ1002" s="48"/>
      <c r="BR1002" s="48"/>
      <c r="BS1002" s="48"/>
      <c r="BT1002" s="48"/>
      <c r="BU1002" s="48"/>
      <c r="BV1002" s="48"/>
      <c r="BW1002" s="48"/>
      <c r="BX1002" s="48"/>
      <c r="BY1002" s="48"/>
      <c r="BZ1002" s="48"/>
      <c r="CA1002" s="48"/>
      <c r="CB1002" s="48"/>
      <c r="CC1002" s="48"/>
      <c r="CD1002" s="48"/>
      <c r="CE1002" s="48"/>
      <c r="CF1002" s="48"/>
      <c r="CG1002" s="48"/>
      <c r="CH1002" s="48"/>
      <c r="CI1002" s="48"/>
      <c r="CJ1002" s="48"/>
      <c r="CK1002" s="48"/>
      <c r="CL1002" s="48"/>
      <c r="CM1002" s="48"/>
      <c r="CN1002" s="48"/>
      <c r="CO1002" s="48"/>
      <c r="CP1002" s="48"/>
      <c r="CQ1002" s="48"/>
      <c r="CR1002" s="48"/>
      <c r="CS1002" s="48"/>
      <c r="CT1002" s="48"/>
      <c r="CU1002" s="48"/>
      <c r="CV1002" s="48"/>
      <c r="CW1002" s="48"/>
      <c r="CX1002" s="48"/>
      <c r="CY1002" s="48"/>
      <c r="CZ1002" s="48"/>
      <c r="DA1002" s="48"/>
      <c r="DB1002" s="48"/>
      <c r="DC1002" s="48"/>
      <c r="DD1002" s="48"/>
      <c r="DE1002" s="48"/>
      <c r="DF1002" s="48"/>
      <c r="DG1002" s="48"/>
      <c r="DH1002" s="48"/>
      <c r="DI1002" s="48"/>
      <c r="DJ1002" s="48"/>
      <c r="DK1002" s="48"/>
      <c r="DL1002" s="48"/>
      <c r="DM1002" s="48"/>
      <c r="DN1002" s="48"/>
      <c r="DO1002" s="48"/>
      <c r="DP1002" s="48"/>
      <c r="DQ1002" s="48"/>
      <c r="DR1002" s="48"/>
      <c r="DS1002" s="48"/>
      <c r="DT1002" s="48"/>
      <c r="DU1002" s="48"/>
      <c r="DV1002" s="48"/>
      <c r="DW1002" s="48"/>
      <c r="DX1002" s="48"/>
      <c r="DY1002" s="48"/>
      <c r="DZ1002" s="48"/>
      <c r="EA1002" s="48"/>
      <c r="EB1002" s="48"/>
      <c r="EC1002" s="48"/>
      <c r="ED1002" s="48"/>
      <c r="EE1002" s="48"/>
      <c r="EF1002" s="48"/>
      <c r="EG1002" s="48"/>
      <c r="EH1002" s="48"/>
      <c r="EI1002" s="48"/>
      <c r="EJ1002" s="48"/>
      <c r="EK1002" s="48"/>
      <c r="EL1002" s="48"/>
      <c r="EM1002" s="48"/>
      <c r="EN1002" s="48"/>
      <c r="EO1002" s="48"/>
      <c r="EP1002" s="48"/>
      <c r="EQ1002" s="48"/>
      <c r="ER1002" s="48"/>
      <c r="ES1002" s="48"/>
      <c r="ET1002" s="48"/>
      <c r="EU1002" s="48"/>
      <c r="EV1002" s="48"/>
      <c r="EW1002" s="48"/>
      <c r="EX1002" s="48"/>
      <c r="EY1002" s="48"/>
      <c r="EZ1002" s="48"/>
      <c r="FA1002" s="48"/>
      <c r="FB1002" s="48"/>
      <c r="FC1002" s="48"/>
      <c r="FD1002" s="48"/>
      <c r="FE1002" s="48"/>
      <c r="FF1002" s="48"/>
      <c r="FG1002" s="48"/>
      <c r="FH1002" s="48"/>
      <c r="FI1002" s="48"/>
      <c r="FJ1002" s="48"/>
      <c r="FK1002" s="48"/>
      <c r="FL1002" s="48"/>
      <c r="FM1002" s="48"/>
      <c r="FN1002" s="48"/>
      <c r="FO1002" s="48"/>
      <c r="FP1002" s="48"/>
      <c r="FQ1002" s="48"/>
      <c r="FR1002" s="48"/>
      <c r="FS1002" s="48"/>
      <c r="FT1002" s="48"/>
      <c r="FU1002" s="48"/>
      <c r="FV1002" s="48"/>
      <c r="FW1002" s="48"/>
      <c r="FX1002" s="48"/>
      <c r="FY1002" s="48"/>
      <c r="FZ1002" s="48"/>
      <c r="GA1002" s="48"/>
      <c r="GB1002" s="48"/>
      <c r="GC1002" s="48"/>
      <c r="GD1002" s="48"/>
      <c r="GE1002" s="48"/>
      <c r="GF1002" s="48"/>
      <c r="GG1002" s="48"/>
      <c r="GH1002" s="48"/>
      <c r="GI1002" s="48"/>
      <c r="GJ1002" s="29"/>
      <c r="GK1002" s="29"/>
      <c r="GL1002" s="29"/>
      <c r="GM1002" s="29"/>
      <c r="GN1002" s="29"/>
      <c r="GO1002" s="29"/>
      <c r="GP1002" s="29"/>
      <c r="GQ1002" s="29"/>
      <c r="GR1002" s="29"/>
      <c r="GS1002" s="29"/>
      <c r="GT1002" s="29"/>
      <c r="GU1002" s="29"/>
      <c r="GV1002" s="29"/>
      <c r="GW1002" s="29"/>
      <c r="GX1002" s="29"/>
      <c r="GY1002" s="29"/>
      <c r="GZ1002" s="29"/>
      <c r="HA1002" s="29"/>
      <c r="HB1002" s="29"/>
      <c r="HC1002" s="29"/>
      <c r="HD1002" s="29"/>
      <c r="HE1002" s="29"/>
      <c r="HF1002" s="29"/>
      <c r="HG1002" s="29"/>
      <c r="HH1002" s="29"/>
      <c r="HI1002" s="29"/>
      <c r="HJ1002" s="29"/>
      <c r="HK1002" s="29"/>
      <c r="HL1002" s="29"/>
      <c r="HM1002" s="29"/>
      <c r="HN1002" s="29"/>
      <c r="HO1002" s="29"/>
      <c r="HP1002" s="29"/>
      <c r="HQ1002" s="29"/>
      <c r="HR1002" s="29"/>
      <c r="HS1002" s="29"/>
      <c r="HT1002" s="29"/>
      <c r="HU1002" s="29"/>
      <c r="HV1002" s="29"/>
      <c r="HW1002" s="29"/>
      <c r="HX1002" s="29"/>
      <c r="HY1002" s="29"/>
      <c r="HZ1002" s="29"/>
      <c r="IA1002" s="29"/>
      <c r="IB1002" s="29"/>
      <c r="IC1002" s="29"/>
      <c r="ID1002" s="29"/>
      <c r="IE1002" s="29"/>
      <c r="IF1002" s="29"/>
      <c r="IG1002" s="29"/>
      <c r="IH1002" s="29"/>
      <c r="II1002" s="29"/>
      <c r="IJ1002" s="29"/>
      <c r="IK1002" s="29"/>
      <c r="IL1002" s="29"/>
      <c r="IM1002" s="29"/>
      <c r="IN1002" s="29"/>
      <c r="IO1002" s="29"/>
      <c r="IP1002" s="29"/>
      <c r="IQ1002" s="29"/>
      <c r="IR1002" s="29"/>
      <c r="IS1002" s="29"/>
      <c r="IT1002" s="29"/>
      <c r="IU1002" s="29"/>
      <c r="IV1002" s="29"/>
      <c r="IW1002" s="29"/>
      <c r="IX1002" s="29"/>
    </row>
    <row r="1003" spans="1:258" s="17" customFormat="1" ht="21.9" customHeight="1">
      <c r="A1003" s="37" t="s">
        <v>1107</v>
      </c>
      <c r="B1003" s="23" t="s">
        <v>719</v>
      </c>
      <c r="C1003" s="2">
        <f t="shared" si="639"/>
        <v>2959000</v>
      </c>
      <c r="D1003" s="3">
        <f t="shared" si="638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4">
        <v>0</v>
      </c>
      <c r="L1003" s="3">
        <v>0</v>
      </c>
      <c r="M1003" s="3">
        <v>538</v>
      </c>
      <c r="N1003" s="3">
        <f t="shared" si="642"/>
        <v>2959000</v>
      </c>
      <c r="O1003" s="3">
        <v>0</v>
      </c>
      <c r="P1003" s="3">
        <v>0</v>
      </c>
      <c r="Q1003" s="3">
        <v>0</v>
      </c>
      <c r="R1003" s="3">
        <f t="shared" si="636"/>
        <v>0</v>
      </c>
      <c r="S1003" s="3">
        <v>0</v>
      </c>
      <c r="T1003" s="5">
        <v>0</v>
      </c>
      <c r="U1003" s="3">
        <v>0</v>
      </c>
      <c r="V1003" s="6">
        <f t="shared" si="637"/>
        <v>5500</v>
      </c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7"/>
      <c r="CR1003" s="7"/>
      <c r="CS1003" s="7"/>
      <c r="CT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7"/>
      <c r="DO1003" s="7"/>
      <c r="DP1003" s="7"/>
      <c r="DQ1003" s="7"/>
      <c r="DR1003" s="7"/>
      <c r="DS1003" s="7"/>
      <c r="DT1003" s="7"/>
      <c r="DU1003" s="7"/>
      <c r="DV1003" s="7"/>
      <c r="DW1003" s="7"/>
      <c r="DX1003" s="7"/>
      <c r="DY1003" s="7"/>
      <c r="DZ1003" s="7"/>
      <c r="EA1003" s="7"/>
      <c r="EB1003" s="7"/>
      <c r="EC1003" s="7"/>
      <c r="ED1003" s="7"/>
      <c r="EE1003" s="7"/>
      <c r="EF1003" s="7"/>
      <c r="EG1003" s="7"/>
      <c r="EH1003" s="7"/>
      <c r="EI1003" s="7"/>
      <c r="EJ1003" s="7"/>
      <c r="EK1003" s="7"/>
      <c r="EL1003" s="7"/>
      <c r="EM1003" s="7"/>
      <c r="EN1003" s="7"/>
      <c r="EO1003" s="7"/>
      <c r="EP1003" s="7"/>
      <c r="EQ1003" s="7"/>
      <c r="ER1003" s="7"/>
      <c r="ES1003" s="7"/>
      <c r="ET1003" s="7"/>
      <c r="EU1003" s="7"/>
      <c r="EV1003" s="7"/>
      <c r="EW1003" s="7"/>
      <c r="EX1003" s="7"/>
      <c r="EY1003" s="7"/>
      <c r="EZ1003" s="7"/>
      <c r="FA1003" s="7"/>
      <c r="FB1003" s="7"/>
      <c r="FC1003" s="7"/>
      <c r="FD1003" s="7"/>
      <c r="FE1003" s="7"/>
      <c r="FF1003" s="7"/>
      <c r="FG1003" s="7"/>
      <c r="FH1003" s="7"/>
      <c r="FI1003" s="7"/>
      <c r="FJ1003" s="7"/>
      <c r="FK1003" s="7"/>
      <c r="FL1003" s="7"/>
      <c r="FM1003" s="7"/>
      <c r="FN1003" s="7"/>
      <c r="FO1003" s="7"/>
      <c r="FP1003" s="7"/>
      <c r="FQ1003" s="7"/>
      <c r="FR1003" s="7"/>
      <c r="FS1003" s="7"/>
      <c r="FT1003" s="7"/>
      <c r="FU1003" s="7"/>
      <c r="FV1003" s="7"/>
      <c r="FW1003" s="7"/>
      <c r="FX1003" s="7"/>
      <c r="FY1003" s="7"/>
      <c r="FZ1003" s="7"/>
      <c r="GA1003" s="7"/>
      <c r="GB1003" s="7"/>
      <c r="GC1003" s="7"/>
      <c r="GD1003" s="7"/>
      <c r="GE1003" s="7"/>
      <c r="GF1003" s="7"/>
      <c r="GG1003" s="7"/>
      <c r="GH1003" s="7"/>
      <c r="GI1003" s="7"/>
      <c r="GJ1003" s="7"/>
      <c r="GK1003" s="7"/>
      <c r="GL1003" s="7"/>
      <c r="GM1003" s="7"/>
      <c r="GN1003" s="7"/>
      <c r="GO1003" s="7"/>
      <c r="GP1003" s="7"/>
      <c r="GQ1003" s="7"/>
      <c r="GR1003" s="7"/>
      <c r="GS1003" s="7"/>
      <c r="GT1003" s="7"/>
      <c r="GU1003" s="7"/>
      <c r="GV1003" s="7"/>
      <c r="GW1003" s="7"/>
      <c r="GX1003" s="7"/>
      <c r="GY1003" s="7"/>
      <c r="GZ1003" s="7"/>
      <c r="HA1003" s="7"/>
      <c r="HB1003" s="7"/>
      <c r="HC1003" s="7"/>
      <c r="HD1003" s="7"/>
      <c r="HE1003" s="7"/>
      <c r="HF1003" s="7"/>
      <c r="HG1003" s="7"/>
      <c r="HH1003" s="7"/>
      <c r="HI1003" s="7"/>
      <c r="HJ1003" s="7"/>
      <c r="HK1003" s="7"/>
      <c r="HL1003" s="7"/>
      <c r="HM1003" s="7"/>
      <c r="HN1003" s="7"/>
      <c r="HO1003" s="7"/>
      <c r="HP1003" s="7"/>
      <c r="HQ1003" s="7"/>
      <c r="HR1003" s="7"/>
      <c r="HS1003" s="7"/>
      <c r="HT1003" s="7"/>
      <c r="HU1003" s="7"/>
      <c r="HV1003" s="7"/>
      <c r="HW1003" s="7"/>
      <c r="HX1003" s="7"/>
      <c r="HY1003" s="7"/>
      <c r="HZ1003" s="7"/>
      <c r="IA1003" s="7"/>
      <c r="IB1003" s="7"/>
      <c r="IC1003" s="7"/>
      <c r="ID1003" s="7"/>
      <c r="IE1003" s="7"/>
      <c r="IF1003" s="7"/>
      <c r="IG1003" s="7"/>
      <c r="IH1003" s="7"/>
      <c r="II1003" s="7"/>
      <c r="IJ1003" s="7"/>
      <c r="IK1003" s="7"/>
      <c r="IL1003" s="7"/>
      <c r="IM1003" s="7"/>
      <c r="IN1003" s="7"/>
      <c r="IO1003" s="7"/>
      <c r="IP1003" s="7"/>
      <c r="IQ1003" s="7"/>
      <c r="IR1003" s="7"/>
      <c r="IS1003" s="7"/>
      <c r="IT1003" s="7"/>
      <c r="IU1003" s="7"/>
      <c r="IV1003" s="7"/>
      <c r="IW1003" s="7"/>
      <c r="IX1003" s="7"/>
    </row>
    <row r="1004" spans="1:258" ht="21.9" customHeight="1">
      <c r="A1004" s="37" t="s">
        <v>1108</v>
      </c>
      <c r="B1004" s="8" t="s">
        <v>404</v>
      </c>
      <c r="C1004" s="2">
        <f t="shared" si="639"/>
        <v>4230000</v>
      </c>
      <c r="D1004" s="3">
        <f t="shared" ref="D1004" si="643">SUM(E1004:J1004)</f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4">
        <v>0</v>
      </c>
      <c r="L1004" s="3">
        <v>0</v>
      </c>
      <c r="M1004" s="3">
        <v>660</v>
      </c>
      <c r="N1004" s="3">
        <f>M1004*5500</f>
        <v>3630000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600000</v>
      </c>
      <c r="V1004" s="6">
        <f t="shared" si="637"/>
        <v>5500</v>
      </c>
    </row>
    <row r="1005" spans="1:258" s="6" customFormat="1" ht="21.9" customHeight="1">
      <c r="A1005" s="37" t="s">
        <v>1109</v>
      </c>
      <c r="B1005" s="23" t="s">
        <v>794</v>
      </c>
      <c r="C1005" s="2">
        <f t="shared" si="639"/>
        <v>3570600.0000000005</v>
      </c>
      <c r="D1005" s="3">
        <f t="shared" si="638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5">
        <v>649.20000000000005</v>
      </c>
      <c r="N1005" s="3">
        <f t="shared" si="642"/>
        <v>3570600.0000000005</v>
      </c>
      <c r="O1005" s="3">
        <v>0</v>
      </c>
      <c r="P1005" s="3">
        <v>0</v>
      </c>
      <c r="Q1005" s="3">
        <v>0</v>
      </c>
      <c r="R1005" s="3">
        <f t="shared" si="636"/>
        <v>0</v>
      </c>
      <c r="S1005" s="3">
        <v>0</v>
      </c>
      <c r="T1005" s="5">
        <v>0</v>
      </c>
      <c r="U1005" s="3">
        <v>0</v>
      </c>
      <c r="V1005" s="6">
        <f t="shared" si="637"/>
        <v>5500</v>
      </c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7"/>
      <c r="DZ1005" s="7"/>
      <c r="EA1005" s="7"/>
      <c r="EB1005" s="7"/>
      <c r="EC1005" s="7"/>
      <c r="ED1005" s="7"/>
      <c r="EE1005" s="7"/>
      <c r="EF1005" s="7"/>
      <c r="EG1005" s="7"/>
      <c r="EH1005" s="7"/>
      <c r="EI1005" s="7"/>
      <c r="EJ1005" s="7"/>
      <c r="EK1005" s="7"/>
      <c r="EL1005" s="7"/>
      <c r="EM1005" s="7"/>
      <c r="EN1005" s="7"/>
      <c r="EO1005" s="7"/>
      <c r="EP1005" s="7"/>
      <c r="EQ1005" s="7"/>
      <c r="ER1005" s="7"/>
      <c r="ES1005" s="7"/>
      <c r="ET1005" s="7"/>
      <c r="EU1005" s="7"/>
      <c r="EV1005" s="7"/>
      <c r="EW1005" s="7"/>
      <c r="EX1005" s="7"/>
      <c r="EY1005" s="7"/>
      <c r="EZ1005" s="7"/>
      <c r="FA1005" s="7"/>
      <c r="FB1005" s="7"/>
      <c r="FC1005" s="7"/>
      <c r="FD1005" s="7"/>
      <c r="FE1005" s="7"/>
      <c r="FF1005" s="7"/>
      <c r="FG1005" s="7"/>
      <c r="FH1005" s="7"/>
      <c r="FI1005" s="7"/>
      <c r="FJ1005" s="7"/>
      <c r="FK1005" s="7"/>
      <c r="FL1005" s="7"/>
      <c r="FM1005" s="7"/>
      <c r="FN1005" s="7"/>
      <c r="FO1005" s="7"/>
      <c r="FP1005" s="7"/>
      <c r="FQ1005" s="7"/>
      <c r="FR1005" s="7"/>
      <c r="FS1005" s="7"/>
      <c r="FT1005" s="7"/>
      <c r="FU1005" s="7"/>
      <c r="FV1005" s="7"/>
      <c r="FW1005" s="7"/>
      <c r="FX1005" s="7"/>
      <c r="FY1005" s="7"/>
      <c r="FZ1005" s="7"/>
      <c r="GA1005" s="7"/>
      <c r="GB1005" s="7"/>
      <c r="GC1005" s="7"/>
      <c r="GD1005" s="7"/>
      <c r="GE1005" s="7"/>
      <c r="GF1005" s="7"/>
      <c r="GG1005" s="7"/>
      <c r="GH1005" s="7"/>
      <c r="GI1005" s="7"/>
      <c r="GJ1005" s="7"/>
      <c r="GK1005" s="7"/>
      <c r="GL1005" s="7"/>
      <c r="GM1005" s="7"/>
      <c r="GN1005" s="7"/>
      <c r="GO1005" s="7"/>
      <c r="GP1005" s="7"/>
      <c r="GQ1005" s="7"/>
      <c r="GR1005" s="7"/>
      <c r="GS1005" s="7"/>
      <c r="GT1005" s="7"/>
      <c r="GU1005" s="7"/>
      <c r="GV1005" s="7"/>
      <c r="GW1005" s="7"/>
      <c r="GX1005" s="7"/>
      <c r="GY1005" s="7"/>
      <c r="GZ1005" s="7"/>
      <c r="HA1005" s="7"/>
      <c r="HB1005" s="7"/>
      <c r="HC1005" s="7"/>
      <c r="HD1005" s="7"/>
      <c r="HE1005" s="7"/>
      <c r="HF1005" s="7"/>
      <c r="HG1005" s="7"/>
      <c r="HH1005" s="7"/>
      <c r="HI1005" s="7"/>
      <c r="HJ1005" s="7"/>
      <c r="HK1005" s="7"/>
      <c r="HL1005" s="7"/>
      <c r="HM1005" s="7"/>
      <c r="HN1005" s="7"/>
      <c r="HO1005" s="7"/>
      <c r="HP1005" s="7"/>
      <c r="HQ1005" s="7"/>
      <c r="HR1005" s="7"/>
      <c r="HS1005" s="7"/>
      <c r="HT1005" s="7"/>
      <c r="HU1005" s="7"/>
      <c r="HV1005" s="7"/>
      <c r="HW1005" s="7"/>
      <c r="HX1005" s="7"/>
      <c r="HY1005" s="7"/>
      <c r="HZ1005" s="7"/>
      <c r="IA1005" s="7"/>
      <c r="IB1005" s="7"/>
      <c r="IC1005" s="7"/>
      <c r="ID1005" s="7"/>
      <c r="IE1005" s="7"/>
      <c r="IF1005" s="7"/>
      <c r="IG1005" s="7"/>
      <c r="IH1005" s="7"/>
      <c r="II1005" s="7"/>
      <c r="IJ1005" s="7"/>
      <c r="IK1005" s="7"/>
      <c r="IL1005" s="7"/>
      <c r="IM1005" s="7"/>
      <c r="IN1005" s="7"/>
      <c r="IO1005" s="7"/>
      <c r="IP1005" s="7"/>
      <c r="IQ1005" s="7"/>
      <c r="IR1005" s="7"/>
      <c r="IS1005" s="7"/>
      <c r="IT1005" s="7"/>
      <c r="IU1005" s="7"/>
      <c r="IV1005" s="7"/>
      <c r="IW1005" s="7"/>
      <c r="IX1005" s="7"/>
    </row>
    <row r="1006" spans="1:258" s="17" customFormat="1" ht="21.9" customHeight="1">
      <c r="A1006" s="37" t="s">
        <v>1110</v>
      </c>
      <c r="B1006" s="8" t="s">
        <v>795</v>
      </c>
      <c r="C1006" s="2">
        <f t="shared" si="639"/>
        <v>3587100.0000000005</v>
      </c>
      <c r="D1006" s="3">
        <f t="shared" si="638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5">
        <v>652.20000000000005</v>
      </c>
      <c r="N1006" s="3">
        <f t="shared" si="642"/>
        <v>3587100.0000000005</v>
      </c>
      <c r="O1006" s="3">
        <v>0</v>
      </c>
      <c r="P1006" s="3">
        <v>0</v>
      </c>
      <c r="Q1006" s="3">
        <v>0</v>
      </c>
      <c r="R1006" s="3">
        <f t="shared" si="636"/>
        <v>0</v>
      </c>
      <c r="S1006" s="3">
        <v>0</v>
      </c>
      <c r="T1006" s="5">
        <v>0</v>
      </c>
      <c r="U1006" s="3">
        <v>0</v>
      </c>
      <c r="V1006" s="6">
        <f t="shared" si="637"/>
        <v>5500</v>
      </c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  <c r="GT1006" s="7"/>
      <c r="GU1006" s="7"/>
      <c r="GV1006" s="7"/>
      <c r="GW1006" s="7"/>
      <c r="GX1006" s="7"/>
      <c r="GY1006" s="7"/>
      <c r="GZ1006" s="7"/>
      <c r="HA1006" s="7"/>
      <c r="HB1006" s="7"/>
      <c r="HC1006" s="7"/>
      <c r="HD1006" s="7"/>
      <c r="HE1006" s="7"/>
      <c r="HF1006" s="7"/>
      <c r="HG1006" s="7"/>
      <c r="HH1006" s="7"/>
      <c r="HI1006" s="7"/>
      <c r="HJ1006" s="7"/>
      <c r="HK1006" s="7"/>
      <c r="HL1006" s="7"/>
      <c r="HM1006" s="7"/>
      <c r="HN1006" s="7"/>
      <c r="HO1006" s="7"/>
      <c r="HP1006" s="7"/>
      <c r="HQ1006" s="7"/>
      <c r="HR1006" s="7"/>
      <c r="HS1006" s="7"/>
      <c r="HT1006" s="7"/>
      <c r="HU1006" s="7"/>
      <c r="HV1006" s="7"/>
      <c r="HW1006" s="7"/>
      <c r="HX1006" s="7"/>
      <c r="HY1006" s="7"/>
      <c r="HZ1006" s="7"/>
      <c r="IA1006" s="7"/>
      <c r="IB1006" s="7"/>
      <c r="IC1006" s="7"/>
      <c r="ID1006" s="7"/>
      <c r="IE1006" s="7"/>
      <c r="IF1006" s="7"/>
      <c r="IG1006" s="7"/>
      <c r="IH1006" s="7"/>
      <c r="II1006" s="7"/>
      <c r="IJ1006" s="7"/>
      <c r="IK1006" s="7"/>
      <c r="IL1006" s="7"/>
      <c r="IM1006" s="7"/>
      <c r="IN1006" s="7"/>
      <c r="IO1006" s="7"/>
      <c r="IP1006" s="7"/>
      <c r="IQ1006" s="7"/>
      <c r="IR1006" s="7"/>
      <c r="IS1006" s="7"/>
      <c r="IT1006" s="7"/>
      <c r="IU1006" s="7"/>
      <c r="IV1006" s="7"/>
      <c r="IW1006" s="7"/>
      <c r="IX1006" s="7"/>
    </row>
    <row r="1007" spans="1:258" s="17" customFormat="1" ht="21.9" customHeight="1">
      <c r="A1007" s="37" t="s">
        <v>1111</v>
      </c>
      <c r="B1007" s="8" t="s">
        <v>796</v>
      </c>
      <c r="C1007" s="2">
        <f t="shared" si="639"/>
        <v>2830848</v>
      </c>
      <c r="D1007" s="3">
        <f t="shared" si="638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5">
        <v>768</v>
      </c>
      <c r="N1007" s="3">
        <f>M1007*3686</f>
        <v>2830848</v>
      </c>
      <c r="O1007" s="3">
        <v>0</v>
      </c>
      <c r="P1007" s="3">
        <v>0</v>
      </c>
      <c r="Q1007" s="3">
        <v>0</v>
      </c>
      <c r="R1007" s="3">
        <f t="shared" si="636"/>
        <v>0</v>
      </c>
      <c r="S1007" s="3">
        <v>0</v>
      </c>
      <c r="T1007" s="5">
        <v>0</v>
      </c>
      <c r="U1007" s="3">
        <v>0</v>
      </c>
      <c r="V1007" s="6">
        <f t="shared" si="637"/>
        <v>3686</v>
      </c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7"/>
      <c r="CR1007" s="7"/>
      <c r="CS1007" s="7"/>
      <c r="CT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7"/>
      <c r="DO1007" s="7"/>
      <c r="DP1007" s="7"/>
      <c r="DQ1007" s="7"/>
      <c r="DR1007" s="7"/>
      <c r="DS1007" s="7"/>
      <c r="DT1007" s="7"/>
      <c r="DU1007" s="7"/>
      <c r="DV1007" s="7"/>
      <c r="DW1007" s="7"/>
      <c r="DX1007" s="7"/>
      <c r="DY1007" s="7"/>
      <c r="DZ1007" s="7"/>
      <c r="EA1007" s="7"/>
      <c r="EB1007" s="7"/>
      <c r="EC1007" s="7"/>
      <c r="ED1007" s="7"/>
      <c r="EE1007" s="7"/>
      <c r="EF1007" s="7"/>
      <c r="EG1007" s="7"/>
      <c r="EH1007" s="7"/>
      <c r="EI1007" s="7"/>
      <c r="EJ1007" s="7"/>
      <c r="EK1007" s="7"/>
      <c r="EL1007" s="7"/>
      <c r="EM1007" s="7"/>
      <c r="EN1007" s="7"/>
      <c r="EO1007" s="7"/>
      <c r="EP1007" s="7"/>
      <c r="EQ1007" s="7"/>
      <c r="ER1007" s="7"/>
      <c r="ES1007" s="7"/>
      <c r="ET1007" s="7"/>
      <c r="EU1007" s="7"/>
      <c r="EV1007" s="7"/>
      <c r="EW1007" s="7"/>
      <c r="EX1007" s="7"/>
      <c r="EY1007" s="7"/>
      <c r="EZ1007" s="7"/>
      <c r="FA1007" s="7"/>
      <c r="FB1007" s="7"/>
      <c r="FC1007" s="7"/>
      <c r="FD1007" s="7"/>
      <c r="FE1007" s="7"/>
      <c r="FF1007" s="7"/>
      <c r="FG1007" s="7"/>
      <c r="FH1007" s="7"/>
      <c r="FI1007" s="7"/>
      <c r="FJ1007" s="7"/>
      <c r="FK1007" s="7"/>
      <c r="FL1007" s="7"/>
      <c r="FM1007" s="7"/>
      <c r="FN1007" s="7"/>
      <c r="FO1007" s="7"/>
      <c r="FP1007" s="7"/>
      <c r="FQ1007" s="7"/>
      <c r="FR1007" s="7"/>
      <c r="FS1007" s="7"/>
      <c r="FT1007" s="7"/>
      <c r="FU1007" s="7"/>
      <c r="FV1007" s="7"/>
      <c r="FW1007" s="7"/>
      <c r="FX1007" s="7"/>
      <c r="FY1007" s="7"/>
      <c r="FZ1007" s="7"/>
      <c r="GA1007" s="7"/>
      <c r="GB1007" s="7"/>
      <c r="GC1007" s="7"/>
      <c r="GD1007" s="7"/>
      <c r="GE1007" s="7"/>
      <c r="GF1007" s="7"/>
      <c r="GG1007" s="7"/>
      <c r="GH1007" s="7"/>
      <c r="GI1007" s="7"/>
      <c r="GJ1007" s="7"/>
      <c r="GK1007" s="7"/>
      <c r="GL1007" s="7"/>
      <c r="GM1007" s="7"/>
      <c r="GN1007" s="7"/>
      <c r="GO1007" s="7"/>
      <c r="GP1007" s="7"/>
      <c r="GQ1007" s="7"/>
      <c r="GR1007" s="7"/>
      <c r="GS1007" s="7"/>
      <c r="GT1007" s="7"/>
      <c r="GU1007" s="7"/>
      <c r="GV1007" s="7"/>
      <c r="GW1007" s="7"/>
      <c r="GX1007" s="7"/>
      <c r="GY1007" s="7"/>
      <c r="GZ1007" s="7"/>
      <c r="HA1007" s="7"/>
      <c r="HB1007" s="7"/>
      <c r="HC1007" s="7"/>
      <c r="HD1007" s="7"/>
      <c r="HE1007" s="7"/>
      <c r="HF1007" s="7"/>
      <c r="HG1007" s="7"/>
      <c r="HH1007" s="7"/>
      <c r="HI1007" s="7"/>
      <c r="HJ1007" s="7"/>
      <c r="HK1007" s="7"/>
      <c r="HL1007" s="7"/>
      <c r="HM1007" s="7"/>
      <c r="HN1007" s="7"/>
      <c r="HO1007" s="7"/>
      <c r="HP1007" s="7"/>
      <c r="HQ1007" s="7"/>
      <c r="HR1007" s="7"/>
      <c r="HS1007" s="7"/>
      <c r="HT1007" s="7"/>
      <c r="HU1007" s="7"/>
      <c r="HV1007" s="7"/>
      <c r="HW1007" s="7"/>
      <c r="HX1007" s="7"/>
      <c r="HY1007" s="7"/>
      <c r="HZ1007" s="7"/>
      <c r="IA1007" s="7"/>
      <c r="IB1007" s="7"/>
      <c r="IC1007" s="7"/>
      <c r="ID1007" s="7"/>
      <c r="IE1007" s="7"/>
      <c r="IF1007" s="7"/>
      <c r="IG1007" s="7"/>
      <c r="IH1007" s="7"/>
      <c r="II1007" s="7"/>
      <c r="IJ1007" s="7"/>
      <c r="IK1007" s="7"/>
      <c r="IL1007" s="7"/>
      <c r="IM1007" s="7"/>
      <c r="IN1007" s="7"/>
      <c r="IO1007" s="7"/>
      <c r="IP1007" s="7"/>
      <c r="IQ1007" s="7"/>
      <c r="IR1007" s="7"/>
      <c r="IS1007" s="7"/>
      <c r="IT1007" s="7"/>
      <c r="IU1007" s="7"/>
      <c r="IV1007" s="7"/>
      <c r="IW1007" s="7"/>
      <c r="IX1007" s="7"/>
    </row>
    <row r="1008" spans="1:258" ht="21.9" customHeight="1">
      <c r="A1008" s="37" t="s">
        <v>1112</v>
      </c>
      <c r="B1008" s="23" t="s">
        <v>479</v>
      </c>
      <c r="C1008" s="2">
        <f>D1008+L1008+N1008+P1008+R1008+S1008+T1008+U1008</f>
        <v>6004635</v>
      </c>
      <c r="D1008" s="3">
        <f>SUM(E1008:J1008)</f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3">
        <v>1132.95</v>
      </c>
      <c r="N1008" s="3">
        <f>M1008*5300</f>
        <v>6004635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6">
        <f>N1008/M1008</f>
        <v>5300</v>
      </c>
    </row>
    <row r="1009" spans="1:258" ht="21.9" customHeight="1">
      <c r="A1009" s="37" t="s">
        <v>1113</v>
      </c>
      <c r="B1009" s="23" t="s">
        <v>797</v>
      </c>
      <c r="C1009" s="2">
        <f t="shared" si="639"/>
        <v>3138300</v>
      </c>
      <c r="D1009" s="3">
        <f t="shared" si="638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5">
        <v>570.6</v>
      </c>
      <c r="N1009" s="3">
        <f t="shared" ref="N1009" si="644">M1009*5500</f>
        <v>3138300</v>
      </c>
      <c r="O1009" s="3">
        <v>0</v>
      </c>
      <c r="P1009" s="3">
        <v>0</v>
      </c>
      <c r="Q1009" s="3">
        <v>0</v>
      </c>
      <c r="R1009" s="3">
        <f t="shared" si="636"/>
        <v>0</v>
      </c>
      <c r="S1009" s="3">
        <v>0</v>
      </c>
      <c r="T1009" s="5">
        <v>0</v>
      </c>
      <c r="U1009" s="3">
        <v>0</v>
      </c>
      <c r="V1009" s="6">
        <f t="shared" si="637"/>
        <v>5500</v>
      </c>
    </row>
    <row r="1010" spans="1:258" ht="21.9" customHeight="1">
      <c r="A1010" s="37" t="s">
        <v>1114</v>
      </c>
      <c r="B1010" s="23" t="s">
        <v>798</v>
      </c>
      <c r="C1010" s="2">
        <f t="shared" si="639"/>
        <v>3117399.9999999995</v>
      </c>
      <c r="D1010" s="3">
        <f t="shared" si="638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5">
        <v>566.79999999999995</v>
      </c>
      <c r="N1010" s="3">
        <f t="shared" ref="N1010:N1016" si="645">M1010*5500</f>
        <v>3117399.9999999995</v>
      </c>
      <c r="O1010" s="3">
        <v>0</v>
      </c>
      <c r="P1010" s="3">
        <v>0</v>
      </c>
      <c r="Q1010" s="3">
        <v>0</v>
      </c>
      <c r="R1010" s="3">
        <f t="shared" si="636"/>
        <v>0</v>
      </c>
      <c r="S1010" s="3">
        <v>0</v>
      </c>
      <c r="T1010" s="5">
        <v>0</v>
      </c>
      <c r="U1010" s="3">
        <v>0</v>
      </c>
      <c r="V1010" s="6">
        <f t="shared" si="637"/>
        <v>5500</v>
      </c>
    </row>
    <row r="1011" spans="1:258" ht="21.9" customHeight="1">
      <c r="A1011" s="37" t="s">
        <v>1115</v>
      </c>
      <c r="B1011" s="23" t="s">
        <v>799</v>
      </c>
      <c r="C1011" s="2">
        <f t="shared" si="639"/>
        <v>3117399.9999999995</v>
      </c>
      <c r="D1011" s="3">
        <f t="shared" si="638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5">
        <v>566.79999999999995</v>
      </c>
      <c r="N1011" s="3">
        <f t="shared" si="645"/>
        <v>3117399.9999999995</v>
      </c>
      <c r="O1011" s="3">
        <v>0</v>
      </c>
      <c r="P1011" s="3">
        <v>0</v>
      </c>
      <c r="Q1011" s="3">
        <v>0</v>
      </c>
      <c r="R1011" s="3">
        <f t="shared" si="636"/>
        <v>0</v>
      </c>
      <c r="S1011" s="3">
        <v>0</v>
      </c>
      <c r="T1011" s="5">
        <v>0</v>
      </c>
      <c r="U1011" s="3">
        <v>0</v>
      </c>
      <c r="V1011" s="6">
        <f t="shared" si="637"/>
        <v>5500</v>
      </c>
    </row>
    <row r="1012" spans="1:258" s="30" customFormat="1" ht="21.9" customHeight="1">
      <c r="A1012" s="37" t="s">
        <v>1116</v>
      </c>
      <c r="B1012" s="8" t="s">
        <v>720</v>
      </c>
      <c r="C1012" s="2">
        <f t="shared" si="639"/>
        <v>3119050</v>
      </c>
      <c r="D1012" s="3">
        <f t="shared" si="638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3">
        <v>567.1</v>
      </c>
      <c r="N1012" s="3">
        <f t="shared" si="645"/>
        <v>3119050</v>
      </c>
      <c r="O1012" s="3">
        <v>0</v>
      </c>
      <c r="P1012" s="3">
        <v>0</v>
      </c>
      <c r="Q1012" s="3">
        <v>0</v>
      </c>
      <c r="R1012" s="3">
        <f t="shared" si="636"/>
        <v>0</v>
      </c>
      <c r="S1012" s="3">
        <v>0</v>
      </c>
      <c r="T1012" s="5">
        <v>0</v>
      </c>
      <c r="U1012" s="3">
        <v>0</v>
      </c>
      <c r="V1012" s="6">
        <f t="shared" si="637"/>
        <v>5500</v>
      </c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7"/>
      <c r="CR1012" s="7"/>
      <c r="CS1012" s="7"/>
      <c r="CT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7"/>
      <c r="DO1012" s="7"/>
      <c r="DP1012" s="7"/>
      <c r="DQ1012" s="7"/>
      <c r="DR1012" s="7"/>
      <c r="DS1012" s="7"/>
      <c r="DT1012" s="7"/>
      <c r="DU1012" s="7"/>
      <c r="DV1012" s="7"/>
      <c r="DW1012" s="7"/>
      <c r="DX1012" s="7"/>
      <c r="DY1012" s="7"/>
      <c r="DZ1012" s="7"/>
      <c r="EA1012" s="7"/>
      <c r="EB1012" s="7"/>
      <c r="EC1012" s="7"/>
      <c r="ED1012" s="7"/>
      <c r="EE1012" s="7"/>
      <c r="EF1012" s="7"/>
      <c r="EG1012" s="7"/>
      <c r="EH1012" s="7"/>
      <c r="EI1012" s="7"/>
      <c r="EJ1012" s="7"/>
      <c r="EK1012" s="7"/>
      <c r="EL1012" s="7"/>
      <c r="EM1012" s="7"/>
      <c r="EN1012" s="7"/>
      <c r="EO1012" s="7"/>
      <c r="EP1012" s="7"/>
      <c r="EQ1012" s="7"/>
      <c r="ER1012" s="7"/>
      <c r="ES1012" s="7"/>
      <c r="ET1012" s="7"/>
      <c r="EU1012" s="7"/>
      <c r="EV1012" s="7"/>
      <c r="EW1012" s="7"/>
      <c r="EX1012" s="7"/>
      <c r="EY1012" s="7"/>
      <c r="EZ1012" s="7"/>
      <c r="FA1012" s="7"/>
      <c r="FB1012" s="7"/>
      <c r="FC1012" s="7"/>
      <c r="FD1012" s="7"/>
      <c r="FE1012" s="7"/>
      <c r="FF1012" s="7"/>
      <c r="FG1012" s="7"/>
      <c r="FH1012" s="7"/>
      <c r="FI1012" s="7"/>
      <c r="FJ1012" s="7"/>
      <c r="FK1012" s="7"/>
      <c r="FL1012" s="7"/>
      <c r="FM1012" s="7"/>
      <c r="FN1012" s="7"/>
      <c r="FO1012" s="7"/>
      <c r="FP1012" s="7"/>
      <c r="FQ1012" s="7"/>
      <c r="FR1012" s="7"/>
      <c r="FS1012" s="7"/>
      <c r="FT1012" s="7"/>
      <c r="FU1012" s="7"/>
      <c r="FV1012" s="7"/>
      <c r="FW1012" s="7"/>
      <c r="FX1012" s="7"/>
      <c r="FY1012" s="7"/>
      <c r="FZ1012" s="7"/>
      <c r="GA1012" s="7"/>
      <c r="GB1012" s="7"/>
      <c r="GC1012" s="7"/>
      <c r="GD1012" s="7"/>
      <c r="GE1012" s="7"/>
      <c r="GF1012" s="7"/>
      <c r="GG1012" s="7"/>
      <c r="GH1012" s="7"/>
      <c r="GI1012" s="7"/>
      <c r="GJ1012" s="7"/>
      <c r="GK1012" s="7"/>
      <c r="GL1012" s="7"/>
      <c r="GM1012" s="7"/>
      <c r="GN1012" s="7"/>
      <c r="GO1012" s="7"/>
      <c r="GP1012" s="7"/>
      <c r="GQ1012" s="7"/>
      <c r="GR1012" s="7"/>
      <c r="GS1012" s="7"/>
      <c r="GT1012" s="7"/>
      <c r="GU1012" s="7"/>
      <c r="GV1012" s="7"/>
      <c r="GW1012" s="7"/>
      <c r="GX1012" s="7"/>
      <c r="GY1012" s="7"/>
      <c r="GZ1012" s="7"/>
      <c r="HA1012" s="7"/>
      <c r="HB1012" s="7"/>
      <c r="HC1012" s="7"/>
      <c r="HD1012" s="7"/>
      <c r="HE1012" s="7"/>
      <c r="HF1012" s="7"/>
      <c r="HG1012" s="7"/>
      <c r="HH1012" s="7"/>
      <c r="HI1012" s="7"/>
      <c r="HJ1012" s="7"/>
      <c r="HK1012" s="7"/>
      <c r="HL1012" s="7"/>
      <c r="HM1012" s="7"/>
      <c r="HN1012" s="7"/>
      <c r="HO1012" s="7"/>
      <c r="HP1012" s="7"/>
      <c r="HQ1012" s="7"/>
      <c r="HR1012" s="7"/>
      <c r="HS1012" s="7"/>
      <c r="HT1012" s="7"/>
      <c r="HU1012" s="7"/>
      <c r="HV1012" s="7"/>
      <c r="HW1012" s="7"/>
      <c r="HX1012" s="7"/>
      <c r="HY1012" s="7"/>
      <c r="HZ1012" s="7"/>
      <c r="IA1012" s="7"/>
      <c r="IB1012" s="7"/>
      <c r="IC1012" s="7"/>
      <c r="ID1012" s="7"/>
      <c r="IE1012" s="7"/>
      <c r="IF1012" s="7"/>
      <c r="IG1012" s="7"/>
      <c r="IH1012" s="7"/>
      <c r="II1012" s="7"/>
      <c r="IJ1012" s="7"/>
      <c r="IK1012" s="7"/>
      <c r="IL1012" s="7"/>
      <c r="IM1012" s="7"/>
      <c r="IN1012" s="7"/>
      <c r="IO1012" s="7"/>
      <c r="IP1012" s="7"/>
      <c r="IQ1012" s="7"/>
      <c r="IR1012" s="7"/>
      <c r="IS1012" s="7"/>
      <c r="IT1012" s="7"/>
      <c r="IU1012" s="7"/>
      <c r="IV1012" s="7"/>
      <c r="IW1012" s="7"/>
      <c r="IX1012" s="7"/>
    </row>
    <row r="1013" spans="1:258" s="30" customFormat="1" ht="21.9" customHeight="1">
      <c r="A1013" s="37" t="s">
        <v>1117</v>
      </c>
      <c r="B1013" s="8" t="s">
        <v>721</v>
      </c>
      <c r="C1013" s="2">
        <f t="shared" si="639"/>
        <v>2861649.9999999995</v>
      </c>
      <c r="D1013" s="3">
        <f t="shared" si="638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5">
        <v>520.29999999999995</v>
      </c>
      <c r="N1013" s="3">
        <f t="shared" si="645"/>
        <v>2861649.9999999995</v>
      </c>
      <c r="O1013" s="3">
        <v>0</v>
      </c>
      <c r="P1013" s="3">
        <v>0</v>
      </c>
      <c r="Q1013" s="3">
        <v>0</v>
      </c>
      <c r="R1013" s="3">
        <f t="shared" si="636"/>
        <v>0</v>
      </c>
      <c r="S1013" s="3">
        <v>0</v>
      </c>
      <c r="T1013" s="5">
        <v>0</v>
      </c>
      <c r="U1013" s="3">
        <v>0</v>
      </c>
      <c r="V1013" s="6">
        <f t="shared" si="637"/>
        <v>5500</v>
      </c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  <c r="IJ1013" s="7"/>
      <c r="IK1013" s="7"/>
      <c r="IL1013" s="7"/>
      <c r="IM1013" s="7"/>
      <c r="IN1013" s="7"/>
      <c r="IO1013" s="7"/>
      <c r="IP1013" s="7"/>
      <c r="IQ1013" s="7"/>
      <c r="IR1013" s="7"/>
      <c r="IS1013" s="7"/>
      <c r="IT1013" s="7"/>
      <c r="IU1013" s="7"/>
      <c r="IV1013" s="7"/>
      <c r="IW1013" s="7"/>
      <c r="IX1013" s="7"/>
    </row>
    <row r="1014" spans="1:258" s="30" customFormat="1" ht="21.9" customHeight="1">
      <c r="A1014" s="37" t="s">
        <v>1118</v>
      </c>
      <c r="B1014" s="8" t="s">
        <v>722</v>
      </c>
      <c r="C1014" s="2">
        <f t="shared" si="639"/>
        <v>2953750</v>
      </c>
      <c r="D1014" s="3">
        <f t="shared" si="638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3">
        <v>482.5</v>
      </c>
      <c r="N1014" s="3">
        <f t="shared" si="645"/>
        <v>2653750</v>
      </c>
      <c r="O1014" s="3">
        <v>0</v>
      </c>
      <c r="P1014" s="3">
        <v>0</v>
      </c>
      <c r="Q1014" s="3">
        <v>0</v>
      </c>
      <c r="R1014" s="3">
        <f t="shared" si="636"/>
        <v>0</v>
      </c>
      <c r="S1014" s="3">
        <v>0</v>
      </c>
      <c r="T1014" s="5">
        <v>0</v>
      </c>
      <c r="U1014" s="3">
        <v>300000</v>
      </c>
      <c r="V1014" s="6">
        <f t="shared" si="637"/>
        <v>5500</v>
      </c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K1014" s="7"/>
      <c r="CL1014" s="7"/>
      <c r="CM1014" s="7"/>
      <c r="CN1014" s="7"/>
      <c r="CO1014" s="7"/>
      <c r="CP1014" s="7"/>
      <c r="CQ1014" s="7"/>
      <c r="CR1014" s="7"/>
      <c r="CS1014" s="7"/>
      <c r="CT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7"/>
      <c r="DO1014" s="7"/>
      <c r="DP1014" s="7"/>
      <c r="DQ1014" s="7"/>
      <c r="DR1014" s="7"/>
      <c r="DS1014" s="7"/>
      <c r="DT1014" s="7"/>
      <c r="DU1014" s="7"/>
      <c r="DV1014" s="7"/>
      <c r="DW1014" s="7"/>
      <c r="DX1014" s="7"/>
      <c r="DY1014" s="7"/>
      <c r="DZ1014" s="7"/>
      <c r="EA1014" s="7"/>
      <c r="EB1014" s="7"/>
      <c r="EC1014" s="7"/>
      <c r="ED1014" s="7"/>
      <c r="EE1014" s="7"/>
      <c r="EF1014" s="7"/>
      <c r="EG1014" s="7"/>
      <c r="EH1014" s="7"/>
      <c r="EI1014" s="7"/>
      <c r="EJ1014" s="7"/>
      <c r="EK1014" s="7"/>
      <c r="EL1014" s="7"/>
      <c r="EM1014" s="7"/>
      <c r="EN1014" s="7"/>
      <c r="EO1014" s="7"/>
      <c r="EP1014" s="7"/>
      <c r="EQ1014" s="7"/>
      <c r="ER1014" s="7"/>
      <c r="ES1014" s="7"/>
      <c r="ET1014" s="7"/>
      <c r="EU1014" s="7"/>
      <c r="EV1014" s="7"/>
      <c r="EW1014" s="7"/>
      <c r="EX1014" s="7"/>
      <c r="EY1014" s="7"/>
      <c r="EZ1014" s="7"/>
      <c r="FA1014" s="7"/>
      <c r="FB1014" s="7"/>
      <c r="FC1014" s="7"/>
      <c r="FD1014" s="7"/>
      <c r="FE1014" s="7"/>
      <c r="FF1014" s="7"/>
      <c r="FG1014" s="7"/>
      <c r="FH1014" s="7"/>
      <c r="FI1014" s="7"/>
      <c r="FJ1014" s="7"/>
      <c r="FK1014" s="7"/>
      <c r="FL1014" s="7"/>
      <c r="FM1014" s="7"/>
      <c r="FN1014" s="7"/>
      <c r="FO1014" s="7"/>
      <c r="FP1014" s="7"/>
      <c r="FQ1014" s="7"/>
      <c r="FR1014" s="7"/>
      <c r="FS1014" s="7"/>
      <c r="FT1014" s="7"/>
      <c r="FU1014" s="7"/>
      <c r="FV1014" s="7"/>
      <c r="FW1014" s="7"/>
      <c r="FX1014" s="7"/>
      <c r="FY1014" s="7"/>
      <c r="FZ1014" s="7"/>
      <c r="GA1014" s="7"/>
      <c r="GB1014" s="7"/>
      <c r="GC1014" s="7"/>
      <c r="GD1014" s="7"/>
      <c r="GE1014" s="7"/>
      <c r="GF1014" s="7"/>
      <c r="GG1014" s="7"/>
      <c r="GH1014" s="7"/>
      <c r="GI1014" s="7"/>
      <c r="GJ1014" s="7"/>
      <c r="GK1014" s="7"/>
      <c r="GL1014" s="7"/>
      <c r="GM1014" s="7"/>
      <c r="GN1014" s="7"/>
      <c r="GO1014" s="7"/>
      <c r="GP1014" s="7"/>
      <c r="GQ1014" s="7"/>
      <c r="GR1014" s="7"/>
      <c r="GS1014" s="7"/>
      <c r="GT1014" s="7"/>
      <c r="GU1014" s="7"/>
      <c r="GV1014" s="7"/>
      <c r="GW1014" s="7"/>
      <c r="GX1014" s="7"/>
      <c r="GY1014" s="7"/>
      <c r="GZ1014" s="7"/>
      <c r="HA1014" s="7"/>
      <c r="HB1014" s="7"/>
      <c r="HC1014" s="7"/>
      <c r="HD1014" s="7"/>
      <c r="HE1014" s="7"/>
      <c r="HF1014" s="7"/>
      <c r="HG1014" s="7"/>
      <c r="HH1014" s="7"/>
      <c r="HI1014" s="7"/>
      <c r="HJ1014" s="7"/>
      <c r="HK1014" s="7"/>
      <c r="HL1014" s="7"/>
      <c r="HM1014" s="7"/>
      <c r="HN1014" s="7"/>
      <c r="HO1014" s="7"/>
      <c r="HP1014" s="7"/>
      <c r="HQ1014" s="7"/>
      <c r="HR1014" s="7"/>
      <c r="HS1014" s="7"/>
      <c r="HT1014" s="7"/>
      <c r="HU1014" s="7"/>
      <c r="HV1014" s="7"/>
      <c r="HW1014" s="7"/>
      <c r="HX1014" s="7"/>
      <c r="HY1014" s="7"/>
      <c r="HZ1014" s="7"/>
      <c r="IA1014" s="7"/>
      <c r="IB1014" s="7"/>
      <c r="IC1014" s="7"/>
      <c r="ID1014" s="7"/>
      <c r="IE1014" s="7"/>
      <c r="IF1014" s="7"/>
      <c r="IG1014" s="7"/>
      <c r="IH1014" s="7"/>
      <c r="II1014" s="7"/>
      <c r="IJ1014" s="7"/>
      <c r="IK1014" s="7"/>
      <c r="IL1014" s="7"/>
      <c r="IM1014" s="7"/>
      <c r="IN1014" s="7"/>
      <c r="IO1014" s="7"/>
      <c r="IP1014" s="7"/>
      <c r="IQ1014" s="7"/>
      <c r="IR1014" s="7"/>
      <c r="IS1014" s="7"/>
      <c r="IT1014" s="7"/>
      <c r="IU1014" s="7"/>
      <c r="IV1014" s="7"/>
      <c r="IW1014" s="7"/>
      <c r="IX1014" s="7"/>
    </row>
    <row r="1015" spans="1:258" ht="21.9" customHeight="1">
      <c r="A1015" s="37" t="s">
        <v>1119</v>
      </c>
      <c r="B1015" s="8" t="s">
        <v>723</v>
      </c>
      <c r="C1015" s="2">
        <f t="shared" si="639"/>
        <v>1430000</v>
      </c>
      <c r="D1015" s="3">
        <f t="shared" si="638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3">
        <v>260</v>
      </c>
      <c r="N1015" s="3">
        <f t="shared" si="645"/>
        <v>1430000</v>
      </c>
      <c r="O1015" s="3">
        <v>0</v>
      </c>
      <c r="P1015" s="3">
        <v>0</v>
      </c>
      <c r="Q1015" s="3">
        <v>0</v>
      </c>
      <c r="R1015" s="3">
        <f t="shared" si="636"/>
        <v>0</v>
      </c>
      <c r="S1015" s="3">
        <v>0</v>
      </c>
      <c r="T1015" s="5">
        <v>0</v>
      </c>
      <c r="U1015" s="3">
        <v>0</v>
      </c>
      <c r="V1015" s="6">
        <f t="shared" si="637"/>
        <v>5500</v>
      </c>
    </row>
    <row r="1016" spans="1:258" ht="21.9" customHeight="1">
      <c r="A1016" s="37" t="s">
        <v>1120</v>
      </c>
      <c r="B1016" s="8" t="s">
        <v>724</v>
      </c>
      <c r="C1016" s="2">
        <f t="shared" si="639"/>
        <v>1397000</v>
      </c>
      <c r="D1016" s="3">
        <f t="shared" si="638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4">
        <v>0</v>
      </c>
      <c r="L1016" s="3">
        <v>0</v>
      </c>
      <c r="M1016" s="3">
        <v>254</v>
      </c>
      <c r="N1016" s="3">
        <f t="shared" si="645"/>
        <v>1397000</v>
      </c>
      <c r="O1016" s="3">
        <v>0</v>
      </c>
      <c r="P1016" s="3">
        <v>0</v>
      </c>
      <c r="Q1016" s="3">
        <v>0</v>
      </c>
      <c r="R1016" s="3">
        <f t="shared" si="636"/>
        <v>0</v>
      </c>
      <c r="S1016" s="3">
        <v>0</v>
      </c>
      <c r="T1016" s="5">
        <v>0</v>
      </c>
      <c r="U1016" s="3">
        <v>0</v>
      </c>
      <c r="V1016" s="6">
        <f t="shared" si="637"/>
        <v>5500</v>
      </c>
    </row>
    <row r="1017" spans="1:258" ht="21.9" customHeight="1">
      <c r="A1017" s="37" t="s">
        <v>1121</v>
      </c>
      <c r="B1017" s="8" t="s">
        <v>975</v>
      </c>
      <c r="C1017" s="2">
        <f t="shared" si="639"/>
        <v>3340621.8</v>
      </c>
      <c r="D1017" s="3">
        <f t="shared" si="638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4">
        <v>0</v>
      </c>
      <c r="L1017" s="3">
        <v>0</v>
      </c>
      <c r="M1017" s="5">
        <v>906.3</v>
      </c>
      <c r="N1017" s="3">
        <f>M1017*3686</f>
        <v>3340621.8</v>
      </c>
      <c r="O1017" s="3">
        <v>0</v>
      </c>
      <c r="P1017" s="3">
        <v>0</v>
      </c>
      <c r="Q1017" s="3">
        <v>0</v>
      </c>
      <c r="R1017" s="3">
        <f t="shared" si="636"/>
        <v>0</v>
      </c>
      <c r="S1017" s="3">
        <v>0</v>
      </c>
      <c r="T1017" s="5">
        <v>0</v>
      </c>
      <c r="U1017" s="3">
        <v>0</v>
      </c>
      <c r="V1017" s="6">
        <f t="shared" si="637"/>
        <v>3686</v>
      </c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  <c r="BG1017" s="17"/>
      <c r="BH1017" s="17"/>
      <c r="BI1017" s="17"/>
      <c r="BJ1017" s="17"/>
      <c r="BK1017" s="17"/>
      <c r="BL1017" s="17"/>
      <c r="BM1017" s="17"/>
      <c r="BN1017" s="17"/>
      <c r="BO1017" s="17"/>
      <c r="BP1017" s="17"/>
      <c r="BQ1017" s="17"/>
      <c r="BR1017" s="17"/>
      <c r="BS1017" s="17"/>
      <c r="BT1017" s="17"/>
      <c r="BU1017" s="17"/>
      <c r="BV1017" s="17"/>
      <c r="BW1017" s="17"/>
      <c r="BX1017" s="17"/>
      <c r="BY1017" s="17"/>
      <c r="BZ1017" s="17"/>
      <c r="CA1017" s="17"/>
      <c r="CB1017" s="17"/>
      <c r="CC1017" s="17"/>
      <c r="CD1017" s="17"/>
      <c r="CE1017" s="17"/>
      <c r="CF1017" s="17"/>
      <c r="CG1017" s="17"/>
      <c r="CH1017" s="17"/>
      <c r="CI1017" s="17"/>
      <c r="CJ1017" s="17"/>
      <c r="CK1017" s="17"/>
      <c r="CL1017" s="17"/>
      <c r="CM1017" s="17"/>
      <c r="CN1017" s="17"/>
      <c r="CO1017" s="17"/>
      <c r="CP1017" s="17"/>
      <c r="CQ1017" s="17"/>
      <c r="CR1017" s="17"/>
      <c r="CS1017" s="17"/>
      <c r="CT1017" s="17"/>
      <c r="CU1017" s="17"/>
      <c r="CV1017" s="17"/>
      <c r="CW1017" s="17"/>
      <c r="CX1017" s="17"/>
      <c r="CY1017" s="17"/>
      <c r="CZ1017" s="17"/>
      <c r="DA1017" s="17"/>
      <c r="DB1017" s="17"/>
      <c r="DC1017" s="17"/>
      <c r="DD1017" s="17"/>
      <c r="DE1017" s="17"/>
      <c r="DF1017" s="17"/>
      <c r="DG1017" s="17"/>
      <c r="DH1017" s="17"/>
      <c r="DI1017" s="17"/>
      <c r="DJ1017" s="17"/>
      <c r="DK1017" s="17"/>
      <c r="DL1017" s="17"/>
      <c r="DM1017" s="17"/>
      <c r="DN1017" s="17"/>
      <c r="DO1017" s="17"/>
      <c r="DP1017" s="17"/>
      <c r="DQ1017" s="17"/>
      <c r="DR1017" s="17"/>
      <c r="DS1017" s="17"/>
      <c r="DT1017" s="17"/>
      <c r="DU1017" s="17"/>
      <c r="DV1017" s="17"/>
      <c r="DW1017" s="17"/>
      <c r="DX1017" s="17"/>
      <c r="DY1017" s="17"/>
      <c r="DZ1017" s="17"/>
      <c r="EA1017" s="17"/>
      <c r="EB1017" s="17"/>
      <c r="EC1017" s="17"/>
      <c r="ED1017" s="17"/>
      <c r="EE1017" s="17"/>
      <c r="EF1017" s="17"/>
      <c r="EG1017" s="17"/>
      <c r="EH1017" s="17"/>
      <c r="EI1017" s="17"/>
      <c r="EJ1017" s="17"/>
      <c r="EK1017" s="17"/>
      <c r="EL1017" s="17"/>
      <c r="EM1017" s="17"/>
      <c r="EN1017" s="17"/>
      <c r="EO1017" s="17"/>
      <c r="EP1017" s="17"/>
      <c r="EQ1017" s="17"/>
      <c r="ER1017" s="17"/>
      <c r="ES1017" s="17"/>
      <c r="ET1017" s="17"/>
      <c r="EU1017" s="17"/>
      <c r="EV1017" s="17"/>
      <c r="EW1017" s="17"/>
      <c r="EX1017" s="17"/>
      <c r="EY1017" s="17"/>
      <c r="EZ1017" s="17"/>
      <c r="FA1017" s="17"/>
      <c r="FB1017" s="17"/>
      <c r="FC1017" s="17"/>
      <c r="FD1017" s="17"/>
      <c r="FE1017" s="17"/>
      <c r="FF1017" s="17"/>
      <c r="FG1017" s="17"/>
      <c r="FH1017" s="17"/>
      <c r="FI1017" s="17"/>
      <c r="FJ1017" s="17"/>
      <c r="FK1017" s="17"/>
      <c r="FL1017" s="17"/>
      <c r="FM1017" s="17"/>
      <c r="FN1017" s="17"/>
      <c r="FO1017" s="17"/>
      <c r="FP1017" s="17"/>
      <c r="FQ1017" s="17"/>
      <c r="FR1017" s="17"/>
      <c r="FS1017" s="17"/>
      <c r="FT1017" s="17"/>
      <c r="FU1017" s="17"/>
      <c r="FV1017" s="17"/>
      <c r="FW1017" s="17"/>
      <c r="FX1017" s="17"/>
      <c r="FY1017" s="17"/>
      <c r="FZ1017" s="17"/>
      <c r="GA1017" s="17"/>
      <c r="GB1017" s="17"/>
      <c r="GC1017" s="17"/>
      <c r="GD1017" s="17"/>
      <c r="GE1017" s="17"/>
      <c r="GF1017" s="17"/>
      <c r="GG1017" s="17"/>
      <c r="GH1017" s="17"/>
      <c r="GI1017" s="17"/>
      <c r="GJ1017" s="17"/>
      <c r="GK1017" s="17"/>
      <c r="GL1017" s="17"/>
      <c r="GM1017" s="17"/>
      <c r="GN1017" s="17"/>
      <c r="GO1017" s="17"/>
      <c r="GP1017" s="17"/>
      <c r="GQ1017" s="17"/>
      <c r="GR1017" s="17"/>
      <c r="GS1017" s="17"/>
      <c r="GT1017" s="17"/>
      <c r="GU1017" s="17"/>
      <c r="GV1017" s="17"/>
      <c r="GW1017" s="17"/>
      <c r="GX1017" s="17"/>
      <c r="GY1017" s="17"/>
      <c r="GZ1017" s="17"/>
      <c r="HA1017" s="17"/>
      <c r="HB1017" s="17"/>
      <c r="HC1017" s="17"/>
      <c r="HD1017" s="17"/>
      <c r="HE1017" s="17"/>
      <c r="HF1017" s="17"/>
      <c r="HG1017" s="17"/>
      <c r="HH1017" s="17"/>
      <c r="HI1017" s="17"/>
      <c r="HJ1017" s="17"/>
      <c r="HK1017" s="17"/>
      <c r="HL1017" s="17"/>
      <c r="HM1017" s="17"/>
      <c r="HN1017" s="17"/>
      <c r="HO1017" s="17"/>
      <c r="HP1017" s="17"/>
      <c r="HQ1017" s="17"/>
      <c r="HR1017" s="17"/>
      <c r="HS1017" s="17"/>
      <c r="HT1017" s="17"/>
      <c r="HU1017" s="17"/>
      <c r="HV1017" s="17"/>
      <c r="HW1017" s="17"/>
      <c r="HX1017" s="17"/>
      <c r="HY1017" s="17"/>
      <c r="HZ1017" s="17"/>
      <c r="IA1017" s="17"/>
      <c r="IB1017" s="17"/>
      <c r="IC1017" s="17"/>
      <c r="ID1017" s="17"/>
      <c r="IE1017" s="17"/>
      <c r="IF1017" s="17"/>
      <c r="IG1017" s="17"/>
      <c r="IH1017" s="17"/>
      <c r="II1017" s="17"/>
      <c r="IJ1017" s="17"/>
      <c r="IK1017" s="17"/>
      <c r="IL1017" s="17"/>
      <c r="IM1017" s="17"/>
      <c r="IN1017" s="17"/>
      <c r="IO1017" s="17"/>
      <c r="IP1017" s="17"/>
      <c r="IQ1017" s="17"/>
      <c r="IR1017" s="17"/>
      <c r="IS1017" s="17"/>
      <c r="IT1017" s="17"/>
      <c r="IU1017" s="17"/>
      <c r="IV1017" s="17"/>
      <c r="IW1017" s="17"/>
      <c r="IX1017" s="17"/>
    </row>
    <row r="1018" spans="1:258" ht="21.9" customHeight="1">
      <c r="A1018" s="37" t="s">
        <v>1122</v>
      </c>
      <c r="B1018" s="8" t="s">
        <v>725</v>
      </c>
      <c r="C1018" s="2">
        <f t="shared" si="639"/>
        <v>2171950</v>
      </c>
      <c r="D1018" s="3">
        <f t="shared" si="638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3">
        <v>394.9</v>
      </c>
      <c r="N1018" s="3">
        <f t="shared" ref="N1018:N1028" si="646">M1018*5500</f>
        <v>2171950</v>
      </c>
      <c r="O1018" s="3">
        <v>0</v>
      </c>
      <c r="P1018" s="3">
        <v>0</v>
      </c>
      <c r="Q1018" s="3">
        <v>0</v>
      </c>
      <c r="R1018" s="3">
        <f t="shared" si="636"/>
        <v>0</v>
      </c>
      <c r="S1018" s="3">
        <v>0</v>
      </c>
      <c r="T1018" s="5">
        <v>0</v>
      </c>
      <c r="U1018" s="3">
        <v>0</v>
      </c>
      <c r="V1018" s="6">
        <f t="shared" si="637"/>
        <v>5500</v>
      </c>
    </row>
    <row r="1019" spans="1:258" ht="21.9" customHeight="1">
      <c r="A1019" s="37" t="s">
        <v>1123</v>
      </c>
      <c r="B1019" s="8" t="s">
        <v>800</v>
      </c>
      <c r="C1019" s="2">
        <f t="shared" si="639"/>
        <v>1092300</v>
      </c>
      <c r="D1019" s="3">
        <f t="shared" si="638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5">
        <v>198.6</v>
      </c>
      <c r="N1019" s="3">
        <f t="shared" si="646"/>
        <v>1092300</v>
      </c>
      <c r="O1019" s="3">
        <v>0</v>
      </c>
      <c r="P1019" s="3">
        <v>0</v>
      </c>
      <c r="Q1019" s="3">
        <v>0</v>
      </c>
      <c r="R1019" s="3">
        <f t="shared" si="636"/>
        <v>0</v>
      </c>
      <c r="S1019" s="3">
        <v>0</v>
      </c>
      <c r="T1019" s="5">
        <v>0</v>
      </c>
      <c r="U1019" s="3">
        <v>0</v>
      </c>
      <c r="V1019" s="6">
        <f t="shared" si="637"/>
        <v>5500</v>
      </c>
    </row>
    <row r="1020" spans="1:258" ht="21.9" customHeight="1">
      <c r="A1020" s="37" t="s">
        <v>1124</v>
      </c>
      <c r="B1020" s="8" t="s">
        <v>617</v>
      </c>
      <c r="C1020" s="2">
        <f t="shared" si="639"/>
        <v>1628000</v>
      </c>
      <c r="D1020" s="3">
        <f t="shared" si="638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11">
        <v>0</v>
      </c>
      <c r="L1020" s="5">
        <v>0</v>
      </c>
      <c r="M1020" s="5">
        <v>296</v>
      </c>
      <c r="N1020" s="3">
        <f t="shared" si="646"/>
        <v>1628000</v>
      </c>
      <c r="O1020" s="5">
        <v>0</v>
      </c>
      <c r="P1020" s="5">
        <v>0</v>
      </c>
      <c r="Q1020" s="5">
        <v>0</v>
      </c>
      <c r="R1020" s="3">
        <f>Q1020*3000</f>
        <v>0</v>
      </c>
      <c r="S1020" s="5">
        <v>0</v>
      </c>
      <c r="T1020" s="5">
        <v>0</v>
      </c>
      <c r="U1020" s="5">
        <v>0</v>
      </c>
      <c r="V1020" s="6">
        <f t="shared" si="637"/>
        <v>5500</v>
      </c>
    </row>
    <row r="1021" spans="1:258" ht="21.9" customHeight="1">
      <c r="A1021" s="37" t="s">
        <v>1125</v>
      </c>
      <c r="B1021" s="8" t="s">
        <v>618</v>
      </c>
      <c r="C1021" s="2">
        <f t="shared" si="639"/>
        <v>1622500</v>
      </c>
      <c r="D1021" s="3">
        <f t="shared" si="638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11">
        <v>0</v>
      </c>
      <c r="L1021" s="5">
        <v>0</v>
      </c>
      <c r="M1021" s="5">
        <v>295</v>
      </c>
      <c r="N1021" s="3">
        <f t="shared" si="646"/>
        <v>1622500</v>
      </c>
      <c r="O1021" s="5">
        <v>0</v>
      </c>
      <c r="P1021" s="5">
        <v>0</v>
      </c>
      <c r="Q1021" s="5">
        <v>0</v>
      </c>
      <c r="R1021" s="3">
        <f>Q1021*3000</f>
        <v>0</v>
      </c>
      <c r="S1021" s="5">
        <v>0</v>
      </c>
      <c r="T1021" s="5">
        <v>0</v>
      </c>
      <c r="U1021" s="5">
        <v>0</v>
      </c>
      <c r="V1021" s="6">
        <f t="shared" si="637"/>
        <v>5500</v>
      </c>
    </row>
    <row r="1022" spans="1:258" ht="21.9" customHeight="1">
      <c r="A1022" s="37" t="s">
        <v>1126</v>
      </c>
      <c r="B1022" s="8" t="s">
        <v>726</v>
      </c>
      <c r="C1022" s="2">
        <f t="shared" si="639"/>
        <v>1589500</v>
      </c>
      <c r="D1022" s="3">
        <f t="shared" si="638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3">
        <v>289</v>
      </c>
      <c r="N1022" s="3">
        <f t="shared" si="646"/>
        <v>1589500</v>
      </c>
      <c r="O1022" s="3">
        <v>0</v>
      </c>
      <c r="P1022" s="3">
        <v>0</v>
      </c>
      <c r="Q1022" s="3">
        <v>0</v>
      </c>
      <c r="R1022" s="3">
        <f t="shared" si="636"/>
        <v>0</v>
      </c>
      <c r="S1022" s="3">
        <v>0</v>
      </c>
      <c r="T1022" s="5">
        <v>0</v>
      </c>
      <c r="U1022" s="3">
        <v>0</v>
      </c>
      <c r="V1022" s="6">
        <f t="shared" si="637"/>
        <v>5500</v>
      </c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  <c r="AX1022" s="17"/>
      <c r="AY1022" s="17"/>
      <c r="AZ1022" s="17"/>
      <c r="BA1022" s="17"/>
      <c r="BB1022" s="17"/>
      <c r="BC1022" s="17"/>
      <c r="BD1022" s="17"/>
      <c r="BE1022" s="17"/>
      <c r="BF1022" s="17"/>
      <c r="BG1022" s="17"/>
      <c r="BH1022" s="17"/>
      <c r="BI1022" s="17"/>
      <c r="BJ1022" s="17"/>
      <c r="BK1022" s="17"/>
      <c r="BL1022" s="17"/>
      <c r="BM1022" s="17"/>
      <c r="BN1022" s="17"/>
      <c r="BO1022" s="17"/>
      <c r="BP1022" s="17"/>
      <c r="BQ1022" s="17"/>
      <c r="BR1022" s="17"/>
      <c r="BS1022" s="17"/>
      <c r="BT1022" s="17"/>
      <c r="BU1022" s="17"/>
      <c r="BV1022" s="17"/>
      <c r="BW1022" s="17"/>
      <c r="BX1022" s="17"/>
      <c r="BY1022" s="17"/>
      <c r="BZ1022" s="17"/>
      <c r="CA1022" s="17"/>
      <c r="CB1022" s="17"/>
      <c r="CC1022" s="17"/>
      <c r="CD1022" s="17"/>
      <c r="CE1022" s="17"/>
      <c r="CF1022" s="17"/>
      <c r="CG1022" s="17"/>
      <c r="CH1022" s="17"/>
      <c r="CI1022" s="17"/>
      <c r="CJ1022" s="17"/>
      <c r="CK1022" s="17"/>
      <c r="CL1022" s="17"/>
      <c r="CM1022" s="17"/>
      <c r="CN1022" s="17"/>
      <c r="CO1022" s="17"/>
      <c r="CP1022" s="17"/>
      <c r="CQ1022" s="17"/>
      <c r="CR1022" s="17"/>
      <c r="CS1022" s="17"/>
      <c r="CT1022" s="17"/>
      <c r="CU1022" s="17"/>
      <c r="CV1022" s="17"/>
      <c r="CW1022" s="17"/>
      <c r="CX1022" s="17"/>
      <c r="CY1022" s="17"/>
      <c r="CZ1022" s="17"/>
      <c r="DA1022" s="17"/>
      <c r="DB1022" s="17"/>
      <c r="DC1022" s="17"/>
      <c r="DD1022" s="17"/>
      <c r="DE1022" s="17"/>
      <c r="DF1022" s="17"/>
      <c r="DG1022" s="17"/>
      <c r="DH1022" s="17"/>
      <c r="DI1022" s="17"/>
      <c r="DJ1022" s="17"/>
      <c r="DK1022" s="17"/>
      <c r="DL1022" s="17"/>
      <c r="DM1022" s="17"/>
      <c r="DN1022" s="17"/>
      <c r="DO1022" s="17"/>
      <c r="DP1022" s="17"/>
      <c r="DQ1022" s="17"/>
      <c r="DR1022" s="17"/>
      <c r="DS1022" s="17"/>
      <c r="DT1022" s="17"/>
      <c r="DU1022" s="17"/>
      <c r="DV1022" s="17"/>
      <c r="DW1022" s="17"/>
      <c r="DX1022" s="17"/>
      <c r="DY1022" s="17"/>
      <c r="DZ1022" s="17"/>
      <c r="EA1022" s="17"/>
      <c r="EB1022" s="17"/>
      <c r="EC1022" s="17"/>
      <c r="ED1022" s="17"/>
      <c r="EE1022" s="17"/>
      <c r="EF1022" s="17"/>
      <c r="EG1022" s="17"/>
      <c r="EH1022" s="17"/>
      <c r="EI1022" s="17"/>
      <c r="EJ1022" s="17"/>
      <c r="EK1022" s="17"/>
      <c r="EL1022" s="17"/>
      <c r="EM1022" s="17"/>
      <c r="EN1022" s="17"/>
      <c r="EO1022" s="17"/>
      <c r="EP1022" s="17"/>
      <c r="EQ1022" s="17"/>
      <c r="ER1022" s="17"/>
      <c r="ES1022" s="17"/>
      <c r="ET1022" s="17"/>
      <c r="EU1022" s="17"/>
      <c r="EV1022" s="17"/>
      <c r="EW1022" s="17"/>
      <c r="EX1022" s="17"/>
      <c r="EY1022" s="17"/>
      <c r="EZ1022" s="17"/>
      <c r="FA1022" s="17"/>
      <c r="FB1022" s="17"/>
      <c r="FC1022" s="17"/>
      <c r="FD1022" s="17"/>
      <c r="FE1022" s="17"/>
      <c r="FF1022" s="17"/>
      <c r="FG1022" s="17"/>
      <c r="FH1022" s="17"/>
      <c r="FI1022" s="17"/>
      <c r="FJ1022" s="17"/>
      <c r="FK1022" s="17"/>
      <c r="FL1022" s="17"/>
      <c r="FM1022" s="17"/>
      <c r="FN1022" s="17"/>
      <c r="FO1022" s="17"/>
      <c r="FP1022" s="17"/>
      <c r="FQ1022" s="17"/>
      <c r="FR1022" s="17"/>
      <c r="FS1022" s="17"/>
      <c r="FT1022" s="17"/>
      <c r="FU1022" s="17"/>
      <c r="FV1022" s="17"/>
      <c r="FW1022" s="17"/>
      <c r="FX1022" s="17"/>
      <c r="FY1022" s="17"/>
      <c r="FZ1022" s="17"/>
      <c r="GA1022" s="17"/>
      <c r="GB1022" s="17"/>
      <c r="GC1022" s="17"/>
      <c r="GD1022" s="17"/>
      <c r="GE1022" s="17"/>
      <c r="GF1022" s="17"/>
      <c r="GG1022" s="17"/>
      <c r="GH1022" s="17"/>
      <c r="GI1022" s="17"/>
    </row>
    <row r="1023" spans="1:258" ht="21.9" customHeight="1">
      <c r="A1023" s="37" t="s">
        <v>1127</v>
      </c>
      <c r="B1023" s="23" t="s">
        <v>801</v>
      </c>
      <c r="C1023" s="2">
        <f t="shared" si="639"/>
        <v>3155350.0000000005</v>
      </c>
      <c r="D1023" s="3">
        <f t="shared" si="638"/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4">
        <v>0</v>
      </c>
      <c r="L1023" s="3">
        <v>0</v>
      </c>
      <c r="M1023" s="5">
        <v>573.70000000000005</v>
      </c>
      <c r="N1023" s="3">
        <f t="shared" si="646"/>
        <v>3155350.0000000005</v>
      </c>
      <c r="O1023" s="3">
        <v>0</v>
      </c>
      <c r="P1023" s="3">
        <v>0</v>
      </c>
      <c r="Q1023" s="3">
        <v>0</v>
      </c>
      <c r="R1023" s="3">
        <f t="shared" si="636"/>
        <v>0</v>
      </c>
      <c r="S1023" s="3">
        <v>0</v>
      </c>
      <c r="T1023" s="5">
        <v>0</v>
      </c>
      <c r="U1023" s="3">
        <v>0</v>
      </c>
      <c r="V1023" s="6">
        <f t="shared" si="637"/>
        <v>5500</v>
      </c>
    </row>
    <row r="1024" spans="1:258" ht="21.9" customHeight="1">
      <c r="A1024" s="37" t="s">
        <v>1128</v>
      </c>
      <c r="B1024" s="8" t="s">
        <v>376</v>
      </c>
      <c r="C1024" s="2">
        <f t="shared" si="639"/>
        <v>6596100</v>
      </c>
      <c r="D1024" s="3">
        <f t="shared" ref="D1024" si="647">SUM(E1024:J1024)</f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4">
        <v>0</v>
      </c>
      <c r="L1024" s="3">
        <v>0</v>
      </c>
      <c r="M1024" s="3">
        <v>1090.2</v>
      </c>
      <c r="N1024" s="3">
        <f t="shared" si="646"/>
        <v>5996100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600000</v>
      </c>
      <c r="V1024" s="6">
        <f t="shared" si="637"/>
        <v>5500</v>
      </c>
    </row>
    <row r="1025" spans="1:258" ht="21.9" customHeight="1">
      <c r="A1025" s="37" t="s">
        <v>1129</v>
      </c>
      <c r="B1025" s="8" t="s">
        <v>728</v>
      </c>
      <c r="C1025" s="2">
        <f>D1025+L1025+N1025+P1025+R1025+S1025+T1025+U1025</f>
        <v>2898500</v>
      </c>
      <c r="D1025" s="3">
        <f>SUM(E1025:J1025)</f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5">
        <v>527</v>
      </c>
      <c r="N1025" s="3">
        <f>M1025*5500</f>
        <v>2898500</v>
      </c>
      <c r="O1025" s="3">
        <v>0</v>
      </c>
      <c r="P1025" s="3">
        <v>0</v>
      </c>
      <c r="Q1025" s="3">
        <v>0</v>
      </c>
      <c r="R1025" s="3">
        <f>Q1025*3000</f>
        <v>0</v>
      </c>
      <c r="S1025" s="3">
        <v>0</v>
      </c>
      <c r="T1025" s="5">
        <v>0</v>
      </c>
      <c r="U1025" s="3">
        <v>0</v>
      </c>
      <c r="V1025" s="6">
        <f>N1025/M1025</f>
        <v>5500</v>
      </c>
    </row>
    <row r="1026" spans="1:258" ht="21.9" customHeight="1">
      <c r="A1026" s="37" t="s">
        <v>1130</v>
      </c>
      <c r="B1026" s="8" t="s">
        <v>727</v>
      </c>
      <c r="C1026" s="2">
        <f t="shared" si="639"/>
        <v>7791516.5</v>
      </c>
      <c r="D1026" s="3">
        <f t="shared" si="638"/>
        <v>3525916.5</v>
      </c>
      <c r="E1026" s="3">
        <f>350*1500.39</f>
        <v>525136.5</v>
      </c>
      <c r="F1026" s="3">
        <f>1050*1500.39</f>
        <v>1575409.5</v>
      </c>
      <c r="G1026" s="3">
        <f>300*1500.39</f>
        <v>450117.00000000006</v>
      </c>
      <c r="H1026" s="3">
        <f>400*1500.39</f>
        <v>600156</v>
      </c>
      <c r="I1026" s="3">
        <f>250*1500.39</f>
        <v>375097.5</v>
      </c>
      <c r="J1026" s="3">
        <v>0</v>
      </c>
      <c r="K1026" s="4">
        <v>0</v>
      </c>
      <c r="L1026" s="3">
        <v>0</v>
      </c>
      <c r="M1026" s="3">
        <v>576</v>
      </c>
      <c r="N1026" s="3">
        <f t="shared" si="646"/>
        <v>3168000</v>
      </c>
      <c r="O1026" s="3">
        <v>438</v>
      </c>
      <c r="P1026" s="3">
        <v>525600</v>
      </c>
      <c r="Q1026" s="3">
        <v>0</v>
      </c>
      <c r="R1026" s="3">
        <f t="shared" si="636"/>
        <v>0</v>
      </c>
      <c r="S1026" s="3">
        <v>472000</v>
      </c>
      <c r="T1026" s="5">
        <v>0</v>
      </c>
      <c r="U1026" s="3">
        <v>100000</v>
      </c>
      <c r="V1026" s="6">
        <f t="shared" si="637"/>
        <v>5500</v>
      </c>
    </row>
    <row r="1027" spans="1:258" ht="21.9" customHeight="1">
      <c r="A1027" s="37" t="s">
        <v>1131</v>
      </c>
      <c r="B1027" s="8" t="s">
        <v>802</v>
      </c>
      <c r="C1027" s="2">
        <f t="shared" si="639"/>
        <v>5931200.0000000009</v>
      </c>
      <c r="D1027" s="3">
        <f t="shared" si="638"/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11">
        <v>0</v>
      </c>
      <c r="L1027" s="5">
        <v>0</v>
      </c>
      <c r="M1027" s="5">
        <v>1078.4000000000001</v>
      </c>
      <c r="N1027" s="3">
        <f t="shared" si="646"/>
        <v>5931200.0000000009</v>
      </c>
      <c r="O1027" s="3">
        <v>0</v>
      </c>
      <c r="P1027" s="3">
        <v>0</v>
      </c>
      <c r="Q1027" s="3">
        <v>0</v>
      </c>
      <c r="R1027" s="3">
        <f t="shared" si="636"/>
        <v>0</v>
      </c>
      <c r="S1027" s="3">
        <v>0</v>
      </c>
      <c r="T1027" s="5">
        <v>0</v>
      </c>
      <c r="U1027" s="3">
        <v>0</v>
      </c>
      <c r="V1027" s="6">
        <f t="shared" si="637"/>
        <v>5500</v>
      </c>
    </row>
    <row r="1028" spans="1:258" s="17" customFormat="1" ht="21.9" customHeight="1">
      <c r="A1028" s="37" t="s">
        <v>1132</v>
      </c>
      <c r="B1028" s="8" t="s">
        <v>803</v>
      </c>
      <c r="C1028" s="2">
        <f t="shared" si="639"/>
        <v>5973000</v>
      </c>
      <c r="D1028" s="3">
        <f t="shared" si="638"/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4">
        <v>0</v>
      </c>
      <c r="L1028" s="3">
        <v>0</v>
      </c>
      <c r="M1028" s="5">
        <v>1086</v>
      </c>
      <c r="N1028" s="3">
        <f t="shared" si="646"/>
        <v>5973000</v>
      </c>
      <c r="O1028" s="3">
        <v>0</v>
      </c>
      <c r="P1028" s="3">
        <v>0</v>
      </c>
      <c r="Q1028" s="3">
        <v>0</v>
      </c>
      <c r="R1028" s="3">
        <f t="shared" si="636"/>
        <v>0</v>
      </c>
      <c r="S1028" s="3">
        <v>0</v>
      </c>
      <c r="T1028" s="5">
        <v>0</v>
      </c>
      <c r="U1028" s="3">
        <v>0</v>
      </c>
      <c r="V1028" s="6">
        <f t="shared" si="637"/>
        <v>5500</v>
      </c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  <c r="GT1028" s="7"/>
      <c r="GU1028" s="7"/>
      <c r="GV1028" s="7"/>
      <c r="GW1028" s="7"/>
      <c r="GX1028" s="7"/>
      <c r="GY1028" s="7"/>
      <c r="GZ1028" s="7"/>
      <c r="HA1028" s="7"/>
      <c r="HB1028" s="7"/>
      <c r="HC1028" s="7"/>
      <c r="HD1028" s="7"/>
      <c r="HE1028" s="7"/>
      <c r="HF1028" s="7"/>
      <c r="HG1028" s="7"/>
      <c r="HH1028" s="7"/>
      <c r="HI1028" s="7"/>
      <c r="HJ1028" s="7"/>
      <c r="HK1028" s="7"/>
      <c r="HL1028" s="7"/>
      <c r="HM1028" s="7"/>
      <c r="HN1028" s="7"/>
      <c r="HO1028" s="7"/>
      <c r="HP1028" s="7"/>
      <c r="HQ1028" s="7"/>
      <c r="HR1028" s="7"/>
      <c r="HS1028" s="7"/>
      <c r="HT1028" s="7"/>
      <c r="HU1028" s="7"/>
      <c r="HV1028" s="7"/>
      <c r="HW1028" s="7"/>
      <c r="HX1028" s="7"/>
      <c r="HY1028" s="7"/>
      <c r="HZ1028" s="7"/>
      <c r="IA1028" s="7"/>
      <c r="IB1028" s="7"/>
      <c r="IC1028" s="7"/>
      <c r="ID1028" s="7"/>
      <c r="IE1028" s="7"/>
      <c r="IF1028" s="7"/>
      <c r="IG1028" s="7"/>
      <c r="IH1028" s="7"/>
      <c r="II1028" s="7"/>
      <c r="IJ1028" s="7"/>
      <c r="IK1028" s="7"/>
      <c r="IL1028" s="7"/>
      <c r="IM1028" s="7"/>
      <c r="IN1028" s="7"/>
      <c r="IO1028" s="7"/>
      <c r="IP1028" s="7"/>
      <c r="IQ1028" s="7"/>
      <c r="IR1028" s="7"/>
      <c r="IS1028" s="7"/>
      <c r="IT1028" s="7"/>
      <c r="IU1028" s="7"/>
      <c r="IV1028" s="7"/>
      <c r="IW1028" s="7"/>
      <c r="IX1028" s="7"/>
    </row>
    <row r="1029" spans="1:258" s="17" customFormat="1" ht="21.9" customHeight="1">
      <c r="A1029" s="37" t="s">
        <v>1133</v>
      </c>
      <c r="B1029" s="8" t="s">
        <v>1534</v>
      </c>
      <c r="C1029" s="2">
        <f>D1029+L1029+N1029+P1029+R1029+S1029+T1029+U1029</f>
        <v>8782709.5</v>
      </c>
      <c r="D1029" s="3">
        <f>SUM(E1029:J1029)</f>
        <v>8682709.5</v>
      </c>
      <c r="E1029" s="3">
        <f>350*3694.77</f>
        <v>1293169.5</v>
      </c>
      <c r="F1029" s="3">
        <f>1050*3694.77</f>
        <v>3879508.5</v>
      </c>
      <c r="G1029" s="3">
        <f>300*3694.77</f>
        <v>1108431</v>
      </c>
      <c r="H1029" s="3">
        <f>400*3694.77</f>
        <v>1477908</v>
      </c>
      <c r="I1029" s="3">
        <f>250*3694.77</f>
        <v>923692.5</v>
      </c>
      <c r="J1029" s="3">
        <v>0</v>
      </c>
      <c r="K1029" s="4">
        <v>0</v>
      </c>
      <c r="L1029" s="3">
        <v>0</v>
      </c>
      <c r="M1029" s="5">
        <v>0</v>
      </c>
      <c r="N1029" s="3">
        <v>0</v>
      </c>
      <c r="O1029" s="3">
        <v>0</v>
      </c>
      <c r="P1029" s="3">
        <v>0</v>
      </c>
      <c r="Q1029" s="3">
        <v>0</v>
      </c>
      <c r="R1029" s="3">
        <f t="shared" si="636"/>
        <v>0</v>
      </c>
      <c r="S1029" s="3">
        <v>0</v>
      </c>
      <c r="T1029" s="5">
        <v>0</v>
      </c>
      <c r="U1029" s="3">
        <v>100000</v>
      </c>
      <c r="V1029" s="6" t="e">
        <f t="shared" si="637"/>
        <v>#DIV/0!</v>
      </c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K1029" s="7"/>
      <c r="CL1029" s="7"/>
      <c r="CM1029" s="7"/>
      <c r="CN1029" s="7"/>
      <c r="CO1029" s="7"/>
      <c r="CP1029" s="7"/>
      <c r="CQ1029" s="7"/>
      <c r="CR1029" s="7"/>
      <c r="CS1029" s="7"/>
      <c r="CT1029" s="7"/>
      <c r="CU1029" s="7"/>
      <c r="CV1029" s="7"/>
      <c r="CW1029" s="7"/>
      <c r="CX1029" s="7"/>
      <c r="CY1029" s="7"/>
      <c r="CZ1029" s="7"/>
      <c r="DA1029" s="7"/>
      <c r="DB1029" s="7"/>
      <c r="DC1029" s="7"/>
      <c r="DD1029" s="7"/>
      <c r="DE1029" s="7"/>
      <c r="DF1029" s="7"/>
      <c r="DG1029" s="7"/>
      <c r="DH1029" s="7"/>
      <c r="DI1029" s="7"/>
      <c r="DJ1029" s="7"/>
      <c r="DK1029" s="7"/>
      <c r="DL1029" s="7"/>
      <c r="DM1029" s="7"/>
      <c r="DN1029" s="7"/>
      <c r="DO1029" s="7"/>
      <c r="DP1029" s="7"/>
      <c r="DQ1029" s="7"/>
      <c r="DR1029" s="7"/>
      <c r="DS1029" s="7"/>
      <c r="DT1029" s="7"/>
      <c r="DU1029" s="7"/>
      <c r="DV1029" s="7"/>
      <c r="DW1029" s="7"/>
      <c r="DX1029" s="7"/>
      <c r="DY1029" s="7"/>
      <c r="DZ1029" s="7"/>
      <c r="EA1029" s="7"/>
      <c r="EB1029" s="7"/>
      <c r="EC1029" s="7"/>
      <c r="ED1029" s="7"/>
      <c r="EE1029" s="7"/>
      <c r="EF1029" s="7"/>
      <c r="EG1029" s="7"/>
      <c r="EH1029" s="7"/>
      <c r="EI1029" s="7"/>
      <c r="EJ1029" s="7"/>
      <c r="EK1029" s="7"/>
      <c r="EL1029" s="7"/>
      <c r="EM1029" s="7"/>
      <c r="EN1029" s="7"/>
      <c r="EO1029" s="7"/>
      <c r="EP1029" s="7"/>
      <c r="EQ1029" s="7"/>
      <c r="ER1029" s="7"/>
      <c r="ES1029" s="7"/>
      <c r="ET1029" s="7"/>
      <c r="EU1029" s="7"/>
      <c r="EV1029" s="7"/>
      <c r="EW1029" s="7"/>
      <c r="EX1029" s="7"/>
      <c r="EY1029" s="7"/>
      <c r="EZ1029" s="7"/>
      <c r="FA1029" s="7"/>
      <c r="FB1029" s="7"/>
      <c r="FC1029" s="7"/>
      <c r="FD1029" s="7"/>
      <c r="FE1029" s="7"/>
      <c r="FF1029" s="7"/>
      <c r="FG1029" s="7"/>
      <c r="FH1029" s="7"/>
      <c r="FI1029" s="7"/>
      <c r="FJ1029" s="7"/>
      <c r="FK1029" s="7"/>
      <c r="FL1029" s="7"/>
      <c r="FM1029" s="7"/>
      <c r="FN1029" s="7"/>
      <c r="FO1029" s="7"/>
      <c r="FP1029" s="7"/>
      <c r="FQ1029" s="7"/>
      <c r="FR1029" s="7"/>
      <c r="FS1029" s="7"/>
      <c r="FT1029" s="7"/>
      <c r="FU1029" s="7"/>
      <c r="FV1029" s="7"/>
      <c r="FW1029" s="7"/>
      <c r="FX1029" s="7"/>
      <c r="FY1029" s="7"/>
      <c r="FZ1029" s="7"/>
      <c r="GA1029" s="7"/>
      <c r="GB1029" s="7"/>
      <c r="GC1029" s="7"/>
      <c r="GD1029" s="7"/>
      <c r="GE1029" s="7"/>
      <c r="GF1029" s="7"/>
      <c r="GG1029" s="7"/>
      <c r="GH1029" s="7"/>
      <c r="GI1029" s="7"/>
      <c r="GJ1029" s="7"/>
      <c r="GK1029" s="7"/>
      <c r="GL1029" s="7"/>
      <c r="GM1029" s="7"/>
      <c r="GN1029" s="7"/>
      <c r="GO1029" s="7"/>
      <c r="GP1029" s="7"/>
      <c r="GQ1029" s="7"/>
      <c r="GR1029" s="7"/>
      <c r="GS1029" s="7"/>
      <c r="GT1029" s="7"/>
      <c r="GU1029" s="7"/>
      <c r="GV1029" s="7"/>
      <c r="GW1029" s="7"/>
      <c r="GX1029" s="7"/>
      <c r="GY1029" s="7"/>
      <c r="GZ1029" s="7"/>
      <c r="HA1029" s="7"/>
      <c r="HB1029" s="7"/>
      <c r="HC1029" s="7"/>
      <c r="HD1029" s="7"/>
      <c r="HE1029" s="7"/>
      <c r="HF1029" s="7"/>
      <c r="HG1029" s="7"/>
      <c r="HH1029" s="7"/>
      <c r="HI1029" s="7"/>
      <c r="HJ1029" s="7"/>
      <c r="HK1029" s="7"/>
      <c r="HL1029" s="7"/>
      <c r="HM1029" s="7"/>
      <c r="HN1029" s="7"/>
      <c r="HO1029" s="7"/>
      <c r="HP1029" s="7"/>
      <c r="HQ1029" s="7"/>
      <c r="HR1029" s="7"/>
      <c r="HS1029" s="7"/>
      <c r="HT1029" s="7"/>
      <c r="HU1029" s="7"/>
      <c r="HV1029" s="7"/>
      <c r="HW1029" s="7"/>
      <c r="HX1029" s="7"/>
      <c r="HY1029" s="7"/>
      <c r="HZ1029" s="7"/>
      <c r="IA1029" s="7"/>
      <c r="IB1029" s="7"/>
      <c r="IC1029" s="7"/>
      <c r="ID1029" s="7"/>
      <c r="IE1029" s="7"/>
      <c r="IF1029" s="7"/>
      <c r="IG1029" s="7"/>
      <c r="IH1029" s="7"/>
      <c r="II1029" s="7"/>
      <c r="IJ1029" s="7"/>
      <c r="IK1029" s="7"/>
      <c r="IL1029" s="7"/>
      <c r="IM1029" s="7"/>
      <c r="IN1029" s="7"/>
      <c r="IO1029" s="7"/>
      <c r="IP1029" s="7"/>
      <c r="IQ1029" s="7"/>
      <c r="IR1029" s="7"/>
      <c r="IS1029" s="7"/>
      <c r="IT1029" s="7"/>
      <c r="IU1029" s="7"/>
      <c r="IV1029" s="7"/>
      <c r="IW1029" s="7"/>
      <c r="IX1029" s="7"/>
    </row>
    <row r="1030" spans="1:258" ht="21.9" customHeight="1">
      <c r="A1030" s="37" t="s">
        <v>1134</v>
      </c>
      <c r="B1030" s="8" t="s">
        <v>729</v>
      </c>
      <c r="C1030" s="2">
        <f>D1030+L1030+N1030+P1030+R1030+S1030+T1030+U1030</f>
        <v>88864265</v>
      </c>
      <c r="D1030" s="3">
        <f>SUM(E1030:J1030)</f>
        <v>37294265</v>
      </c>
      <c r="E1030" s="3">
        <f>350*15869.9</f>
        <v>5554465</v>
      </c>
      <c r="F1030" s="3">
        <f>1050*15869.9</f>
        <v>16663395</v>
      </c>
      <c r="G1030" s="3">
        <f>300*15869.9</f>
        <v>4760970</v>
      </c>
      <c r="H1030" s="3">
        <f>400*15869.9</f>
        <v>6347960</v>
      </c>
      <c r="I1030" s="3">
        <f>250*15869.9</f>
        <v>3967475</v>
      </c>
      <c r="J1030" s="3">
        <v>0</v>
      </c>
      <c r="K1030" s="4">
        <v>0</v>
      </c>
      <c r="L1030" s="3">
        <v>0</v>
      </c>
      <c r="M1030" s="5">
        <v>5060</v>
      </c>
      <c r="N1030" s="3">
        <f>M1030*5500</f>
        <v>27830000</v>
      </c>
      <c r="O1030" s="3">
        <v>0</v>
      </c>
      <c r="P1030" s="3">
        <v>0</v>
      </c>
      <c r="Q1030" s="3">
        <v>7880</v>
      </c>
      <c r="R1030" s="3">
        <f>Q1030*3000</f>
        <v>23640000</v>
      </c>
      <c r="S1030" s="3">
        <v>0</v>
      </c>
      <c r="T1030" s="5">
        <v>0</v>
      </c>
      <c r="U1030" s="3">
        <v>100000</v>
      </c>
      <c r="V1030" s="6">
        <f>N1030/M1030</f>
        <v>5500</v>
      </c>
    </row>
    <row r="1031" spans="1:258" ht="21.9" customHeight="1">
      <c r="A1031" s="37" t="s">
        <v>1135</v>
      </c>
      <c r="B1031" s="8" t="s">
        <v>820</v>
      </c>
      <c r="C1031" s="2">
        <f t="shared" si="639"/>
        <v>4644000</v>
      </c>
      <c r="D1031" s="3">
        <f t="shared" si="638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0</v>
      </c>
      <c r="L1031" s="3">
        <v>0</v>
      </c>
      <c r="M1031" s="5">
        <v>0</v>
      </c>
      <c r="N1031" s="5">
        <v>0</v>
      </c>
      <c r="O1031" s="3">
        <v>0</v>
      </c>
      <c r="P1031" s="3">
        <v>0</v>
      </c>
      <c r="Q1031" s="3">
        <v>1548</v>
      </c>
      <c r="R1031" s="3">
        <f t="shared" si="636"/>
        <v>4644000</v>
      </c>
      <c r="S1031" s="3">
        <v>0</v>
      </c>
      <c r="T1031" s="5">
        <v>0</v>
      </c>
      <c r="U1031" s="3">
        <v>0</v>
      </c>
      <c r="V1031" s="6" t="e">
        <f t="shared" si="637"/>
        <v>#DIV/0!</v>
      </c>
    </row>
    <row r="1032" spans="1:258" ht="21.9" customHeight="1">
      <c r="A1032" s="37" t="s">
        <v>1136</v>
      </c>
      <c r="B1032" s="8" t="s">
        <v>541</v>
      </c>
      <c r="C1032" s="2">
        <f t="shared" si="639"/>
        <v>2930399.9999999995</v>
      </c>
      <c r="D1032" s="3">
        <f t="shared" ref="D1032" si="648">SUM(E1032:J1032)</f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11">
        <v>0</v>
      </c>
      <c r="L1032" s="5">
        <v>0</v>
      </c>
      <c r="M1032" s="5">
        <v>532.79999999999995</v>
      </c>
      <c r="N1032" s="3">
        <f t="shared" ref="N1032" si="649">M1032*5500</f>
        <v>2930399.9999999995</v>
      </c>
      <c r="O1032" s="5">
        <v>0</v>
      </c>
      <c r="P1032" s="5">
        <v>0</v>
      </c>
      <c r="Q1032" s="5">
        <v>0</v>
      </c>
      <c r="R1032" s="3">
        <f t="shared" si="636"/>
        <v>0</v>
      </c>
      <c r="S1032" s="5">
        <v>0</v>
      </c>
      <c r="T1032" s="5">
        <v>0</v>
      </c>
      <c r="U1032" s="5">
        <v>0</v>
      </c>
      <c r="V1032" s="6">
        <f t="shared" si="637"/>
        <v>5500</v>
      </c>
    </row>
    <row r="1033" spans="1:258" ht="21.9" customHeight="1">
      <c r="A1033" s="37" t="s">
        <v>1137</v>
      </c>
      <c r="B1033" s="8" t="s">
        <v>804</v>
      </c>
      <c r="C1033" s="2">
        <f t="shared" si="639"/>
        <v>1167100</v>
      </c>
      <c r="D1033" s="3">
        <f t="shared" si="638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5">
        <v>212.2</v>
      </c>
      <c r="N1033" s="3">
        <f t="shared" ref="N1033:N1034" si="650">M1033*5500</f>
        <v>1167100</v>
      </c>
      <c r="O1033" s="3">
        <v>0</v>
      </c>
      <c r="P1033" s="3">
        <v>0</v>
      </c>
      <c r="Q1033" s="3">
        <v>0</v>
      </c>
      <c r="R1033" s="3">
        <f t="shared" si="636"/>
        <v>0</v>
      </c>
      <c r="S1033" s="3">
        <v>0</v>
      </c>
      <c r="T1033" s="5">
        <v>0</v>
      </c>
      <c r="U1033" s="3">
        <v>0</v>
      </c>
      <c r="V1033" s="6">
        <f t="shared" si="637"/>
        <v>5500</v>
      </c>
    </row>
    <row r="1034" spans="1:258" ht="21.9" customHeight="1">
      <c r="A1034" s="37" t="s">
        <v>1138</v>
      </c>
      <c r="B1034" s="23" t="s">
        <v>542</v>
      </c>
      <c r="C1034" s="2">
        <f t="shared" si="639"/>
        <v>1540000</v>
      </c>
      <c r="D1034" s="3">
        <f t="shared" ref="D1034" si="651">SUM(E1034:J1034)</f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11">
        <v>0</v>
      </c>
      <c r="L1034" s="5">
        <v>0</v>
      </c>
      <c r="M1034" s="5">
        <v>280</v>
      </c>
      <c r="N1034" s="3">
        <f t="shared" si="650"/>
        <v>1540000</v>
      </c>
      <c r="O1034" s="5">
        <v>0</v>
      </c>
      <c r="P1034" s="5">
        <v>0</v>
      </c>
      <c r="Q1034" s="5">
        <v>0</v>
      </c>
      <c r="R1034" s="3">
        <f t="shared" si="636"/>
        <v>0</v>
      </c>
      <c r="S1034" s="5">
        <v>0</v>
      </c>
      <c r="T1034" s="5">
        <v>0</v>
      </c>
      <c r="U1034" s="5">
        <v>0</v>
      </c>
      <c r="V1034" s="6">
        <f t="shared" si="637"/>
        <v>5500</v>
      </c>
    </row>
    <row r="1035" spans="1:258" ht="21.9" customHeight="1">
      <c r="A1035" s="37" t="s">
        <v>1139</v>
      </c>
      <c r="B1035" s="23" t="s">
        <v>730</v>
      </c>
      <c r="C1035" s="2">
        <f t="shared" si="639"/>
        <v>1754500</v>
      </c>
      <c r="D1035" s="3">
        <f t="shared" si="638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5">
        <v>319</v>
      </c>
      <c r="N1035" s="3">
        <f t="shared" ref="N1035" si="652">M1035*5500</f>
        <v>1754500</v>
      </c>
      <c r="O1035" s="3">
        <v>0</v>
      </c>
      <c r="P1035" s="3">
        <v>0</v>
      </c>
      <c r="Q1035" s="3">
        <v>0</v>
      </c>
      <c r="R1035" s="3">
        <f t="shared" si="636"/>
        <v>0</v>
      </c>
      <c r="S1035" s="3">
        <v>0</v>
      </c>
      <c r="T1035" s="5">
        <v>0</v>
      </c>
      <c r="U1035" s="3">
        <v>0</v>
      </c>
      <c r="V1035" s="6">
        <f t="shared" si="637"/>
        <v>5500</v>
      </c>
    </row>
    <row r="1036" spans="1:258" s="17" customFormat="1" ht="21.9" customHeight="1">
      <c r="A1036" s="37" t="s">
        <v>1140</v>
      </c>
      <c r="B1036" s="8" t="s">
        <v>805</v>
      </c>
      <c r="C1036" s="2">
        <f t="shared" si="639"/>
        <v>3538560</v>
      </c>
      <c r="D1036" s="3">
        <f t="shared" si="638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5">
        <v>960</v>
      </c>
      <c r="N1036" s="3">
        <f>M1036*3686</f>
        <v>3538560</v>
      </c>
      <c r="O1036" s="3">
        <v>0</v>
      </c>
      <c r="P1036" s="3">
        <v>0</v>
      </c>
      <c r="Q1036" s="3">
        <v>0</v>
      </c>
      <c r="R1036" s="3">
        <f t="shared" si="636"/>
        <v>0</v>
      </c>
      <c r="S1036" s="3">
        <v>0</v>
      </c>
      <c r="T1036" s="5">
        <v>0</v>
      </c>
      <c r="U1036" s="3">
        <v>0</v>
      </c>
      <c r="V1036" s="6">
        <f t="shared" si="637"/>
        <v>3686</v>
      </c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  <c r="BR1036" s="7"/>
      <c r="BS1036" s="7"/>
      <c r="BT1036" s="7"/>
      <c r="BU1036" s="7"/>
      <c r="BV1036" s="7"/>
      <c r="BW1036" s="7"/>
      <c r="BX1036" s="7"/>
      <c r="BY1036" s="7"/>
      <c r="BZ1036" s="7"/>
      <c r="CA1036" s="7"/>
      <c r="CB1036" s="7"/>
      <c r="CC1036" s="7"/>
      <c r="CD1036" s="7"/>
      <c r="CE1036" s="7"/>
      <c r="CF1036" s="7"/>
      <c r="CG1036" s="7"/>
      <c r="CH1036" s="7"/>
      <c r="CI1036" s="7"/>
      <c r="CJ1036" s="7"/>
      <c r="CK1036" s="7"/>
      <c r="CL1036" s="7"/>
      <c r="CM1036" s="7"/>
      <c r="CN1036" s="7"/>
      <c r="CO1036" s="7"/>
      <c r="CP1036" s="7"/>
      <c r="CQ1036" s="7"/>
      <c r="CR1036" s="7"/>
      <c r="CS1036" s="7"/>
      <c r="CT1036" s="7"/>
      <c r="CU1036" s="7"/>
      <c r="CV1036" s="7"/>
      <c r="CW1036" s="7"/>
      <c r="CX1036" s="7"/>
      <c r="CY1036" s="7"/>
      <c r="CZ1036" s="7"/>
      <c r="DA1036" s="7"/>
      <c r="DB1036" s="7"/>
      <c r="DC1036" s="7"/>
      <c r="DD1036" s="7"/>
      <c r="DE1036" s="7"/>
      <c r="DF1036" s="7"/>
      <c r="DG1036" s="7"/>
      <c r="DH1036" s="7"/>
      <c r="DI1036" s="7"/>
      <c r="DJ1036" s="7"/>
      <c r="DK1036" s="7"/>
      <c r="DL1036" s="7"/>
      <c r="DM1036" s="7"/>
      <c r="DN1036" s="7"/>
      <c r="DO1036" s="7"/>
      <c r="DP1036" s="7"/>
      <c r="DQ1036" s="7"/>
      <c r="DR1036" s="7"/>
      <c r="DS1036" s="7"/>
      <c r="DT1036" s="7"/>
      <c r="DU1036" s="7"/>
      <c r="DV1036" s="7"/>
      <c r="DW1036" s="7"/>
      <c r="DX1036" s="7"/>
      <c r="DY1036" s="7"/>
      <c r="DZ1036" s="7"/>
      <c r="EA1036" s="7"/>
      <c r="EB1036" s="7"/>
      <c r="EC1036" s="7"/>
      <c r="ED1036" s="7"/>
      <c r="EE1036" s="7"/>
      <c r="EF1036" s="7"/>
      <c r="EG1036" s="7"/>
      <c r="EH1036" s="7"/>
      <c r="EI1036" s="7"/>
      <c r="EJ1036" s="7"/>
      <c r="EK1036" s="7"/>
      <c r="EL1036" s="7"/>
      <c r="EM1036" s="7"/>
      <c r="EN1036" s="7"/>
      <c r="EO1036" s="7"/>
      <c r="EP1036" s="7"/>
      <c r="EQ1036" s="7"/>
      <c r="ER1036" s="7"/>
      <c r="ES1036" s="7"/>
      <c r="ET1036" s="7"/>
      <c r="EU1036" s="7"/>
      <c r="EV1036" s="7"/>
      <c r="EW1036" s="7"/>
      <c r="EX1036" s="7"/>
      <c r="EY1036" s="7"/>
      <c r="EZ1036" s="7"/>
      <c r="FA1036" s="7"/>
      <c r="FB1036" s="7"/>
      <c r="FC1036" s="7"/>
      <c r="FD1036" s="7"/>
      <c r="FE1036" s="7"/>
      <c r="FF1036" s="7"/>
      <c r="FG1036" s="7"/>
      <c r="FH1036" s="7"/>
      <c r="FI1036" s="7"/>
      <c r="FJ1036" s="7"/>
      <c r="FK1036" s="7"/>
      <c r="FL1036" s="7"/>
      <c r="FM1036" s="7"/>
      <c r="FN1036" s="7"/>
      <c r="FO1036" s="7"/>
      <c r="FP1036" s="7"/>
      <c r="FQ1036" s="7"/>
      <c r="FR1036" s="7"/>
      <c r="FS1036" s="7"/>
      <c r="FT1036" s="7"/>
      <c r="FU1036" s="7"/>
      <c r="FV1036" s="7"/>
      <c r="FW1036" s="7"/>
      <c r="FX1036" s="7"/>
      <c r="FY1036" s="7"/>
      <c r="FZ1036" s="7"/>
      <c r="GA1036" s="7"/>
      <c r="GB1036" s="7"/>
      <c r="GC1036" s="7"/>
      <c r="GD1036" s="7"/>
      <c r="GE1036" s="7"/>
      <c r="GF1036" s="7"/>
      <c r="GG1036" s="7"/>
      <c r="GH1036" s="7"/>
      <c r="GI1036" s="7"/>
      <c r="GJ1036" s="7"/>
      <c r="GK1036" s="7"/>
      <c r="GL1036" s="7"/>
      <c r="GM1036" s="7"/>
      <c r="GN1036" s="7"/>
      <c r="GO1036" s="7"/>
      <c r="GP1036" s="7"/>
      <c r="GQ1036" s="7"/>
      <c r="GR1036" s="7"/>
      <c r="GS1036" s="7"/>
      <c r="GT1036" s="7"/>
      <c r="GU1036" s="7"/>
      <c r="GV1036" s="7"/>
      <c r="GW1036" s="7"/>
      <c r="GX1036" s="7"/>
      <c r="GY1036" s="7"/>
      <c r="GZ1036" s="7"/>
      <c r="HA1036" s="7"/>
      <c r="HB1036" s="7"/>
      <c r="HC1036" s="7"/>
      <c r="HD1036" s="7"/>
      <c r="HE1036" s="7"/>
      <c r="HF1036" s="7"/>
      <c r="HG1036" s="7"/>
      <c r="HH1036" s="7"/>
      <c r="HI1036" s="7"/>
      <c r="HJ1036" s="7"/>
      <c r="HK1036" s="7"/>
      <c r="HL1036" s="7"/>
      <c r="HM1036" s="7"/>
      <c r="HN1036" s="7"/>
      <c r="HO1036" s="7"/>
      <c r="HP1036" s="7"/>
      <c r="HQ1036" s="7"/>
      <c r="HR1036" s="7"/>
      <c r="HS1036" s="7"/>
      <c r="HT1036" s="7"/>
      <c r="HU1036" s="7"/>
      <c r="HV1036" s="7"/>
      <c r="HW1036" s="7"/>
      <c r="HX1036" s="7"/>
      <c r="HY1036" s="7"/>
      <c r="HZ1036" s="7"/>
      <c r="IA1036" s="7"/>
      <c r="IB1036" s="7"/>
      <c r="IC1036" s="7"/>
      <c r="ID1036" s="7"/>
      <c r="IE1036" s="7"/>
      <c r="IF1036" s="7"/>
      <c r="IG1036" s="7"/>
      <c r="IH1036" s="7"/>
      <c r="II1036" s="7"/>
      <c r="IJ1036" s="7"/>
      <c r="IK1036" s="7"/>
      <c r="IL1036" s="7"/>
      <c r="IM1036" s="7"/>
      <c r="IN1036" s="7"/>
      <c r="IO1036" s="7"/>
      <c r="IP1036" s="7"/>
      <c r="IQ1036" s="7"/>
      <c r="IR1036" s="7"/>
      <c r="IS1036" s="7"/>
      <c r="IT1036" s="7"/>
      <c r="IU1036" s="7"/>
      <c r="IV1036" s="7"/>
      <c r="IW1036" s="7"/>
      <c r="IX1036" s="7"/>
    </row>
    <row r="1037" spans="1:258" ht="21.9" customHeight="1">
      <c r="A1037" s="37" t="s">
        <v>1141</v>
      </c>
      <c r="B1037" s="8" t="s">
        <v>465</v>
      </c>
      <c r="C1037" s="2">
        <f>D1037+L1037+N1037+P1037+R1037+S1037+T1037+U1037</f>
        <v>11528050</v>
      </c>
      <c r="D1037" s="3">
        <f>SUM(E1037:J1037)</f>
        <v>11428050</v>
      </c>
      <c r="E1037" s="3">
        <f>350*4863</f>
        <v>1702050</v>
      </c>
      <c r="F1037" s="3">
        <f>1050*4863</f>
        <v>5106150</v>
      </c>
      <c r="G1037" s="3">
        <f>300*4863</f>
        <v>1458900</v>
      </c>
      <c r="H1037" s="3">
        <f>400*4863</f>
        <v>1945200</v>
      </c>
      <c r="I1037" s="3">
        <f>250*4863</f>
        <v>1215750</v>
      </c>
      <c r="J1037" s="3">
        <v>0</v>
      </c>
      <c r="K1037" s="4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0</v>
      </c>
      <c r="Q1037" s="3">
        <v>0</v>
      </c>
      <c r="R1037" s="3">
        <f>Q1037*3000</f>
        <v>0</v>
      </c>
      <c r="S1037" s="3">
        <v>0</v>
      </c>
      <c r="T1037" s="5">
        <v>0</v>
      </c>
      <c r="U1037" s="3">
        <v>100000</v>
      </c>
      <c r="V1037" s="6" t="e">
        <f>N1037/M1037</f>
        <v>#DIV/0!</v>
      </c>
    </row>
    <row r="1038" spans="1:258" ht="21.9" customHeight="1">
      <c r="A1038" s="37" t="s">
        <v>1224</v>
      </c>
      <c r="B1038" s="8" t="s">
        <v>451</v>
      </c>
      <c r="C1038" s="2">
        <f>D1038+L1038+N1038+P1038+R1038+S1038+T1038+U1038</f>
        <v>19375875</v>
      </c>
      <c r="D1038" s="3">
        <f>SUM(E1038:J1038)</f>
        <v>19275875</v>
      </c>
      <c r="E1038" s="3">
        <f>350*8202.5</f>
        <v>2870875</v>
      </c>
      <c r="F1038" s="3">
        <f>1050*8202.5</f>
        <v>8612625</v>
      </c>
      <c r="G1038" s="3">
        <f>300*8202.5</f>
        <v>2460750</v>
      </c>
      <c r="H1038" s="3">
        <f>400*8202.5</f>
        <v>3281000</v>
      </c>
      <c r="I1038" s="3">
        <f>250*8202.5</f>
        <v>2050625</v>
      </c>
      <c r="J1038" s="3">
        <v>0</v>
      </c>
      <c r="K1038" s="4">
        <v>0</v>
      </c>
      <c r="L1038" s="3">
        <v>0</v>
      </c>
      <c r="M1038" s="3">
        <v>0</v>
      </c>
      <c r="N1038" s="3">
        <v>0</v>
      </c>
      <c r="O1038" s="3">
        <v>0</v>
      </c>
      <c r="P1038" s="3">
        <v>0</v>
      </c>
      <c r="Q1038" s="3">
        <v>0</v>
      </c>
      <c r="R1038" s="3">
        <f>Q1038*3000</f>
        <v>0</v>
      </c>
      <c r="S1038" s="3">
        <v>0</v>
      </c>
      <c r="T1038" s="5">
        <v>0</v>
      </c>
      <c r="U1038" s="3">
        <v>100000</v>
      </c>
      <c r="V1038" s="6" t="e">
        <f>N1038/M1038</f>
        <v>#DIV/0!</v>
      </c>
    </row>
    <row r="1039" spans="1:258" ht="21.9" customHeight="1">
      <c r="A1039" s="37" t="s">
        <v>1142</v>
      </c>
      <c r="B1039" s="8" t="s">
        <v>731</v>
      </c>
      <c r="C1039" s="2">
        <f t="shared" si="639"/>
        <v>2476790</v>
      </c>
      <c r="D1039" s="3">
        <f t="shared" si="638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3">
        <v>395.78</v>
      </c>
      <c r="N1039" s="3">
        <f t="shared" ref="N1039:N1042" si="653">M1039*5500</f>
        <v>2176790</v>
      </c>
      <c r="O1039" s="3">
        <v>0</v>
      </c>
      <c r="P1039" s="3">
        <v>0</v>
      </c>
      <c r="Q1039" s="3">
        <v>0</v>
      </c>
      <c r="R1039" s="3">
        <f t="shared" si="636"/>
        <v>0</v>
      </c>
      <c r="S1039" s="3">
        <v>0</v>
      </c>
      <c r="T1039" s="5">
        <v>0</v>
      </c>
      <c r="U1039" s="3">
        <v>300000</v>
      </c>
      <c r="V1039" s="6">
        <f t="shared" si="637"/>
        <v>5500</v>
      </c>
    </row>
    <row r="1040" spans="1:258" ht="21.9" customHeight="1">
      <c r="A1040" s="37" t="s">
        <v>1143</v>
      </c>
      <c r="B1040" s="8" t="s">
        <v>806</v>
      </c>
      <c r="C1040" s="2">
        <f t="shared" si="639"/>
        <v>2095500</v>
      </c>
      <c r="D1040" s="3">
        <f t="shared" si="638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5">
        <v>381</v>
      </c>
      <c r="N1040" s="3">
        <f t="shared" si="653"/>
        <v>2095500</v>
      </c>
      <c r="O1040" s="3">
        <v>0</v>
      </c>
      <c r="P1040" s="3">
        <v>0</v>
      </c>
      <c r="Q1040" s="3">
        <v>0</v>
      </c>
      <c r="R1040" s="3">
        <f t="shared" si="636"/>
        <v>0</v>
      </c>
      <c r="S1040" s="3">
        <v>0</v>
      </c>
      <c r="T1040" s="5">
        <v>0</v>
      </c>
      <c r="U1040" s="3">
        <v>0</v>
      </c>
      <c r="V1040" s="6">
        <f t="shared" si="637"/>
        <v>5500</v>
      </c>
    </row>
    <row r="1041" spans="1:258" ht="21.9" customHeight="1">
      <c r="A1041" s="37" t="s">
        <v>1144</v>
      </c>
      <c r="B1041" s="8" t="s">
        <v>631</v>
      </c>
      <c r="C1041" s="2">
        <f t="shared" si="639"/>
        <v>892702</v>
      </c>
      <c r="D1041" s="3">
        <f t="shared" ref="D1041" si="654">SUM(E1041:J1041)</f>
        <v>792702</v>
      </c>
      <c r="E1041" s="5">
        <f>350*337.32</f>
        <v>118062</v>
      </c>
      <c r="F1041" s="5">
        <f>1050*337.32</f>
        <v>354186</v>
      </c>
      <c r="G1041" s="5">
        <f>300*337.32</f>
        <v>101196</v>
      </c>
      <c r="H1041" s="5">
        <f>400*337.32</f>
        <v>134928</v>
      </c>
      <c r="I1041" s="5">
        <f>250*337.32</f>
        <v>84330</v>
      </c>
      <c r="J1041" s="5">
        <f>350*0</f>
        <v>0</v>
      </c>
      <c r="K1041" s="11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3">
        <f t="shared" si="636"/>
        <v>0</v>
      </c>
      <c r="S1041" s="5">
        <v>0</v>
      </c>
      <c r="T1041" s="5">
        <v>0</v>
      </c>
      <c r="U1041" s="5">
        <v>100000</v>
      </c>
      <c r="V1041" s="6" t="e">
        <f t="shared" si="637"/>
        <v>#DIV/0!</v>
      </c>
    </row>
    <row r="1042" spans="1:258" s="26" customFormat="1" ht="21.9" customHeight="1">
      <c r="A1042" s="37" t="s">
        <v>1145</v>
      </c>
      <c r="B1042" s="8" t="s">
        <v>732</v>
      </c>
      <c r="C1042" s="2">
        <f t="shared" si="639"/>
        <v>1419000</v>
      </c>
      <c r="D1042" s="3">
        <f t="shared" si="638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5">
        <v>258</v>
      </c>
      <c r="N1042" s="3">
        <f t="shared" si="653"/>
        <v>1419000</v>
      </c>
      <c r="O1042" s="3">
        <v>0</v>
      </c>
      <c r="P1042" s="3">
        <v>0</v>
      </c>
      <c r="Q1042" s="3">
        <v>0</v>
      </c>
      <c r="R1042" s="3">
        <f t="shared" si="636"/>
        <v>0</v>
      </c>
      <c r="S1042" s="3">
        <v>0</v>
      </c>
      <c r="T1042" s="5">
        <v>0</v>
      </c>
      <c r="U1042" s="3">
        <v>0</v>
      </c>
      <c r="V1042" s="6">
        <f t="shared" si="637"/>
        <v>5500</v>
      </c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  <c r="BM1042" s="7"/>
      <c r="BN1042" s="7"/>
      <c r="BO1042" s="7"/>
      <c r="BP1042" s="7"/>
      <c r="BQ1042" s="7"/>
      <c r="BR1042" s="7"/>
      <c r="BS1042" s="7"/>
      <c r="BT1042" s="7"/>
      <c r="BU1042" s="7"/>
      <c r="BV1042" s="7"/>
      <c r="BW1042" s="7"/>
      <c r="BX1042" s="7"/>
      <c r="BY1042" s="7"/>
      <c r="BZ1042" s="7"/>
      <c r="CA1042" s="7"/>
      <c r="CB1042" s="7"/>
      <c r="CC1042" s="7"/>
      <c r="CD1042" s="7"/>
      <c r="CE1042" s="7"/>
      <c r="CF1042" s="7"/>
      <c r="CG1042" s="7"/>
      <c r="CH1042" s="7"/>
      <c r="CI1042" s="7"/>
      <c r="CJ1042" s="7"/>
      <c r="CK1042" s="7"/>
      <c r="CL1042" s="7"/>
      <c r="CM1042" s="7"/>
      <c r="CN1042" s="7"/>
      <c r="CO1042" s="7"/>
      <c r="CP1042" s="7"/>
      <c r="CQ1042" s="7"/>
      <c r="CR1042" s="7"/>
      <c r="CS1042" s="7"/>
      <c r="CT1042" s="7"/>
      <c r="CU1042" s="7"/>
      <c r="CV1042" s="7"/>
      <c r="CW1042" s="7"/>
      <c r="CX1042" s="7"/>
      <c r="CY1042" s="7"/>
      <c r="CZ1042" s="7"/>
      <c r="DA1042" s="7"/>
      <c r="DB1042" s="7"/>
      <c r="DC1042" s="7"/>
      <c r="DD1042" s="7"/>
      <c r="DE1042" s="7"/>
      <c r="DF1042" s="7"/>
      <c r="DG1042" s="7"/>
      <c r="DH1042" s="7"/>
      <c r="DI1042" s="7"/>
      <c r="DJ1042" s="7"/>
      <c r="DK1042" s="7"/>
      <c r="DL1042" s="7"/>
      <c r="DM1042" s="7"/>
      <c r="DN1042" s="7"/>
      <c r="DO1042" s="7"/>
      <c r="DP1042" s="7"/>
      <c r="DQ1042" s="7"/>
      <c r="DR1042" s="7"/>
      <c r="DS1042" s="7"/>
      <c r="DT1042" s="7"/>
      <c r="DU1042" s="7"/>
      <c r="DV1042" s="7"/>
      <c r="DW1042" s="7"/>
      <c r="DX1042" s="7"/>
      <c r="DY1042" s="7"/>
      <c r="DZ1042" s="7"/>
      <c r="EA1042" s="7"/>
      <c r="EB1042" s="7"/>
      <c r="EC1042" s="7"/>
      <c r="ED1042" s="7"/>
      <c r="EE1042" s="7"/>
      <c r="EF1042" s="7"/>
      <c r="EG1042" s="7"/>
      <c r="EH1042" s="7"/>
      <c r="EI1042" s="7"/>
      <c r="EJ1042" s="7"/>
      <c r="EK1042" s="7"/>
      <c r="EL1042" s="7"/>
      <c r="EM1042" s="7"/>
      <c r="EN1042" s="7"/>
      <c r="EO1042" s="7"/>
      <c r="EP1042" s="7"/>
      <c r="EQ1042" s="7"/>
      <c r="ER1042" s="7"/>
      <c r="ES1042" s="7"/>
      <c r="ET1042" s="7"/>
      <c r="EU1042" s="7"/>
      <c r="EV1042" s="7"/>
      <c r="EW1042" s="7"/>
      <c r="EX1042" s="7"/>
      <c r="EY1042" s="7"/>
      <c r="EZ1042" s="7"/>
      <c r="FA1042" s="7"/>
      <c r="FB1042" s="7"/>
      <c r="FC1042" s="7"/>
      <c r="FD1042" s="7"/>
      <c r="FE1042" s="7"/>
      <c r="FF1042" s="7"/>
      <c r="FG1042" s="7"/>
      <c r="FH1042" s="7"/>
      <c r="FI1042" s="7"/>
      <c r="FJ1042" s="7"/>
      <c r="FK1042" s="7"/>
      <c r="FL1042" s="7"/>
      <c r="FM1042" s="7"/>
      <c r="FN1042" s="7"/>
      <c r="FO1042" s="7"/>
      <c r="FP1042" s="7"/>
      <c r="FQ1042" s="7"/>
      <c r="FR1042" s="7"/>
      <c r="FS1042" s="7"/>
      <c r="FT1042" s="7"/>
      <c r="FU1042" s="7"/>
      <c r="FV1042" s="7"/>
      <c r="FW1042" s="7"/>
      <c r="FX1042" s="7"/>
      <c r="FY1042" s="7"/>
      <c r="FZ1042" s="7"/>
      <c r="GA1042" s="7"/>
      <c r="GB1042" s="7"/>
      <c r="GC1042" s="7"/>
      <c r="GD1042" s="7"/>
      <c r="GE1042" s="7"/>
      <c r="GF1042" s="7"/>
      <c r="GG1042" s="7"/>
      <c r="GH1042" s="7"/>
      <c r="GI1042" s="7"/>
      <c r="GJ1042" s="7"/>
      <c r="GK1042" s="7"/>
      <c r="GL1042" s="7"/>
      <c r="GM1042" s="7"/>
      <c r="GN1042" s="7"/>
      <c r="GO1042" s="7"/>
      <c r="GP1042" s="7"/>
      <c r="GQ1042" s="7"/>
      <c r="GR1042" s="7"/>
      <c r="GS1042" s="7"/>
      <c r="GT1042" s="7"/>
      <c r="GU1042" s="7"/>
      <c r="GV1042" s="7"/>
      <c r="GW1042" s="7"/>
      <c r="GX1042" s="7"/>
      <c r="GY1042" s="7"/>
      <c r="GZ1042" s="7"/>
      <c r="HA1042" s="7"/>
      <c r="HB1042" s="7"/>
      <c r="HC1042" s="7"/>
      <c r="HD1042" s="7"/>
      <c r="HE1042" s="7"/>
      <c r="HF1042" s="7"/>
      <c r="HG1042" s="7"/>
      <c r="HH1042" s="7"/>
      <c r="HI1042" s="7"/>
      <c r="HJ1042" s="7"/>
      <c r="HK1042" s="7"/>
      <c r="HL1042" s="7"/>
      <c r="HM1042" s="7"/>
      <c r="HN1042" s="7"/>
      <c r="HO1042" s="7"/>
      <c r="HP1042" s="7"/>
      <c r="HQ1042" s="7"/>
      <c r="HR1042" s="7"/>
      <c r="HS1042" s="7"/>
      <c r="HT1042" s="7"/>
      <c r="HU1042" s="7"/>
      <c r="HV1042" s="7"/>
      <c r="HW1042" s="7"/>
      <c r="HX1042" s="7"/>
      <c r="HY1042" s="7"/>
      <c r="HZ1042" s="7"/>
      <c r="IA1042" s="7"/>
      <c r="IB1042" s="7"/>
      <c r="IC1042" s="7"/>
      <c r="ID1042" s="7"/>
      <c r="IE1042" s="7"/>
      <c r="IF1042" s="7"/>
      <c r="IG1042" s="7"/>
      <c r="IH1042" s="7"/>
      <c r="II1042" s="7"/>
      <c r="IJ1042" s="7"/>
      <c r="IK1042" s="7"/>
      <c r="IL1042" s="7"/>
      <c r="IM1042" s="7"/>
      <c r="IN1042" s="7"/>
      <c r="IO1042" s="7"/>
      <c r="IP1042" s="7"/>
      <c r="IQ1042" s="7"/>
      <c r="IR1042" s="7"/>
      <c r="IS1042" s="7"/>
      <c r="IT1042" s="7"/>
      <c r="IU1042" s="7"/>
      <c r="IV1042" s="7"/>
      <c r="IW1042" s="7"/>
      <c r="IX1042" s="7"/>
    </row>
    <row r="1043" spans="1:258" ht="21.9" customHeight="1">
      <c r="A1043" s="37" t="s">
        <v>1146</v>
      </c>
      <c r="B1043" s="8" t="s">
        <v>733</v>
      </c>
      <c r="C1043" s="2">
        <f t="shared" si="639"/>
        <v>2845955</v>
      </c>
      <c r="D1043" s="3">
        <f t="shared" si="638"/>
        <v>663405</v>
      </c>
      <c r="E1043" s="3">
        <f>350*282.3</f>
        <v>98805</v>
      </c>
      <c r="F1043" s="3">
        <f>1050*282.3</f>
        <v>296415</v>
      </c>
      <c r="G1043" s="3">
        <f>300*282.3</f>
        <v>84690</v>
      </c>
      <c r="H1043" s="3">
        <f>400*282.3</f>
        <v>112920</v>
      </c>
      <c r="I1043" s="3">
        <f>250*282.3</f>
        <v>70575</v>
      </c>
      <c r="J1043" s="3">
        <v>0</v>
      </c>
      <c r="K1043" s="4">
        <v>0</v>
      </c>
      <c r="L1043" s="3">
        <v>0</v>
      </c>
      <c r="M1043" s="5">
        <v>202.1</v>
      </c>
      <c r="N1043" s="3">
        <f t="shared" ref="N1043" si="655">M1043*5500</f>
        <v>1111550</v>
      </c>
      <c r="O1043" s="3">
        <v>0</v>
      </c>
      <c r="P1043" s="3">
        <v>0</v>
      </c>
      <c r="Q1043" s="3">
        <v>357</v>
      </c>
      <c r="R1043" s="3">
        <f t="shared" si="636"/>
        <v>1071000</v>
      </c>
      <c r="S1043" s="3">
        <v>0</v>
      </c>
      <c r="T1043" s="5">
        <v>0</v>
      </c>
      <c r="U1043" s="3">
        <v>0</v>
      </c>
      <c r="V1043" s="6">
        <f t="shared" si="637"/>
        <v>5500</v>
      </c>
    </row>
    <row r="1044" spans="1:258" ht="21.9" customHeight="1">
      <c r="A1044" s="37" t="s">
        <v>1147</v>
      </c>
      <c r="B1044" s="23" t="s">
        <v>807</v>
      </c>
      <c r="C1044" s="2">
        <f t="shared" si="639"/>
        <v>5170000</v>
      </c>
      <c r="D1044" s="3">
        <f t="shared" si="638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5">
        <v>940</v>
      </c>
      <c r="N1044" s="3">
        <f t="shared" ref="N1044:N1051" si="656">M1044*5500</f>
        <v>5170000</v>
      </c>
      <c r="O1044" s="3">
        <v>0</v>
      </c>
      <c r="P1044" s="3">
        <v>0</v>
      </c>
      <c r="Q1044" s="3">
        <v>0</v>
      </c>
      <c r="R1044" s="3">
        <f t="shared" si="636"/>
        <v>0</v>
      </c>
      <c r="S1044" s="3">
        <v>0</v>
      </c>
      <c r="T1044" s="5">
        <v>0</v>
      </c>
      <c r="U1044" s="3">
        <v>0</v>
      </c>
      <c r="V1044" s="6">
        <f t="shared" si="637"/>
        <v>5500</v>
      </c>
    </row>
    <row r="1045" spans="1:258" ht="21.9" customHeight="1">
      <c r="A1045" s="37" t="s">
        <v>1148</v>
      </c>
      <c r="B1045" s="23" t="s">
        <v>808</v>
      </c>
      <c r="C1045" s="2">
        <f t="shared" si="639"/>
        <v>5131500</v>
      </c>
      <c r="D1045" s="3">
        <f t="shared" si="638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4">
        <v>0</v>
      </c>
      <c r="L1045" s="3">
        <v>0</v>
      </c>
      <c r="M1045" s="5">
        <v>933</v>
      </c>
      <c r="N1045" s="3">
        <f t="shared" si="656"/>
        <v>5131500</v>
      </c>
      <c r="O1045" s="3">
        <v>0</v>
      </c>
      <c r="P1045" s="3">
        <v>0</v>
      </c>
      <c r="Q1045" s="3">
        <v>0</v>
      </c>
      <c r="R1045" s="3">
        <f t="shared" si="636"/>
        <v>0</v>
      </c>
      <c r="S1045" s="3">
        <v>0</v>
      </c>
      <c r="T1045" s="5">
        <v>0</v>
      </c>
      <c r="U1045" s="3">
        <v>0</v>
      </c>
      <c r="V1045" s="6">
        <f t="shared" si="637"/>
        <v>5500</v>
      </c>
    </row>
    <row r="1046" spans="1:258" ht="21.9" customHeight="1">
      <c r="A1046" s="37" t="s">
        <v>1149</v>
      </c>
      <c r="B1046" s="8" t="s">
        <v>809</v>
      </c>
      <c r="C1046" s="2">
        <f t="shared" si="639"/>
        <v>3465000</v>
      </c>
      <c r="D1046" s="3">
        <f t="shared" si="638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4">
        <v>0</v>
      </c>
      <c r="L1046" s="3">
        <v>0</v>
      </c>
      <c r="M1046" s="5">
        <v>630</v>
      </c>
      <c r="N1046" s="3">
        <f t="shared" si="656"/>
        <v>3465000</v>
      </c>
      <c r="O1046" s="3">
        <v>0</v>
      </c>
      <c r="P1046" s="3">
        <v>0</v>
      </c>
      <c r="Q1046" s="3">
        <v>0</v>
      </c>
      <c r="R1046" s="3">
        <f t="shared" si="636"/>
        <v>0</v>
      </c>
      <c r="S1046" s="3">
        <v>0</v>
      </c>
      <c r="T1046" s="5">
        <v>0</v>
      </c>
      <c r="U1046" s="3">
        <v>0</v>
      </c>
      <c r="V1046" s="6">
        <f t="shared" si="637"/>
        <v>5500</v>
      </c>
    </row>
    <row r="1047" spans="1:258" ht="21.9" customHeight="1">
      <c r="A1047" s="37" t="s">
        <v>1150</v>
      </c>
      <c r="B1047" s="8" t="s">
        <v>810</v>
      </c>
      <c r="C1047" s="2">
        <f t="shared" si="639"/>
        <v>1661000</v>
      </c>
      <c r="D1047" s="3">
        <f t="shared" si="638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5">
        <v>302</v>
      </c>
      <c r="N1047" s="3">
        <f t="shared" si="656"/>
        <v>1661000</v>
      </c>
      <c r="O1047" s="3">
        <v>0</v>
      </c>
      <c r="P1047" s="3">
        <v>0</v>
      </c>
      <c r="Q1047" s="3">
        <v>0</v>
      </c>
      <c r="R1047" s="3">
        <f t="shared" si="636"/>
        <v>0</v>
      </c>
      <c r="S1047" s="3">
        <v>0</v>
      </c>
      <c r="T1047" s="5">
        <v>0</v>
      </c>
      <c r="U1047" s="3">
        <v>0</v>
      </c>
      <c r="V1047" s="6">
        <f t="shared" si="637"/>
        <v>5500</v>
      </c>
    </row>
    <row r="1048" spans="1:258" ht="21.9" customHeight="1">
      <c r="A1048" s="37" t="s">
        <v>1151</v>
      </c>
      <c r="B1048" s="8" t="s">
        <v>734</v>
      </c>
      <c r="C1048" s="2">
        <f t="shared" si="639"/>
        <v>1255650</v>
      </c>
      <c r="D1048" s="3">
        <f t="shared" si="638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5">
        <v>228.3</v>
      </c>
      <c r="N1048" s="3">
        <f t="shared" si="656"/>
        <v>1255650</v>
      </c>
      <c r="O1048" s="3">
        <v>0</v>
      </c>
      <c r="P1048" s="3">
        <v>0</v>
      </c>
      <c r="Q1048" s="3">
        <v>0</v>
      </c>
      <c r="R1048" s="3">
        <f t="shared" si="636"/>
        <v>0</v>
      </c>
      <c r="S1048" s="3">
        <v>0</v>
      </c>
      <c r="T1048" s="5">
        <v>0</v>
      </c>
      <c r="U1048" s="3">
        <v>0</v>
      </c>
      <c r="V1048" s="6">
        <f t="shared" si="637"/>
        <v>5500</v>
      </c>
    </row>
    <row r="1049" spans="1:258" ht="21.9" customHeight="1">
      <c r="A1049" s="37" t="s">
        <v>1152</v>
      </c>
      <c r="B1049" s="8" t="s">
        <v>811</v>
      </c>
      <c r="C1049" s="2">
        <f t="shared" si="639"/>
        <v>1259500</v>
      </c>
      <c r="D1049" s="3">
        <f t="shared" si="638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229</v>
      </c>
      <c r="N1049" s="3">
        <f t="shared" si="656"/>
        <v>1259500</v>
      </c>
      <c r="O1049" s="3">
        <v>0</v>
      </c>
      <c r="P1049" s="3">
        <v>0</v>
      </c>
      <c r="Q1049" s="3">
        <v>0</v>
      </c>
      <c r="R1049" s="3">
        <f t="shared" si="636"/>
        <v>0</v>
      </c>
      <c r="S1049" s="3">
        <v>0</v>
      </c>
      <c r="T1049" s="5">
        <v>0</v>
      </c>
      <c r="U1049" s="3">
        <v>0</v>
      </c>
      <c r="V1049" s="6">
        <f t="shared" si="637"/>
        <v>5500</v>
      </c>
    </row>
    <row r="1050" spans="1:258" ht="21.9" customHeight="1">
      <c r="A1050" s="37" t="s">
        <v>1153</v>
      </c>
      <c r="B1050" s="8" t="s">
        <v>812</v>
      </c>
      <c r="C1050" s="2">
        <f t="shared" si="639"/>
        <v>1589500</v>
      </c>
      <c r="D1050" s="3">
        <f t="shared" si="638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5">
        <v>289</v>
      </c>
      <c r="N1050" s="3">
        <f t="shared" si="656"/>
        <v>1589500</v>
      </c>
      <c r="O1050" s="3">
        <v>0</v>
      </c>
      <c r="P1050" s="3">
        <v>0</v>
      </c>
      <c r="Q1050" s="3">
        <v>0</v>
      </c>
      <c r="R1050" s="3">
        <f t="shared" si="636"/>
        <v>0</v>
      </c>
      <c r="S1050" s="3">
        <v>0</v>
      </c>
      <c r="T1050" s="5">
        <v>0</v>
      </c>
      <c r="U1050" s="3">
        <v>0</v>
      </c>
      <c r="V1050" s="6">
        <f t="shared" si="637"/>
        <v>5500</v>
      </c>
    </row>
    <row r="1051" spans="1:258" ht="21.9" customHeight="1">
      <c r="A1051" s="37" t="s">
        <v>1154</v>
      </c>
      <c r="B1051" s="8" t="s">
        <v>735</v>
      </c>
      <c r="C1051" s="2">
        <f t="shared" si="639"/>
        <v>2057000</v>
      </c>
      <c r="D1051" s="3">
        <f t="shared" si="638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3">
        <v>374</v>
      </c>
      <c r="N1051" s="3">
        <f t="shared" si="656"/>
        <v>2057000</v>
      </c>
      <c r="O1051" s="3">
        <v>0</v>
      </c>
      <c r="P1051" s="3">
        <v>0</v>
      </c>
      <c r="Q1051" s="3">
        <v>0</v>
      </c>
      <c r="R1051" s="3">
        <f t="shared" ref="R1051:R1100" si="657">Q1051*3000</f>
        <v>0</v>
      </c>
      <c r="S1051" s="3">
        <v>0</v>
      </c>
      <c r="T1051" s="5">
        <v>0</v>
      </c>
      <c r="U1051" s="3">
        <v>0</v>
      </c>
      <c r="V1051" s="6">
        <f t="shared" ref="V1051:V1100" si="658">N1051/M1051</f>
        <v>5500</v>
      </c>
    </row>
    <row r="1052" spans="1:258" ht="21.9" customHeight="1">
      <c r="A1052" s="37" t="s">
        <v>1155</v>
      </c>
      <c r="B1052" s="8" t="s">
        <v>813</v>
      </c>
      <c r="C1052" s="2">
        <f>D1052+L1052+N1052+P1052+R1052+S1052+T1052+U1052</f>
        <v>2931500</v>
      </c>
      <c r="D1052" s="3">
        <f>SUM(E1052:J1052)</f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5">
        <v>533</v>
      </c>
      <c r="N1052" s="3">
        <f>M1052*5500</f>
        <v>2931500</v>
      </c>
      <c r="O1052" s="3">
        <v>0</v>
      </c>
      <c r="P1052" s="3">
        <v>0</v>
      </c>
      <c r="Q1052" s="3">
        <v>0</v>
      </c>
      <c r="R1052" s="3">
        <f>Q1052*3000</f>
        <v>0</v>
      </c>
      <c r="S1052" s="3">
        <v>0</v>
      </c>
      <c r="T1052" s="5">
        <v>0</v>
      </c>
      <c r="U1052" s="3">
        <v>0</v>
      </c>
      <c r="V1052" s="6">
        <f>N1052/M1052</f>
        <v>5500</v>
      </c>
    </row>
    <row r="1053" spans="1:258" ht="21.9" customHeight="1">
      <c r="A1053" s="37" t="s">
        <v>1156</v>
      </c>
      <c r="B1053" s="8" t="s">
        <v>740</v>
      </c>
      <c r="C1053" s="2">
        <f>D1053+L1053+N1053+P1053+R1053+S1053+T1053+U1053</f>
        <v>7550400</v>
      </c>
      <c r="D1053" s="3">
        <f>SUM(E1053:J1053)</f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5">
        <v>1372.8</v>
      </c>
      <c r="N1053" s="3">
        <f>M1053*5500</f>
        <v>7550400</v>
      </c>
      <c r="O1053" s="3">
        <v>0</v>
      </c>
      <c r="P1053" s="3">
        <v>0</v>
      </c>
      <c r="Q1053" s="3">
        <v>0</v>
      </c>
      <c r="R1053" s="3">
        <f>Q1053*3000</f>
        <v>0</v>
      </c>
      <c r="S1053" s="3">
        <v>0</v>
      </c>
      <c r="T1053" s="5">
        <v>0</v>
      </c>
      <c r="U1053" s="3">
        <v>0</v>
      </c>
      <c r="V1053" s="6">
        <f>N1053/M1053</f>
        <v>5500</v>
      </c>
    </row>
    <row r="1054" spans="1:258" ht="21.9" customHeight="1">
      <c r="A1054" s="37" t="s">
        <v>1157</v>
      </c>
      <c r="B1054" s="8" t="s">
        <v>736</v>
      </c>
      <c r="C1054" s="2">
        <f t="shared" si="639"/>
        <v>3737500</v>
      </c>
      <c r="D1054" s="3">
        <f t="shared" ref="D1054:D1100" si="659">SUM(E1054:J1054)</f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5">
        <v>625</v>
      </c>
      <c r="N1054" s="3">
        <f t="shared" ref="N1054:N1063" si="660">M1054*5500</f>
        <v>3437500</v>
      </c>
      <c r="O1054" s="3">
        <v>0</v>
      </c>
      <c r="P1054" s="3">
        <v>0</v>
      </c>
      <c r="Q1054" s="3">
        <v>0</v>
      </c>
      <c r="R1054" s="3">
        <f t="shared" si="657"/>
        <v>0</v>
      </c>
      <c r="S1054" s="3">
        <v>0</v>
      </c>
      <c r="T1054" s="5">
        <v>0</v>
      </c>
      <c r="U1054" s="3">
        <v>300000</v>
      </c>
      <c r="V1054" s="6">
        <f t="shared" si="658"/>
        <v>5500</v>
      </c>
    </row>
    <row r="1055" spans="1:258" ht="21.9" customHeight="1">
      <c r="A1055" s="37" t="s">
        <v>1158</v>
      </c>
      <c r="B1055" s="8" t="s">
        <v>737</v>
      </c>
      <c r="C1055" s="2">
        <f t="shared" si="639"/>
        <v>1859000</v>
      </c>
      <c r="D1055" s="3">
        <f t="shared" si="659"/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3">
        <v>338</v>
      </c>
      <c r="N1055" s="3">
        <f t="shared" si="660"/>
        <v>1859000</v>
      </c>
      <c r="O1055" s="3">
        <v>0</v>
      </c>
      <c r="P1055" s="3">
        <v>0</v>
      </c>
      <c r="Q1055" s="3">
        <v>0</v>
      </c>
      <c r="R1055" s="3">
        <f t="shared" si="657"/>
        <v>0</v>
      </c>
      <c r="S1055" s="3">
        <v>0</v>
      </c>
      <c r="T1055" s="5">
        <v>0</v>
      </c>
      <c r="U1055" s="3">
        <v>0</v>
      </c>
      <c r="V1055" s="6">
        <f t="shared" si="658"/>
        <v>5500</v>
      </c>
    </row>
    <row r="1056" spans="1:258" ht="21.9" customHeight="1">
      <c r="A1056" s="37" t="s">
        <v>1159</v>
      </c>
      <c r="B1056" s="8" t="s">
        <v>738</v>
      </c>
      <c r="C1056" s="2">
        <f t="shared" si="639"/>
        <v>1458600</v>
      </c>
      <c r="D1056" s="3">
        <f t="shared" si="659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5">
        <v>265.2</v>
      </c>
      <c r="N1056" s="3">
        <f t="shared" si="660"/>
        <v>1458600</v>
      </c>
      <c r="O1056" s="3">
        <v>0</v>
      </c>
      <c r="P1056" s="3">
        <v>0</v>
      </c>
      <c r="Q1056" s="3">
        <v>0</v>
      </c>
      <c r="R1056" s="3">
        <f t="shared" si="657"/>
        <v>0</v>
      </c>
      <c r="S1056" s="3">
        <v>0</v>
      </c>
      <c r="T1056" s="5">
        <v>0</v>
      </c>
      <c r="U1056" s="3">
        <v>0</v>
      </c>
      <c r="V1056" s="6">
        <f t="shared" si="658"/>
        <v>5500</v>
      </c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  <c r="BU1056" s="6"/>
      <c r="BV1056" s="6"/>
      <c r="BW1056" s="6"/>
      <c r="BX1056" s="6"/>
      <c r="BY1056" s="6"/>
      <c r="BZ1056" s="6"/>
      <c r="CA1056" s="6"/>
      <c r="CB1056" s="6"/>
      <c r="CC1056" s="6"/>
      <c r="CD1056" s="6"/>
      <c r="CE1056" s="6"/>
      <c r="CF1056" s="6"/>
      <c r="CG1056" s="6"/>
      <c r="CH1056" s="6"/>
      <c r="CI1056" s="6"/>
      <c r="CJ1056" s="6"/>
      <c r="CK1056" s="6"/>
      <c r="CL1056" s="6"/>
      <c r="CM1056" s="6"/>
      <c r="CN1056" s="6"/>
      <c r="CO1056" s="6"/>
      <c r="CP1056" s="6"/>
      <c r="CQ1056" s="6"/>
      <c r="CR1056" s="6"/>
      <c r="CS1056" s="6"/>
      <c r="CT1056" s="6"/>
      <c r="CU1056" s="6"/>
      <c r="CV1056" s="6"/>
      <c r="CW1056" s="6"/>
      <c r="CX1056" s="6"/>
      <c r="CY1056" s="6"/>
      <c r="CZ1056" s="6"/>
      <c r="DA1056" s="6"/>
      <c r="DB1056" s="6"/>
      <c r="DC1056" s="6"/>
      <c r="DD1056" s="6"/>
      <c r="DE1056" s="6"/>
      <c r="DF1056" s="6"/>
      <c r="DG1056" s="6"/>
      <c r="DH1056" s="6"/>
      <c r="DI1056" s="6"/>
      <c r="DJ1056" s="6"/>
      <c r="DK1056" s="6"/>
      <c r="DL1056" s="6"/>
      <c r="DM1056" s="6"/>
      <c r="DN1056" s="6"/>
      <c r="DO1056" s="6"/>
      <c r="DP1056" s="6"/>
      <c r="DQ1056" s="6"/>
      <c r="DR1056" s="6"/>
      <c r="DS1056" s="6"/>
      <c r="DT1056" s="6"/>
      <c r="DU1056" s="6"/>
      <c r="DV1056" s="6"/>
      <c r="DW1056" s="6"/>
      <c r="DX1056" s="6"/>
      <c r="DY1056" s="6"/>
      <c r="DZ1056" s="6"/>
      <c r="EA1056" s="6"/>
      <c r="EB1056" s="6"/>
      <c r="EC1056" s="6"/>
      <c r="ED1056" s="6"/>
      <c r="EE1056" s="6"/>
      <c r="EF1056" s="6"/>
      <c r="EG1056" s="6"/>
      <c r="EH1056" s="6"/>
      <c r="EI1056" s="6"/>
      <c r="EJ1056" s="6"/>
      <c r="EK1056" s="6"/>
      <c r="EL1056" s="6"/>
      <c r="EM1056" s="6"/>
      <c r="EN1056" s="6"/>
      <c r="EO1056" s="6"/>
      <c r="EP1056" s="6"/>
      <c r="EQ1056" s="6"/>
      <c r="ER1056" s="6"/>
      <c r="ES1056" s="6"/>
      <c r="ET1056" s="6"/>
      <c r="EU1056" s="6"/>
      <c r="EV1056" s="6"/>
      <c r="EW1056" s="6"/>
      <c r="EX1056" s="6"/>
      <c r="EY1056" s="6"/>
      <c r="EZ1056" s="6"/>
      <c r="FA1056" s="6"/>
      <c r="FB1056" s="6"/>
      <c r="FC1056" s="6"/>
      <c r="FD1056" s="6"/>
      <c r="FE1056" s="6"/>
      <c r="FF1056" s="6"/>
      <c r="FG1056" s="6"/>
      <c r="FH1056" s="6"/>
      <c r="FI1056" s="6"/>
      <c r="FJ1056" s="6"/>
      <c r="FK1056" s="6"/>
      <c r="FL1056" s="6"/>
      <c r="FM1056" s="6"/>
      <c r="FN1056" s="6"/>
      <c r="FO1056" s="6"/>
      <c r="FP1056" s="6"/>
      <c r="FQ1056" s="6"/>
      <c r="FR1056" s="6"/>
      <c r="FS1056" s="6"/>
      <c r="FT1056" s="6"/>
      <c r="FU1056" s="6"/>
      <c r="FV1056" s="6"/>
      <c r="FW1056" s="6"/>
      <c r="FX1056" s="6"/>
      <c r="FY1056" s="6"/>
      <c r="FZ1056" s="6"/>
      <c r="GA1056" s="6"/>
      <c r="GB1056" s="6"/>
      <c r="GC1056" s="6"/>
      <c r="GD1056" s="6"/>
      <c r="GE1056" s="6"/>
      <c r="GF1056" s="6"/>
      <c r="GG1056" s="6"/>
      <c r="GH1056" s="6"/>
      <c r="GI1056" s="6"/>
      <c r="GJ1056" s="6"/>
      <c r="GK1056" s="6"/>
      <c r="GL1056" s="6"/>
      <c r="GM1056" s="6"/>
      <c r="GN1056" s="6"/>
      <c r="GO1056" s="6"/>
      <c r="GP1056" s="6"/>
      <c r="GQ1056" s="6"/>
      <c r="GR1056" s="6"/>
      <c r="GS1056" s="6"/>
      <c r="GT1056" s="6"/>
      <c r="GU1056" s="6"/>
      <c r="GV1056" s="6"/>
      <c r="GW1056" s="6"/>
      <c r="GX1056" s="6"/>
      <c r="GY1056" s="6"/>
      <c r="GZ1056" s="6"/>
      <c r="HA1056" s="6"/>
      <c r="HB1056" s="6"/>
      <c r="HC1056" s="6"/>
      <c r="HD1056" s="6"/>
      <c r="HE1056" s="6"/>
      <c r="HF1056" s="6"/>
      <c r="HG1056" s="6"/>
      <c r="HH1056" s="6"/>
      <c r="HI1056" s="6"/>
      <c r="HJ1056" s="6"/>
      <c r="HK1056" s="6"/>
      <c r="HL1056" s="6"/>
      <c r="HM1056" s="6"/>
      <c r="HN1056" s="6"/>
      <c r="HO1056" s="6"/>
      <c r="HP1056" s="6"/>
      <c r="HQ1056" s="6"/>
      <c r="HR1056" s="6"/>
      <c r="HS1056" s="6"/>
      <c r="HT1056" s="6"/>
      <c r="HU1056" s="6"/>
      <c r="HV1056" s="6"/>
      <c r="HW1056" s="6"/>
      <c r="HX1056" s="6"/>
      <c r="HY1056" s="6"/>
      <c r="HZ1056" s="6"/>
      <c r="IA1056" s="6"/>
      <c r="IB1056" s="6"/>
      <c r="IC1056" s="6"/>
      <c r="ID1056" s="6"/>
      <c r="IE1056" s="6"/>
      <c r="IF1056" s="6"/>
      <c r="IG1056" s="6"/>
      <c r="IH1056" s="6"/>
      <c r="II1056" s="6"/>
      <c r="IJ1056" s="6"/>
      <c r="IK1056" s="6"/>
      <c r="IL1056" s="6"/>
      <c r="IM1056" s="6"/>
      <c r="IN1056" s="6"/>
      <c r="IO1056" s="6"/>
      <c r="IP1056" s="6"/>
      <c r="IQ1056" s="6"/>
      <c r="IR1056" s="6"/>
      <c r="IS1056" s="6"/>
      <c r="IT1056" s="6"/>
      <c r="IU1056" s="6"/>
      <c r="IV1056" s="6"/>
      <c r="IW1056" s="6"/>
      <c r="IX1056" s="6"/>
    </row>
    <row r="1057" spans="1:258" ht="21.9" customHeight="1">
      <c r="A1057" s="37" t="s">
        <v>1160</v>
      </c>
      <c r="B1057" s="8" t="s">
        <v>739</v>
      </c>
      <c r="C1057" s="2">
        <f t="shared" ref="C1057:C1122" si="661">D1057+L1057+N1057+P1057+R1057+S1057+T1057+U1057</f>
        <v>1456400</v>
      </c>
      <c r="D1057" s="3">
        <f t="shared" si="659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5">
        <v>264.8</v>
      </c>
      <c r="N1057" s="3">
        <f t="shared" si="660"/>
        <v>1456400</v>
      </c>
      <c r="O1057" s="3">
        <v>0</v>
      </c>
      <c r="P1057" s="3">
        <v>0</v>
      </c>
      <c r="Q1057" s="3">
        <v>0</v>
      </c>
      <c r="R1057" s="3">
        <f t="shared" si="657"/>
        <v>0</v>
      </c>
      <c r="S1057" s="3">
        <v>0</v>
      </c>
      <c r="T1057" s="5">
        <v>0</v>
      </c>
      <c r="U1057" s="3">
        <v>0</v>
      </c>
      <c r="V1057" s="6">
        <f t="shared" si="658"/>
        <v>5500</v>
      </c>
    </row>
    <row r="1058" spans="1:258" ht="21.9" customHeight="1">
      <c r="A1058" s="37" t="s">
        <v>1161</v>
      </c>
      <c r="B1058" s="8" t="s">
        <v>814</v>
      </c>
      <c r="C1058" s="2">
        <f t="shared" si="661"/>
        <v>2137000</v>
      </c>
      <c r="D1058" s="3">
        <f t="shared" si="659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3">
        <v>334</v>
      </c>
      <c r="N1058" s="3">
        <f t="shared" si="660"/>
        <v>1837000</v>
      </c>
      <c r="O1058" s="3">
        <v>0</v>
      </c>
      <c r="P1058" s="3">
        <v>0</v>
      </c>
      <c r="Q1058" s="3">
        <v>0</v>
      </c>
      <c r="R1058" s="3">
        <f t="shared" si="657"/>
        <v>0</v>
      </c>
      <c r="S1058" s="3">
        <v>0</v>
      </c>
      <c r="T1058" s="5">
        <v>0</v>
      </c>
      <c r="U1058" s="3">
        <v>300000</v>
      </c>
      <c r="V1058" s="6">
        <f t="shared" si="658"/>
        <v>5500</v>
      </c>
    </row>
    <row r="1059" spans="1:258" ht="21.9" customHeight="1">
      <c r="A1059" s="37" t="s">
        <v>1162</v>
      </c>
      <c r="B1059" s="8" t="s">
        <v>643</v>
      </c>
      <c r="C1059" s="2">
        <f t="shared" si="661"/>
        <v>2783000</v>
      </c>
      <c r="D1059" s="3">
        <f t="shared" ref="D1059" si="662">SUM(E1059:J1059)</f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11">
        <v>0</v>
      </c>
      <c r="L1059" s="5">
        <v>0</v>
      </c>
      <c r="M1059" s="5">
        <v>506</v>
      </c>
      <c r="N1059" s="3">
        <f t="shared" si="660"/>
        <v>2783000</v>
      </c>
      <c r="O1059" s="5">
        <v>0</v>
      </c>
      <c r="P1059" s="5">
        <v>0</v>
      </c>
      <c r="Q1059" s="5">
        <v>0</v>
      </c>
      <c r="R1059" s="3">
        <f t="shared" si="657"/>
        <v>0</v>
      </c>
      <c r="S1059" s="5">
        <v>0</v>
      </c>
      <c r="T1059" s="5">
        <v>0</v>
      </c>
      <c r="U1059" s="5">
        <v>0</v>
      </c>
      <c r="V1059" s="6">
        <f t="shared" si="658"/>
        <v>5500</v>
      </c>
    </row>
    <row r="1060" spans="1:258" ht="21.9" customHeight="1">
      <c r="A1060" s="37" t="s">
        <v>1163</v>
      </c>
      <c r="B1060" s="23" t="s">
        <v>741</v>
      </c>
      <c r="C1060" s="2">
        <f t="shared" si="661"/>
        <v>8041000</v>
      </c>
      <c r="D1060" s="3">
        <f t="shared" si="659"/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4">
        <v>0</v>
      </c>
      <c r="L1060" s="3">
        <v>0</v>
      </c>
      <c r="M1060" s="3">
        <v>1462</v>
      </c>
      <c r="N1060" s="3">
        <f t="shared" si="660"/>
        <v>8041000</v>
      </c>
      <c r="O1060" s="3">
        <v>0</v>
      </c>
      <c r="P1060" s="3">
        <v>0</v>
      </c>
      <c r="Q1060" s="3">
        <v>0</v>
      </c>
      <c r="R1060" s="3">
        <f t="shared" si="657"/>
        <v>0</v>
      </c>
      <c r="S1060" s="3">
        <v>0</v>
      </c>
      <c r="T1060" s="5">
        <v>0</v>
      </c>
      <c r="U1060" s="3">
        <v>0</v>
      </c>
      <c r="V1060" s="6">
        <f t="shared" si="658"/>
        <v>5500</v>
      </c>
    </row>
    <row r="1061" spans="1:258" ht="21.9" customHeight="1">
      <c r="A1061" s="37" t="s">
        <v>1164</v>
      </c>
      <c r="B1061" s="23" t="s">
        <v>743</v>
      </c>
      <c r="C1061" s="2">
        <f>D1061+L1061+N1061+P1061+R1061+S1061+T1061+U1061</f>
        <v>5742000</v>
      </c>
      <c r="D1061" s="3">
        <f>SUM(E1061:J1061)</f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4">
        <v>0</v>
      </c>
      <c r="L1061" s="3">
        <v>0</v>
      </c>
      <c r="M1061" s="3">
        <v>1044</v>
      </c>
      <c r="N1061" s="3">
        <f>M1061*5500</f>
        <v>5742000</v>
      </c>
      <c r="O1061" s="3">
        <v>0</v>
      </c>
      <c r="P1061" s="3">
        <v>0</v>
      </c>
      <c r="Q1061" s="3">
        <v>0</v>
      </c>
      <c r="R1061" s="3">
        <f>Q1061*3000</f>
        <v>0</v>
      </c>
      <c r="S1061" s="3">
        <v>0</v>
      </c>
      <c r="T1061" s="5">
        <v>0</v>
      </c>
      <c r="U1061" s="3">
        <v>0</v>
      </c>
      <c r="V1061" s="6">
        <f>N1061/M1061</f>
        <v>5500</v>
      </c>
    </row>
    <row r="1062" spans="1:258" ht="21.9" customHeight="1">
      <c r="A1062" s="37" t="s">
        <v>1165</v>
      </c>
      <c r="B1062" s="23" t="s">
        <v>744</v>
      </c>
      <c r="C1062" s="2">
        <f>D1062+L1062+N1062+P1062+R1062+S1062+T1062+U1062</f>
        <v>5703500</v>
      </c>
      <c r="D1062" s="3">
        <f>SUM(E1062:J1062)</f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3">
        <v>1037</v>
      </c>
      <c r="N1062" s="3">
        <f>M1062*5500</f>
        <v>5703500</v>
      </c>
      <c r="O1062" s="3">
        <v>0</v>
      </c>
      <c r="P1062" s="3">
        <v>0</v>
      </c>
      <c r="Q1062" s="3">
        <v>0</v>
      </c>
      <c r="R1062" s="3">
        <f>Q1062*3000</f>
        <v>0</v>
      </c>
      <c r="S1062" s="3">
        <v>0</v>
      </c>
      <c r="T1062" s="5">
        <v>0</v>
      </c>
      <c r="U1062" s="3">
        <v>0</v>
      </c>
      <c r="V1062" s="6">
        <f>N1062/M1062</f>
        <v>5500</v>
      </c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  <c r="AV1062" s="17"/>
      <c r="AW1062" s="17"/>
      <c r="AX1062" s="17"/>
      <c r="AY1062" s="17"/>
      <c r="AZ1062" s="17"/>
      <c r="BA1062" s="17"/>
      <c r="BB1062" s="17"/>
      <c r="BC1062" s="17"/>
      <c r="BD1062" s="17"/>
      <c r="BE1062" s="17"/>
      <c r="BF1062" s="17"/>
      <c r="BG1062" s="17"/>
      <c r="BH1062" s="17"/>
      <c r="BI1062" s="17"/>
      <c r="BJ1062" s="17"/>
      <c r="BK1062" s="17"/>
      <c r="BL1062" s="17"/>
      <c r="BM1062" s="17"/>
      <c r="BN1062" s="17"/>
      <c r="BO1062" s="17"/>
      <c r="BP1062" s="17"/>
      <c r="BQ1062" s="17"/>
      <c r="BR1062" s="17"/>
      <c r="BS1062" s="17"/>
      <c r="BT1062" s="17"/>
      <c r="BU1062" s="17"/>
      <c r="BV1062" s="17"/>
      <c r="BW1062" s="17"/>
      <c r="BX1062" s="17"/>
      <c r="BY1062" s="17"/>
      <c r="BZ1062" s="17"/>
      <c r="CA1062" s="17"/>
      <c r="CB1062" s="17"/>
      <c r="CC1062" s="17"/>
      <c r="CD1062" s="17"/>
      <c r="CE1062" s="17"/>
      <c r="CF1062" s="17"/>
      <c r="CG1062" s="17"/>
      <c r="CH1062" s="17"/>
      <c r="CI1062" s="17"/>
      <c r="CJ1062" s="17"/>
      <c r="CK1062" s="17"/>
      <c r="CL1062" s="17"/>
      <c r="CM1062" s="17"/>
      <c r="CN1062" s="17"/>
      <c r="CO1062" s="17"/>
      <c r="CP1062" s="17"/>
      <c r="CQ1062" s="17"/>
      <c r="CR1062" s="17"/>
      <c r="CS1062" s="17"/>
      <c r="CT1062" s="17"/>
      <c r="CU1062" s="17"/>
      <c r="CV1062" s="17"/>
      <c r="CW1062" s="17"/>
      <c r="CX1062" s="17"/>
      <c r="CY1062" s="17"/>
      <c r="CZ1062" s="17"/>
      <c r="DA1062" s="17"/>
      <c r="DB1062" s="17"/>
      <c r="DC1062" s="17"/>
      <c r="DD1062" s="17"/>
      <c r="DE1062" s="17"/>
      <c r="DF1062" s="17"/>
      <c r="DG1062" s="17"/>
      <c r="DH1062" s="17"/>
      <c r="DI1062" s="17"/>
      <c r="DJ1062" s="17"/>
      <c r="DK1062" s="17"/>
      <c r="DL1062" s="17"/>
      <c r="DM1062" s="17"/>
      <c r="DN1062" s="17"/>
      <c r="DO1062" s="17"/>
      <c r="DP1062" s="17"/>
      <c r="DQ1062" s="17"/>
      <c r="DR1062" s="17"/>
      <c r="DS1062" s="17"/>
      <c r="DT1062" s="17"/>
      <c r="DU1062" s="17"/>
      <c r="DV1062" s="17"/>
      <c r="DW1062" s="17"/>
      <c r="DX1062" s="17"/>
      <c r="DY1062" s="17"/>
      <c r="DZ1062" s="17"/>
      <c r="EA1062" s="17"/>
      <c r="EB1062" s="17"/>
      <c r="EC1062" s="17"/>
      <c r="ED1062" s="17"/>
      <c r="EE1062" s="17"/>
      <c r="EF1062" s="17"/>
      <c r="EG1062" s="17"/>
      <c r="EH1062" s="17"/>
      <c r="EI1062" s="17"/>
      <c r="EJ1062" s="17"/>
      <c r="EK1062" s="17"/>
      <c r="EL1062" s="17"/>
      <c r="EM1062" s="17"/>
      <c r="EN1062" s="17"/>
      <c r="EO1062" s="17"/>
      <c r="EP1062" s="17"/>
      <c r="EQ1062" s="17"/>
      <c r="ER1062" s="17"/>
      <c r="ES1062" s="17"/>
      <c r="ET1062" s="17"/>
      <c r="EU1062" s="17"/>
      <c r="EV1062" s="17"/>
      <c r="EW1062" s="17"/>
      <c r="EX1062" s="17"/>
      <c r="EY1062" s="17"/>
      <c r="EZ1062" s="17"/>
      <c r="FA1062" s="17"/>
      <c r="FB1062" s="17"/>
      <c r="FC1062" s="17"/>
      <c r="FD1062" s="17"/>
      <c r="FE1062" s="17"/>
      <c r="FF1062" s="17"/>
      <c r="FG1062" s="17"/>
      <c r="FH1062" s="17"/>
      <c r="FI1062" s="17"/>
      <c r="FJ1062" s="17"/>
      <c r="FK1062" s="17"/>
      <c r="FL1062" s="17"/>
      <c r="FM1062" s="17"/>
      <c r="FN1062" s="17"/>
      <c r="FO1062" s="17"/>
      <c r="FP1062" s="17"/>
      <c r="FQ1062" s="17"/>
      <c r="FR1062" s="17"/>
      <c r="FS1062" s="17"/>
      <c r="FT1062" s="17"/>
      <c r="FU1062" s="17"/>
      <c r="FV1062" s="17"/>
      <c r="FW1062" s="17"/>
      <c r="FX1062" s="17"/>
      <c r="FY1062" s="17"/>
      <c r="FZ1062" s="17"/>
      <c r="GA1062" s="17"/>
      <c r="GB1062" s="17"/>
      <c r="GC1062" s="17"/>
      <c r="GD1062" s="17"/>
      <c r="GE1062" s="17"/>
      <c r="GF1062" s="17"/>
      <c r="GG1062" s="17"/>
      <c r="GH1062" s="17"/>
      <c r="GI1062" s="17"/>
      <c r="GJ1062" s="17"/>
      <c r="GK1062" s="17"/>
      <c r="GL1062" s="17"/>
      <c r="GM1062" s="17"/>
      <c r="GN1062" s="17"/>
      <c r="GO1062" s="17"/>
      <c r="GP1062" s="17"/>
      <c r="GQ1062" s="17"/>
      <c r="GR1062" s="17"/>
      <c r="GS1062" s="17"/>
      <c r="GT1062" s="17"/>
      <c r="GU1062" s="17"/>
      <c r="GV1062" s="17"/>
      <c r="GW1062" s="17"/>
      <c r="GX1062" s="17"/>
      <c r="GY1062" s="17"/>
      <c r="GZ1062" s="17"/>
      <c r="HA1062" s="17"/>
      <c r="HB1062" s="17"/>
      <c r="HC1062" s="17"/>
      <c r="HD1062" s="17"/>
      <c r="HE1062" s="17"/>
      <c r="HF1062" s="17"/>
      <c r="HG1062" s="17"/>
      <c r="HH1062" s="17"/>
      <c r="HI1062" s="17"/>
      <c r="HJ1062" s="17"/>
      <c r="HK1062" s="17"/>
      <c r="HL1062" s="17"/>
      <c r="HM1062" s="17"/>
      <c r="HN1062" s="17"/>
      <c r="HO1062" s="17"/>
      <c r="HP1062" s="17"/>
      <c r="HQ1062" s="17"/>
      <c r="HR1062" s="17"/>
      <c r="HS1062" s="17"/>
      <c r="HT1062" s="17"/>
      <c r="HU1062" s="17"/>
      <c r="HV1062" s="17"/>
      <c r="HW1062" s="17"/>
      <c r="HX1062" s="17"/>
      <c r="HY1062" s="17"/>
      <c r="HZ1062" s="17"/>
      <c r="IA1062" s="17"/>
      <c r="IB1062" s="17"/>
      <c r="IC1062" s="17"/>
      <c r="ID1062" s="17"/>
      <c r="IE1062" s="17"/>
      <c r="IF1062" s="17"/>
      <c r="IG1062" s="17"/>
      <c r="IH1062" s="17"/>
      <c r="II1062" s="17"/>
      <c r="IJ1062" s="17"/>
      <c r="IK1062" s="17"/>
      <c r="IL1062" s="17"/>
      <c r="IM1062" s="17"/>
      <c r="IN1062" s="17"/>
      <c r="IO1062" s="17"/>
      <c r="IP1062" s="17"/>
      <c r="IQ1062" s="17"/>
      <c r="IR1062" s="17"/>
      <c r="IS1062" s="17"/>
      <c r="IT1062" s="17"/>
      <c r="IU1062" s="17"/>
      <c r="IV1062" s="17"/>
      <c r="IW1062" s="17"/>
      <c r="IX1062" s="17"/>
    </row>
    <row r="1063" spans="1:258" ht="21.9" customHeight="1">
      <c r="A1063" s="37" t="s">
        <v>1166</v>
      </c>
      <c r="B1063" s="23" t="s">
        <v>742</v>
      </c>
      <c r="C1063" s="2">
        <f t="shared" si="661"/>
        <v>5698000</v>
      </c>
      <c r="D1063" s="3">
        <f t="shared" si="659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1036</v>
      </c>
      <c r="N1063" s="3">
        <f t="shared" si="660"/>
        <v>5698000</v>
      </c>
      <c r="O1063" s="3">
        <v>0</v>
      </c>
      <c r="P1063" s="3">
        <v>0</v>
      </c>
      <c r="Q1063" s="3">
        <v>0</v>
      </c>
      <c r="R1063" s="3">
        <f t="shared" si="657"/>
        <v>0</v>
      </c>
      <c r="S1063" s="3">
        <v>0</v>
      </c>
      <c r="T1063" s="5">
        <v>0</v>
      </c>
      <c r="U1063" s="3">
        <v>0</v>
      </c>
      <c r="V1063" s="6">
        <f t="shared" si="658"/>
        <v>5500</v>
      </c>
    </row>
    <row r="1064" spans="1:258" ht="21.9" customHeight="1">
      <c r="A1064" s="37" t="s">
        <v>1167</v>
      </c>
      <c r="B1064" s="8" t="s">
        <v>745</v>
      </c>
      <c r="C1064" s="2">
        <f t="shared" si="661"/>
        <v>2670688.5</v>
      </c>
      <c r="D1064" s="3">
        <f t="shared" si="659"/>
        <v>2570688.5</v>
      </c>
      <c r="E1064" s="3">
        <f>350*1093.91</f>
        <v>382868.5</v>
      </c>
      <c r="F1064" s="3">
        <f>1050*1093.91</f>
        <v>1148605.5</v>
      </c>
      <c r="G1064" s="3">
        <f>300*1093.91</f>
        <v>328173</v>
      </c>
      <c r="H1064" s="3">
        <f>400*1093.91</f>
        <v>437564.00000000006</v>
      </c>
      <c r="I1064" s="3">
        <f>250*1093.91</f>
        <v>273477.5</v>
      </c>
      <c r="J1064" s="3">
        <v>0</v>
      </c>
      <c r="K1064" s="4">
        <v>0</v>
      </c>
      <c r="L1064" s="3">
        <v>0</v>
      </c>
      <c r="M1064" s="5">
        <v>0</v>
      </c>
      <c r="N1064" s="5">
        <v>0</v>
      </c>
      <c r="O1064" s="3">
        <v>0</v>
      </c>
      <c r="P1064" s="3">
        <v>0</v>
      </c>
      <c r="Q1064" s="3">
        <v>0</v>
      </c>
      <c r="R1064" s="3">
        <f t="shared" si="657"/>
        <v>0</v>
      </c>
      <c r="S1064" s="3">
        <v>0</v>
      </c>
      <c r="T1064" s="5">
        <v>0</v>
      </c>
      <c r="U1064" s="3">
        <v>100000</v>
      </c>
      <c r="V1064" s="6" t="e">
        <f t="shared" si="658"/>
        <v>#DIV/0!</v>
      </c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  <c r="BU1064" s="6"/>
      <c r="BV1064" s="6"/>
      <c r="BW1064" s="6"/>
      <c r="BX1064" s="6"/>
      <c r="BY1064" s="6"/>
      <c r="BZ1064" s="6"/>
      <c r="CA1064" s="6"/>
      <c r="CB1064" s="6"/>
      <c r="CC1064" s="6"/>
      <c r="CD1064" s="6"/>
      <c r="CE1064" s="6"/>
      <c r="CF1064" s="6"/>
      <c r="CG1064" s="6"/>
      <c r="CH1064" s="6"/>
      <c r="CI1064" s="6"/>
      <c r="CJ1064" s="6"/>
      <c r="CK1064" s="6"/>
      <c r="CL1064" s="6"/>
      <c r="CM1064" s="6"/>
      <c r="CN1064" s="6"/>
      <c r="CO1064" s="6"/>
      <c r="CP1064" s="6"/>
      <c r="CQ1064" s="6"/>
      <c r="CR1064" s="6"/>
      <c r="CS1064" s="6"/>
      <c r="CT1064" s="6"/>
      <c r="CU1064" s="6"/>
      <c r="CV1064" s="6"/>
      <c r="CW1064" s="6"/>
      <c r="CX1064" s="6"/>
      <c r="CY1064" s="6"/>
      <c r="CZ1064" s="6"/>
      <c r="DA1064" s="6"/>
      <c r="DB1064" s="6"/>
      <c r="DC1064" s="6"/>
      <c r="DD1064" s="6"/>
      <c r="DE1064" s="6"/>
      <c r="DF1064" s="6"/>
      <c r="DG1064" s="6"/>
      <c r="DH1064" s="6"/>
      <c r="DI1064" s="6"/>
      <c r="DJ1064" s="6"/>
      <c r="DK1064" s="6"/>
      <c r="DL1064" s="6"/>
      <c r="DM1064" s="6"/>
      <c r="DN1064" s="6"/>
      <c r="DO1064" s="6"/>
      <c r="DP1064" s="6"/>
      <c r="DQ1064" s="6"/>
      <c r="DR1064" s="6"/>
      <c r="DS1064" s="6"/>
      <c r="DT1064" s="6"/>
      <c r="DU1064" s="6"/>
      <c r="DV1064" s="6"/>
      <c r="DW1064" s="6"/>
      <c r="DX1064" s="6"/>
      <c r="DY1064" s="6"/>
      <c r="DZ1064" s="6"/>
      <c r="EA1064" s="6"/>
      <c r="EB1064" s="6"/>
      <c r="EC1064" s="6"/>
      <c r="ED1064" s="6"/>
      <c r="EE1064" s="6"/>
      <c r="EF1064" s="6"/>
      <c r="EG1064" s="6"/>
      <c r="EH1064" s="6"/>
      <c r="EI1064" s="6"/>
      <c r="EJ1064" s="6"/>
      <c r="EK1064" s="6"/>
      <c r="EL1064" s="6"/>
      <c r="EM1064" s="6"/>
      <c r="EN1064" s="6"/>
      <c r="EO1064" s="6"/>
      <c r="EP1064" s="6"/>
      <c r="EQ1064" s="6"/>
      <c r="ER1064" s="6"/>
      <c r="ES1064" s="6"/>
      <c r="ET1064" s="6"/>
      <c r="EU1064" s="6"/>
      <c r="EV1064" s="6"/>
      <c r="EW1064" s="6"/>
      <c r="EX1064" s="6"/>
      <c r="EY1064" s="6"/>
      <c r="EZ1064" s="6"/>
      <c r="FA1064" s="6"/>
      <c r="FB1064" s="6"/>
      <c r="FC1064" s="6"/>
      <c r="FD1064" s="6"/>
      <c r="FE1064" s="6"/>
      <c r="FF1064" s="6"/>
      <c r="FG1064" s="6"/>
      <c r="FH1064" s="6"/>
      <c r="FI1064" s="6"/>
      <c r="FJ1064" s="6"/>
      <c r="FK1064" s="6"/>
      <c r="FL1064" s="6"/>
      <c r="FM1064" s="6"/>
      <c r="FN1064" s="6"/>
      <c r="FO1064" s="6"/>
      <c r="FP1064" s="6"/>
      <c r="FQ1064" s="6"/>
      <c r="FR1064" s="6"/>
      <c r="FS1064" s="6"/>
      <c r="FT1064" s="6"/>
      <c r="FU1064" s="6"/>
      <c r="FV1064" s="6"/>
      <c r="FW1064" s="6"/>
      <c r="FX1064" s="6"/>
      <c r="FY1064" s="6"/>
      <c r="FZ1064" s="6"/>
      <c r="GA1064" s="6"/>
      <c r="GB1064" s="6"/>
      <c r="GC1064" s="6"/>
      <c r="GD1064" s="6"/>
      <c r="GE1064" s="6"/>
      <c r="GF1064" s="6"/>
      <c r="GG1064" s="6"/>
      <c r="GH1064" s="6"/>
      <c r="GI1064" s="6"/>
      <c r="GJ1064" s="6"/>
      <c r="GK1064" s="6"/>
      <c r="GL1064" s="6"/>
      <c r="GM1064" s="6"/>
      <c r="GN1064" s="6"/>
      <c r="GO1064" s="6"/>
      <c r="GP1064" s="6"/>
      <c r="GQ1064" s="6"/>
      <c r="GR1064" s="6"/>
      <c r="GS1064" s="6"/>
      <c r="GT1064" s="6"/>
      <c r="GU1064" s="6"/>
      <c r="GV1064" s="6"/>
      <c r="GW1064" s="6"/>
      <c r="GX1064" s="6"/>
      <c r="GY1064" s="6"/>
      <c r="GZ1064" s="6"/>
      <c r="HA1064" s="6"/>
      <c r="HB1064" s="6"/>
      <c r="HC1064" s="6"/>
      <c r="HD1064" s="6"/>
      <c r="HE1064" s="6"/>
      <c r="HF1064" s="6"/>
      <c r="HG1064" s="6"/>
      <c r="HH1064" s="6"/>
      <c r="HI1064" s="6"/>
      <c r="HJ1064" s="6"/>
      <c r="HK1064" s="6"/>
      <c r="HL1064" s="6"/>
      <c r="HM1064" s="6"/>
      <c r="HN1064" s="6"/>
      <c r="HO1064" s="6"/>
      <c r="HP1064" s="6"/>
      <c r="HQ1064" s="6"/>
      <c r="HR1064" s="6"/>
      <c r="HS1064" s="6"/>
      <c r="HT1064" s="6"/>
      <c r="HU1064" s="6"/>
      <c r="HV1064" s="6"/>
      <c r="HW1064" s="6"/>
      <c r="HX1064" s="6"/>
      <c r="HY1064" s="6"/>
      <c r="HZ1064" s="6"/>
      <c r="IA1064" s="6"/>
      <c r="IB1064" s="6"/>
      <c r="IC1064" s="6"/>
      <c r="ID1064" s="6"/>
      <c r="IE1064" s="6"/>
      <c r="IF1064" s="6"/>
      <c r="IG1064" s="6"/>
      <c r="IH1064" s="6"/>
      <c r="II1064" s="6"/>
      <c r="IJ1064" s="6"/>
      <c r="IK1064" s="6"/>
      <c r="IL1064" s="6"/>
      <c r="IM1064" s="6"/>
      <c r="IN1064" s="6"/>
      <c r="IO1064" s="6"/>
      <c r="IP1064" s="6"/>
      <c r="IQ1064" s="6"/>
      <c r="IR1064" s="6"/>
      <c r="IS1064" s="6"/>
      <c r="IT1064" s="6"/>
      <c r="IU1064" s="6"/>
      <c r="IV1064" s="6"/>
      <c r="IW1064" s="6"/>
      <c r="IX1064" s="6"/>
    </row>
    <row r="1065" spans="1:258" ht="21.9" customHeight="1">
      <c r="A1065" s="37" t="s">
        <v>1168</v>
      </c>
      <c r="B1065" s="8" t="s">
        <v>746</v>
      </c>
      <c r="C1065" s="2">
        <f t="shared" si="661"/>
        <v>2738450</v>
      </c>
      <c r="D1065" s="3">
        <f t="shared" si="659"/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4">
        <v>0</v>
      </c>
      <c r="L1065" s="3">
        <v>0</v>
      </c>
      <c r="M1065" s="3">
        <v>497.9</v>
      </c>
      <c r="N1065" s="3">
        <f t="shared" ref="N1065:N1073" si="663">M1065*5500</f>
        <v>2738450</v>
      </c>
      <c r="O1065" s="3">
        <v>0</v>
      </c>
      <c r="P1065" s="3">
        <v>0</v>
      </c>
      <c r="Q1065" s="3">
        <v>0</v>
      </c>
      <c r="R1065" s="3">
        <f t="shared" si="657"/>
        <v>0</v>
      </c>
      <c r="S1065" s="3">
        <v>0</v>
      </c>
      <c r="T1065" s="5">
        <v>0</v>
      </c>
      <c r="U1065" s="3">
        <v>0</v>
      </c>
      <c r="V1065" s="6">
        <f t="shared" si="658"/>
        <v>5500</v>
      </c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7"/>
      <c r="AW1065" s="17"/>
      <c r="AX1065" s="17"/>
      <c r="AY1065" s="17"/>
      <c r="AZ1065" s="17"/>
      <c r="BA1065" s="17"/>
      <c r="BB1065" s="17"/>
      <c r="BC1065" s="17"/>
      <c r="BD1065" s="17"/>
      <c r="BE1065" s="17"/>
      <c r="BF1065" s="17"/>
      <c r="BG1065" s="17"/>
      <c r="BH1065" s="17"/>
      <c r="BI1065" s="17"/>
      <c r="BJ1065" s="17"/>
      <c r="BK1065" s="17"/>
      <c r="BL1065" s="17"/>
      <c r="BM1065" s="17"/>
      <c r="BN1065" s="17"/>
      <c r="BO1065" s="17"/>
      <c r="BP1065" s="17"/>
      <c r="BQ1065" s="17"/>
      <c r="BR1065" s="17"/>
      <c r="BS1065" s="17"/>
      <c r="BT1065" s="17"/>
      <c r="BU1065" s="17"/>
      <c r="BV1065" s="17"/>
      <c r="BW1065" s="17"/>
      <c r="BX1065" s="17"/>
      <c r="BY1065" s="17"/>
      <c r="BZ1065" s="17"/>
      <c r="CA1065" s="17"/>
      <c r="CB1065" s="17"/>
      <c r="CC1065" s="17"/>
      <c r="CD1065" s="17"/>
      <c r="CE1065" s="17"/>
      <c r="CF1065" s="17"/>
      <c r="CG1065" s="17"/>
      <c r="CH1065" s="17"/>
      <c r="CI1065" s="17"/>
      <c r="CJ1065" s="17"/>
      <c r="CK1065" s="17"/>
      <c r="CL1065" s="17"/>
      <c r="CM1065" s="17"/>
      <c r="CN1065" s="17"/>
      <c r="CO1065" s="17"/>
      <c r="CP1065" s="17"/>
      <c r="CQ1065" s="17"/>
      <c r="CR1065" s="17"/>
      <c r="CS1065" s="17"/>
      <c r="CT1065" s="17"/>
      <c r="CU1065" s="17"/>
      <c r="CV1065" s="17"/>
      <c r="CW1065" s="17"/>
      <c r="CX1065" s="17"/>
      <c r="CY1065" s="17"/>
      <c r="CZ1065" s="17"/>
      <c r="DA1065" s="17"/>
      <c r="DB1065" s="17"/>
      <c r="DC1065" s="17"/>
      <c r="DD1065" s="17"/>
      <c r="DE1065" s="17"/>
      <c r="DF1065" s="17"/>
      <c r="DG1065" s="17"/>
      <c r="DH1065" s="17"/>
      <c r="DI1065" s="17"/>
      <c r="DJ1065" s="17"/>
      <c r="DK1065" s="17"/>
      <c r="DL1065" s="17"/>
      <c r="DM1065" s="17"/>
      <c r="DN1065" s="17"/>
      <c r="DO1065" s="17"/>
      <c r="DP1065" s="17"/>
      <c r="DQ1065" s="17"/>
      <c r="DR1065" s="17"/>
      <c r="DS1065" s="17"/>
      <c r="DT1065" s="17"/>
      <c r="DU1065" s="17"/>
      <c r="DV1065" s="17"/>
      <c r="DW1065" s="17"/>
      <c r="DX1065" s="17"/>
      <c r="DY1065" s="17"/>
      <c r="DZ1065" s="17"/>
      <c r="EA1065" s="17"/>
      <c r="EB1065" s="17"/>
      <c r="EC1065" s="17"/>
      <c r="ED1065" s="17"/>
      <c r="EE1065" s="17"/>
      <c r="EF1065" s="17"/>
      <c r="EG1065" s="17"/>
      <c r="EH1065" s="17"/>
      <c r="EI1065" s="17"/>
      <c r="EJ1065" s="17"/>
      <c r="EK1065" s="17"/>
      <c r="EL1065" s="17"/>
      <c r="EM1065" s="17"/>
      <c r="EN1065" s="17"/>
      <c r="EO1065" s="17"/>
      <c r="EP1065" s="17"/>
      <c r="EQ1065" s="17"/>
      <c r="ER1065" s="17"/>
      <c r="ES1065" s="17"/>
      <c r="ET1065" s="17"/>
      <c r="EU1065" s="17"/>
      <c r="EV1065" s="17"/>
      <c r="EW1065" s="17"/>
      <c r="EX1065" s="17"/>
      <c r="EY1065" s="17"/>
      <c r="EZ1065" s="17"/>
      <c r="FA1065" s="17"/>
      <c r="FB1065" s="17"/>
      <c r="FC1065" s="17"/>
      <c r="FD1065" s="17"/>
      <c r="FE1065" s="17"/>
      <c r="FF1065" s="17"/>
      <c r="FG1065" s="17"/>
      <c r="FH1065" s="17"/>
      <c r="FI1065" s="17"/>
      <c r="FJ1065" s="17"/>
      <c r="FK1065" s="17"/>
      <c r="FL1065" s="17"/>
      <c r="FM1065" s="17"/>
      <c r="FN1065" s="17"/>
      <c r="FO1065" s="17"/>
      <c r="FP1065" s="17"/>
      <c r="FQ1065" s="17"/>
      <c r="FR1065" s="17"/>
      <c r="FS1065" s="17"/>
      <c r="FT1065" s="17"/>
      <c r="FU1065" s="17"/>
      <c r="FV1065" s="17"/>
      <c r="FW1065" s="17"/>
      <c r="FX1065" s="17"/>
      <c r="FY1065" s="17"/>
      <c r="FZ1065" s="17"/>
      <c r="GA1065" s="17"/>
      <c r="GB1065" s="17"/>
      <c r="GC1065" s="17"/>
      <c r="GD1065" s="17"/>
      <c r="GE1065" s="17"/>
      <c r="GF1065" s="17"/>
      <c r="GG1065" s="17"/>
      <c r="GH1065" s="17"/>
      <c r="GI1065" s="17"/>
      <c r="GJ1065" s="17"/>
      <c r="GK1065" s="17"/>
      <c r="GL1065" s="17"/>
      <c r="GM1065" s="17"/>
      <c r="GN1065" s="17"/>
      <c r="GO1065" s="17"/>
      <c r="GP1065" s="17"/>
      <c r="GQ1065" s="17"/>
      <c r="GR1065" s="17"/>
      <c r="GS1065" s="17"/>
      <c r="GT1065" s="17"/>
      <c r="GU1065" s="17"/>
      <c r="GV1065" s="17"/>
      <c r="GW1065" s="17"/>
      <c r="GX1065" s="17"/>
      <c r="GY1065" s="17"/>
      <c r="GZ1065" s="17"/>
      <c r="HA1065" s="17"/>
      <c r="HB1065" s="17"/>
      <c r="HC1065" s="17"/>
      <c r="HD1065" s="17"/>
      <c r="HE1065" s="17"/>
      <c r="HF1065" s="17"/>
      <c r="HG1065" s="17"/>
      <c r="HH1065" s="17"/>
      <c r="HI1065" s="17"/>
      <c r="HJ1065" s="17"/>
      <c r="HK1065" s="17"/>
      <c r="HL1065" s="17"/>
      <c r="HM1065" s="17"/>
      <c r="HN1065" s="17"/>
      <c r="HO1065" s="17"/>
      <c r="HP1065" s="17"/>
      <c r="HQ1065" s="17"/>
      <c r="HR1065" s="17"/>
      <c r="HS1065" s="17"/>
      <c r="HT1065" s="17"/>
      <c r="HU1065" s="17"/>
      <c r="HV1065" s="17"/>
      <c r="HW1065" s="17"/>
      <c r="HX1065" s="17"/>
      <c r="HY1065" s="17"/>
      <c r="HZ1065" s="17"/>
      <c r="IA1065" s="17"/>
      <c r="IB1065" s="17"/>
      <c r="IC1065" s="17"/>
      <c r="ID1065" s="17"/>
      <c r="IE1065" s="17"/>
      <c r="IF1065" s="17"/>
      <c r="IG1065" s="17"/>
      <c r="IH1065" s="17"/>
      <c r="II1065" s="17"/>
      <c r="IJ1065" s="17"/>
      <c r="IK1065" s="17"/>
      <c r="IL1065" s="17"/>
      <c r="IM1065" s="17"/>
      <c r="IN1065" s="17"/>
      <c r="IO1065" s="17"/>
      <c r="IP1065" s="17"/>
      <c r="IQ1065" s="17"/>
      <c r="IR1065" s="17"/>
      <c r="IS1065" s="17"/>
      <c r="IT1065" s="17"/>
      <c r="IU1065" s="17"/>
      <c r="IV1065" s="17"/>
      <c r="IW1065" s="17"/>
      <c r="IX1065" s="17"/>
    </row>
    <row r="1066" spans="1:258" ht="21.9" customHeight="1">
      <c r="A1066" s="37" t="s">
        <v>1169</v>
      </c>
      <c r="B1066" s="8" t="s">
        <v>553</v>
      </c>
      <c r="C1066" s="2">
        <f t="shared" si="661"/>
        <v>1512500</v>
      </c>
      <c r="D1066" s="3">
        <f t="shared" ref="D1066" si="664">SUM(E1066:J1066)</f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11">
        <v>0</v>
      </c>
      <c r="L1066" s="5">
        <v>0</v>
      </c>
      <c r="M1066" s="5">
        <v>275</v>
      </c>
      <c r="N1066" s="3">
        <f t="shared" si="663"/>
        <v>1512500</v>
      </c>
      <c r="O1066" s="5">
        <v>0</v>
      </c>
      <c r="P1066" s="5">
        <v>0</v>
      </c>
      <c r="Q1066" s="5">
        <v>0</v>
      </c>
      <c r="R1066" s="3">
        <f t="shared" si="657"/>
        <v>0</v>
      </c>
      <c r="S1066" s="5">
        <v>0</v>
      </c>
      <c r="T1066" s="5">
        <v>0</v>
      </c>
      <c r="U1066" s="5">
        <v>0</v>
      </c>
      <c r="V1066" s="6">
        <f t="shared" si="658"/>
        <v>5500</v>
      </c>
    </row>
    <row r="1067" spans="1:258" ht="21.9" customHeight="1">
      <c r="A1067" s="37" t="s">
        <v>1170</v>
      </c>
      <c r="B1067" s="8" t="s">
        <v>749</v>
      </c>
      <c r="C1067" s="2">
        <f>D1067+L1067+N1067+P1067+R1067+S1067+T1067+U1067</f>
        <v>1452000</v>
      </c>
      <c r="D1067" s="3">
        <f>SUM(E1067:J1067)</f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5">
        <v>264</v>
      </c>
      <c r="N1067" s="3">
        <f>M1067*5500</f>
        <v>1452000</v>
      </c>
      <c r="O1067" s="3">
        <v>0</v>
      </c>
      <c r="P1067" s="3">
        <v>0</v>
      </c>
      <c r="Q1067" s="3">
        <v>0</v>
      </c>
      <c r="R1067" s="3">
        <f>Q1067*3000</f>
        <v>0</v>
      </c>
      <c r="S1067" s="3">
        <v>0</v>
      </c>
      <c r="T1067" s="5">
        <v>0</v>
      </c>
      <c r="U1067" s="3">
        <v>0</v>
      </c>
      <c r="V1067" s="6">
        <f>N1067/M1067</f>
        <v>5500</v>
      </c>
    </row>
    <row r="1068" spans="1:258" ht="21.9" customHeight="1">
      <c r="A1068" s="37" t="s">
        <v>1171</v>
      </c>
      <c r="B1068" s="8" t="s">
        <v>750</v>
      </c>
      <c r="C1068" s="2">
        <f>D1068+L1068+N1068+P1068+R1068+S1068+T1068+U1068</f>
        <v>1170000</v>
      </c>
      <c r="D1068" s="3">
        <f>SUM(E1068:J1068)</f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11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390</v>
      </c>
      <c r="R1068" s="3">
        <f>Q1068*3000</f>
        <v>1170000</v>
      </c>
      <c r="S1068" s="5">
        <v>0</v>
      </c>
      <c r="T1068" s="5">
        <v>0</v>
      </c>
      <c r="U1068" s="5">
        <v>0</v>
      </c>
      <c r="V1068" s="6" t="e">
        <f>N1068/M1068</f>
        <v>#DIV/0!</v>
      </c>
    </row>
    <row r="1069" spans="1:258" ht="21.9" customHeight="1">
      <c r="A1069" s="37" t="s">
        <v>1172</v>
      </c>
      <c r="B1069" s="8" t="s">
        <v>751</v>
      </c>
      <c r="C1069" s="2">
        <f>D1069+L1069+N1069+P1069+R1069+S1069+T1069+U1069</f>
        <v>1080000</v>
      </c>
      <c r="D1069" s="3">
        <f>SUM(E1069:J1069)</f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4">
        <v>0</v>
      </c>
      <c r="L1069" s="3">
        <v>0</v>
      </c>
      <c r="M1069" s="5">
        <v>0</v>
      </c>
      <c r="N1069" s="5">
        <v>0</v>
      </c>
      <c r="O1069" s="3">
        <v>0</v>
      </c>
      <c r="P1069" s="3">
        <v>0</v>
      </c>
      <c r="Q1069" s="3">
        <v>360</v>
      </c>
      <c r="R1069" s="3">
        <f>Q1069*3000</f>
        <v>1080000</v>
      </c>
      <c r="S1069" s="3">
        <v>0</v>
      </c>
      <c r="T1069" s="5">
        <v>0</v>
      </c>
      <c r="U1069" s="3">
        <v>0</v>
      </c>
      <c r="V1069" s="6" t="e">
        <f>N1069/M1069</f>
        <v>#DIV/0!</v>
      </c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  <c r="AV1069" s="30"/>
      <c r="AW1069" s="30"/>
      <c r="AX1069" s="30"/>
      <c r="AY1069" s="30"/>
      <c r="AZ1069" s="30"/>
      <c r="BA1069" s="30"/>
      <c r="BB1069" s="30"/>
      <c r="BC1069" s="30"/>
      <c r="BD1069" s="30"/>
      <c r="BE1069" s="30"/>
      <c r="BF1069" s="30"/>
      <c r="BG1069" s="30"/>
      <c r="BH1069" s="30"/>
      <c r="BI1069" s="30"/>
      <c r="BJ1069" s="30"/>
      <c r="BK1069" s="30"/>
      <c r="BL1069" s="30"/>
      <c r="BM1069" s="30"/>
      <c r="BN1069" s="30"/>
      <c r="BO1069" s="30"/>
      <c r="BP1069" s="30"/>
      <c r="BQ1069" s="30"/>
      <c r="BR1069" s="30"/>
      <c r="BS1069" s="30"/>
      <c r="BT1069" s="30"/>
      <c r="BU1069" s="30"/>
      <c r="BV1069" s="30"/>
      <c r="BW1069" s="30"/>
      <c r="BX1069" s="30"/>
      <c r="BY1069" s="30"/>
      <c r="BZ1069" s="30"/>
      <c r="CA1069" s="30"/>
      <c r="CB1069" s="30"/>
      <c r="CC1069" s="30"/>
      <c r="CD1069" s="30"/>
      <c r="CE1069" s="30"/>
      <c r="CF1069" s="30"/>
      <c r="CG1069" s="30"/>
      <c r="CH1069" s="30"/>
      <c r="CI1069" s="30"/>
      <c r="CJ1069" s="30"/>
      <c r="CK1069" s="30"/>
      <c r="CL1069" s="30"/>
      <c r="CM1069" s="30"/>
      <c r="CN1069" s="30"/>
      <c r="CO1069" s="30"/>
      <c r="CP1069" s="30"/>
      <c r="CQ1069" s="30"/>
      <c r="CR1069" s="30"/>
      <c r="CS1069" s="30"/>
      <c r="CT1069" s="30"/>
      <c r="CU1069" s="30"/>
      <c r="CV1069" s="30"/>
      <c r="CW1069" s="30"/>
      <c r="CX1069" s="30"/>
      <c r="CY1069" s="30"/>
      <c r="CZ1069" s="30"/>
      <c r="DA1069" s="30"/>
      <c r="DB1069" s="30"/>
      <c r="DC1069" s="30"/>
      <c r="DD1069" s="30"/>
      <c r="DE1069" s="30"/>
      <c r="DF1069" s="30"/>
      <c r="DG1069" s="30"/>
      <c r="DH1069" s="30"/>
      <c r="DI1069" s="30"/>
      <c r="DJ1069" s="30"/>
      <c r="DK1069" s="30"/>
      <c r="DL1069" s="30"/>
      <c r="DM1069" s="30"/>
      <c r="DN1069" s="30"/>
      <c r="DO1069" s="30"/>
      <c r="DP1069" s="30"/>
      <c r="DQ1069" s="30"/>
      <c r="DR1069" s="30"/>
      <c r="DS1069" s="30"/>
      <c r="DT1069" s="30"/>
      <c r="DU1069" s="30"/>
      <c r="DV1069" s="30"/>
      <c r="DW1069" s="30"/>
      <c r="DX1069" s="30"/>
      <c r="DY1069" s="30"/>
      <c r="DZ1069" s="30"/>
      <c r="EA1069" s="30"/>
      <c r="EB1069" s="30"/>
      <c r="EC1069" s="30"/>
      <c r="ED1069" s="30"/>
      <c r="EE1069" s="30"/>
      <c r="EF1069" s="30"/>
      <c r="EG1069" s="30"/>
      <c r="EH1069" s="30"/>
      <c r="EI1069" s="30"/>
      <c r="EJ1069" s="30"/>
      <c r="EK1069" s="30"/>
      <c r="EL1069" s="30"/>
      <c r="EM1069" s="30"/>
      <c r="EN1069" s="30"/>
      <c r="EO1069" s="30"/>
      <c r="EP1069" s="30"/>
      <c r="EQ1069" s="30"/>
      <c r="ER1069" s="30"/>
      <c r="ES1069" s="30"/>
      <c r="ET1069" s="30"/>
      <c r="EU1069" s="30"/>
      <c r="EV1069" s="30"/>
      <c r="EW1069" s="30"/>
      <c r="EX1069" s="30"/>
      <c r="EY1069" s="30"/>
      <c r="EZ1069" s="30"/>
      <c r="FA1069" s="30"/>
      <c r="FB1069" s="30"/>
      <c r="FC1069" s="30"/>
      <c r="FD1069" s="30"/>
      <c r="FE1069" s="30"/>
      <c r="FF1069" s="30"/>
      <c r="FG1069" s="30"/>
      <c r="FH1069" s="30"/>
      <c r="FI1069" s="30"/>
      <c r="FJ1069" s="30"/>
      <c r="FK1069" s="30"/>
      <c r="FL1069" s="30"/>
      <c r="FM1069" s="30"/>
      <c r="FN1069" s="30"/>
      <c r="FO1069" s="30"/>
      <c r="FP1069" s="30"/>
      <c r="FQ1069" s="30"/>
      <c r="FR1069" s="30"/>
      <c r="FS1069" s="30"/>
      <c r="FT1069" s="30"/>
      <c r="FU1069" s="30"/>
      <c r="FV1069" s="30"/>
      <c r="FW1069" s="30"/>
      <c r="FX1069" s="30"/>
      <c r="FY1069" s="30"/>
      <c r="FZ1069" s="30"/>
      <c r="GA1069" s="30"/>
      <c r="GB1069" s="30"/>
      <c r="GC1069" s="30"/>
      <c r="GD1069" s="30"/>
      <c r="GE1069" s="30"/>
      <c r="GF1069" s="30"/>
      <c r="GG1069" s="30"/>
      <c r="GH1069" s="30"/>
      <c r="GI1069" s="30"/>
      <c r="GJ1069" s="30"/>
      <c r="GK1069" s="30"/>
      <c r="GL1069" s="30"/>
      <c r="GM1069" s="30"/>
      <c r="GN1069" s="30"/>
      <c r="GO1069" s="30"/>
      <c r="GP1069" s="30"/>
      <c r="GQ1069" s="30"/>
      <c r="GR1069" s="30"/>
      <c r="GS1069" s="30"/>
      <c r="GT1069" s="30"/>
      <c r="GU1069" s="30"/>
      <c r="GV1069" s="30"/>
      <c r="GW1069" s="30"/>
      <c r="GX1069" s="30"/>
      <c r="GY1069" s="30"/>
      <c r="GZ1069" s="30"/>
      <c r="HA1069" s="30"/>
      <c r="HB1069" s="30"/>
      <c r="HC1069" s="30"/>
      <c r="HD1069" s="30"/>
      <c r="HE1069" s="30"/>
      <c r="HF1069" s="30"/>
      <c r="HG1069" s="30"/>
      <c r="HH1069" s="30"/>
      <c r="HI1069" s="30"/>
      <c r="HJ1069" s="30"/>
      <c r="HK1069" s="30"/>
      <c r="HL1069" s="30"/>
      <c r="HM1069" s="30"/>
      <c r="HN1069" s="30"/>
      <c r="HO1069" s="30"/>
      <c r="HP1069" s="30"/>
      <c r="HQ1069" s="30"/>
      <c r="HR1069" s="30"/>
      <c r="HS1069" s="30"/>
      <c r="HT1069" s="30"/>
      <c r="HU1069" s="30"/>
      <c r="HV1069" s="30"/>
      <c r="HW1069" s="30"/>
      <c r="HX1069" s="30"/>
      <c r="HY1069" s="30"/>
      <c r="HZ1069" s="30"/>
      <c r="IA1069" s="30"/>
      <c r="IB1069" s="30"/>
      <c r="IC1069" s="30"/>
      <c r="ID1069" s="30"/>
      <c r="IE1069" s="30"/>
      <c r="IF1069" s="30"/>
      <c r="IG1069" s="30"/>
      <c r="IH1069" s="30"/>
      <c r="II1069" s="30"/>
      <c r="IJ1069" s="30"/>
      <c r="IK1069" s="30"/>
      <c r="IL1069" s="30"/>
      <c r="IM1069" s="30"/>
      <c r="IN1069" s="30"/>
      <c r="IO1069" s="30"/>
      <c r="IP1069" s="30"/>
      <c r="IQ1069" s="30"/>
      <c r="IR1069" s="30"/>
      <c r="IS1069" s="30"/>
      <c r="IT1069" s="30"/>
      <c r="IU1069" s="30"/>
      <c r="IV1069" s="30"/>
      <c r="IW1069" s="30"/>
      <c r="IX1069" s="30"/>
    </row>
    <row r="1070" spans="1:258" ht="21.9" customHeight="1">
      <c r="A1070" s="37" t="s">
        <v>1173</v>
      </c>
      <c r="B1070" s="8" t="s">
        <v>652</v>
      </c>
      <c r="C1070" s="2">
        <f t="shared" ref="C1070" si="665">D1070+L1070+N1070+P1070+R1070+S1070+T1070+U1070</f>
        <v>1474000</v>
      </c>
      <c r="D1070" s="3">
        <f t="shared" ref="D1070" si="666">SUM(E1070:J1070)</f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11">
        <v>0</v>
      </c>
      <c r="L1070" s="5">
        <v>0</v>
      </c>
      <c r="M1070" s="5">
        <v>268</v>
      </c>
      <c r="N1070" s="3">
        <f t="shared" ref="N1070" si="667">M1070*5500</f>
        <v>1474000</v>
      </c>
      <c r="O1070" s="5">
        <v>0</v>
      </c>
      <c r="P1070" s="5">
        <v>0</v>
      </c>
      <c r="Q1070" s="5">
        <v>0</v>
      </c>
      <c r="R1070" s="3">
        <f t="shared" ref="R1070" si="668">Q1070*3000</f>
        <v>0</v>
      </c>
      <c r="S1070" s="5">
        <v>0</v>
      </c>
      <c r="T1070" s="5">
        <v>0</v>
      </c>
      <c r="U1070" s="5">
        <v>0</v>
      </c>
      <c r="V1070" s="6">
        <f t="shared" ref="V1070" si="669">N1070/M1070</f>
        <v>5500</v>
      </c>
    </row>
    <row r="1071" spans="1:258" ht="21.9" customHeight="1">
      <c r="A1071" s="37" t="s">
        <v>1174</v>
      </c>
      <c r="B1071" s="8" t="s">
        <v>747</v>
      </c>
      <c r="C1071" s="2">
        <f t="shared" si="661"/>
        <v>1474000</v>
      </c>
      <c r="D1071" s="3">
        <f t="shared" si="659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3">
        <v>268</v>
      </c>
      <c r="N1071" s="3">
        <f t="shared" si="663"/>
        <v>1474000</v>
      </c>
      <c r="O1071" s="3">
        <v>0</v>
      </c>
      <c r="P1071" s="3">
        <v>0</v>
      </c>
      <c r="Q1071" s="3">
        <v>0</v>
      </c>
      <c r="R1071" s="3">
        <f t="shared" si="657"/>
        <v>0</v>
      </c>
      <c r="S1071" s="3">
        <v>0</v>
      </c>
      <c r="T1071" s="5">
        <v>0</v>
      </c>
      <c r="U1071" s="3">
        <v>0</v>
      </c>
      <c r="V1071" s="6">
        <f t="shared" si="658"/>
        <v>5500</v>
      </c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7"/>
      <c r="AW1071" s="17"/>
      <c r="AX1071" s="17"/>
      <c r="AY1071" s="17"/>
      <c r="AZ1071" s="17"/>
      <c r="BA1071" s="17"/>
      <c r="BB1071" s="17"/>
      <c r="BC1071" s="17"/>
      <c r="BD1071" s="17"/>
      <c r="BE1071" s="17"/>
      <c r="BF1071" s="17"/>
      <c r="BG1071" s="17"/>
      <c r="BH1071" s="17"/>
      <c r="BI1071" s="17"/>
      <c r="BJ1071" s="17"/>
      <c r="BK1071" s="17"/>
      <c r="BL1071" s="17"/>
      <c r="BM1071" s="17"/>
      <c r="BN1071" s="17"/>
      <c r="BO1071" s="17"/>
      <c r="BP1071" s="17"/>
      <c r="BQ1071" s="17"/>
      <c r="BR1071" s="17"/>
      <c r="BS1071" s="17"/>
      <c r="BT1071" s="17"/>
      <c r="BU1071" s="17"/>
      <c r="BV1071" s="17"/>
      <c r="BW1071" s="17"/>
      <c r="BX1071" s="17"/>
      <c r="BY1071" s="17"/>
      <c r="BZ1071" s="17"/>
      <c r="CA1071" s="17"/>
      <c r="CB1071" s="17"/>
      <c r="CC1071" s="17"/>
      <c r="CD1071" s="17"/>
      <c r="CE1071" s="17"/>
      <c r="CF1071" s="17"/>
      <c r="CG1071" s="17"/>
      <c r="CH1071" s="17"/>
      <c r="CI1071" s="17"/>
      <c r="CJ1071" s="17"/>
      <c r="CK1071" s="17"/>
      <c r="CL1071" s="17"/>
      <c r="CM1071" s="17"/>
      <c r="CN1071" s="17"/>
      <c r="CO1071" s="17"/>
      <c r="CP1071" s="17"/>
      <c r="CQ1071" s="17"/>
      <c r="CR1071" s="17"/>
      <c r="CS1071" s="17"/>
      <c r="CT1071" s="17"/>
      <c r="CU1071" s="17"/>
      <c r="CV1071" s="17"/>
      <c r="CW1071" s="17"/>
      <c r="CX1071" s="17"/>
      <c r="CY1071" s="17"/>
      <c r="CZ1071" s="17"/>
      <c r="DA1071" s="17"/>
      <c r="DB1071" s="17"/>
      <c r="DC1071" s="17"/>
      <c r="DD1071" s="17"/>
      <c r="DE1071" s="17"/>
      <c r="DF1071" s="17"/>
      <c r="DG1071" s="17"/>
      <c r="DH1071" s="17"/>
      <c r="DI1071" s="17"/>
      <c r="DJ1071" s="17"/>
      <c r="DK1071" s="17"/>
      <c r="DL1071" s="17"/>
      <c r="DM1071" s="17"/>
      <c r="DN1071" s="17"/>
      <c r="DO1071" s="17"/>
      <c r="DP1071" s="17"/>
      <c r="DQ1071" s="17"/>
      <c r="DR1071" s="17"/>
      <c r="DS1071" s="17"/>
      <c r="DT1071" s="17"/>
      <c r="DU1071" s="17"/>
      <c r="DV1071" s="17"/>
      <c r="DW1071" s="17"/>
      <c r="DX1071" s="17"/>
      <c r="DY1071" s="17"/>
      <c r="DZ1071" s="17"/>
      <c r="EA1071" s="17"/>
      <c r="EB1071" s="17"/>
      <c r="EC1071" s="17"/>
      <c r="ED1071" s="17"/>
      <c r="EE1071" s="17"/>
      <c r="EF1071" s="17"/>
      <c r="EG1071" s="17"/>
      <c r="EH1071" s="17"/>
      <c r="EI1071" s="17"/>
      <c r="EJ1071" s="17"/>
      <c r="EK1071" s="17"/>
      <c r="EL1071" s="17"/>
      <c r="EM1071" s="17"/>
      <c r="EN1071" s="17"/>
      <c r="EO1071" s="17"/>
      <c r="EP1071" s="17"/>
      <c r="EQ1071" s="17"/>
      <c r="ER1071" s="17"/>
      <c r="ES1071" s="17"/>
      <c r="ET1071" s="17"/>
      <c r="EU1071" s="17"/>
      <c r="EV1071" s="17"/>
      <c r="EW1071" s="17"/>
      <c r="EX1071" s="17"/>
      <c r="EY1071" s="17"/>
      <c r="EZ1071" s="17"/>
      <c r="FA1071" s="17"/>
      <c r="FB1071" s="17"/>
      <c r="FC1071" s="17"/>
      <c r="FD1071" s="17"/>
      <c r="FE1071" s="17"/>
      <c r="FF1071" s="17"/>
      <c r="FG1071" s="17"/>
      <c r="FH1071" s="17"/>
      <c r="FI1071" s="17"/>
      <c r="FJ1071" s="17"/>
      <c r="FK1071" s="17"/>
      <c r="FL1071" s="17"/>
      <c r="FM1071" s="17"/>
      <c r="FN1071" s="17"/>
      <c r="FO1071" s="17"/>
      <c r="FP1071" s="17"/>
      <c r="FQ1071" s="17"/>
      <c r="FR1071" s="17"/>
      <c r="FS1071" s="17"/>
      <c r="FT1071" s="17"/>
      <c r="FU1071" s="17"/>
      <c r="FV1071" s="17"/>
      <c r="FW1071" s="17"/>
      <c r="FX1071" s="17"/>
      <c r="FY1071" s="17"/>
      <c r="FZ1071" s="17"/>
      <c r="GA1071" s="17"/>
      <c r="GB1071" s="17"/>
      <c r="GC1071" s="17"/>
      <c r="GD1071" s="17"/>
      <c r="GE1071" s="17"/>
      <c r="GF1071" s="17"/>
      <c r="GG1071" s="17"/>
      <c r="GH1071" s="17"/>
      <c r="GI1071" s="17"/>
      <c r="GJ1071" s="17"/>
      <c r="GK1071" s="17"/>
      <c r="GL1071" s="17"/>
      <c r="GM1071" s="17"/>
      <c r="GN1071" s="17"/>
      <c r="GO1071" s="17"/>
      <c r="GP1071" s="17"/>
      <c r="GQ1071" s="17"/>
      <c r="GR1071" s="17"/>
      <c r="GS1071" s="17"/>
      <c r="GT1071" s="17"/>
      <c r="GU1071" s="17"/>
      <c r="GV1071" s="17"/>
      <c r="GW1071" s="17"/>
      <c r="GX1071" s="17"/>
      <c r="GY1071" s="17"/>
      <c r="GZ1071" s="17"/>
      <c r="HA1071" s="17"/>
      <c r="HB1071" s="17"/>
      <c r="HC1071" s="17"/>
      <c r="HD1071" s="17"/>
      <c r="HE1071" s="17"/>
      <c r="HF1071" s="17"/>
      <c r="HG1071" s="17"/>
      <c r="HH1071" s="17"/>
      <c r="HI1071" s="17"/>
      <c r="HJ1071" s="17"/>
      <c r="HK1071" s="17"/>
      <c r="HL1071" s="17"/>
      <c r="HM1071" s="17"/>
      <c r="HN1071" s="17"/>
      <c r="HO1071" s="17"/>
      <c r="HP1071" s="17"/>
      <c r="HQ1071" s="17"/>
      <c r="HR1071" s="17"/>
      <c r="HS1071" s="17"/>
      <c r="HT1071" s="17"/>
      <c r="HU1071" s="17"/>
      <c r="HV1071" s="17"/>
      <c r="HW1071" s="17"/>
      <c r="HX1071" s="17"/>
      <c r="HY1071" s="17"/>
      <c r="HZ1071" s="17"/>
      <c r="IA1071" s="17"/>
      <c r="IB1071" s="17"/>
      <c r="IC1071" s="17"/>
      <c r="ID1071" s="17"/>
      <c r="IE1071" s="17"/>
      <c r="IF1071" s="17"/>
      <c r="IG1071" s="17"/>
      <c r="IH1071" s="17"/>
      <c r="II1071" s="17"/>
      <c r="IJ1071" s="17"/>
      <c r="IK1071" s="17"/>
      <c r="IL1071" s="17"/>
      <c r="IM1071" s="17"/>
      <c r="IN1071" s="17"/>
      <c r="IO1071" s="17"/>
      <c r="IP1071" s="17"/>
      <c r="IQ1071" s="17"/>
      <c r="IR1071" s="17"/>
      <c r="IS1071" s="17"/>
      <c r="IT1071" s="17"/>
      <c r="IU1071" s="17"/>
      <c r="IV1071" s="17"/>
      <c r="IW1071" s="17"/>
      <c r="IX1071" s="17"/>
    </row>
    <row r="1072" spans="1:258" ht="21.9" customHeight="1">
      <c r="A1072" s="37" t="s">
        <v>1175</v>
      </c>
      <c r="B1072" s="8" t="s">
        <v>748</v>
      </c>
      <c r="C1072" s="2">
        <f t="shared" si="661"/>
        <v>1556500</v>
      </c>
      <c r="D1072" s="3">
        <f t="shared" si="659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5">
        <v>283</v>
      </c>
      <c r="N1072" s="3">
        <f t="shared" si="663"/>
        <v>1556500</v>
      </c>
      <c r="O1072" s="3">
        <v>0</v>
      </c>
      <c r="P1072" s="3">
        <v>0</v>
      </c>
      <c r="Q1072" s="3">
        <v>0</v>
      </c>
      <c r="R1072" s="3">
        <f t="shared" si="657"/>
        <v>0</v>
      </c>
      <c r="S1072" s="3">
        <v>0</v>
      </c>
      <c r="T1072" s="5">
        <v>0</v>
      </c>
      <c r="U1072" s="3">
        <v>0</v>
      </c>
      <c r="V1072" s="6">
        <f t="shared" si="658"/>
        <v>5500</v>
      </c>
    </row>
    <row r="1073" spans="1:258" ht="21.9" customHeight="1">
      <c r="A1073" s="37" t="s">
        <v>1282</v>
      </c>
      <c r="B1073" s="8" t="s">
        <v>656</v>
      </c>
      <c r="C1073" s="2">
        <f t="shared" si="661"/>
        <v>1472350</v>
      </c>
      <c r="D1073" s="3">
        <f t="shared" ref="D1073" si="670">SUM(E1073:J1073)</f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11">
        <v>0</v>
      </c>
      <c r="L1073" s="5">
        <v>0</v>
      </c>
      <c r="M1073" s="5">
        <v>267.7</v>
      </c>
      <c r="N1073" s="3">
        <f t="shared" si="663"/>
        <v>1472350</v>
      </c>
      <c r="O1073" s="5">
        <v>0</v>
      </c>
      <c r="P1073" s="5">
        <v>0</v>
      </c>
      <c r="Q1073" s="5">
        <v>0</v>
      </c>
      <c r="R1073" s="3">
        <f t="shared" si="657"/>
        <v>0</v>
      </c>
      <c r="S1073" s="5">
        <v>0</v>
      </c>
      <c r="T1073" s="5">
        <v>0</v>
      </c>
      <c r="U1073" s="5">
        <v>0</v>
      </c>
      <c r="V1073" s="6">
        <f t="shared" si="658"/>
        <v>5500</v>
      </c>
    </row>
    <row r="1074" spans="1:258" ht="21.9" customHeight="1">
      <c r="A1074" s="37" t="s">
        <v>1176</v>
      </c>
      <c r="B1074" s="8" t="s">
        <v>657</v>
      </c>
      <c r="C1074" s="2">
        <f t="shared" ref="C1074:C1075" si="671">D1074+L1074+N1074+P1074+R1074+S1074+T1074+U1074</f>
        <v>1483350</v>
      </c>
      <c r="D1074" s="3">
        <f t="shared" ref="D1074" si="672">SUM(E1074:J1074)</f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11">
        <v>0</v>
      </c>
      <c r="L1074" s="5">
        <v>0</v>
      </c>
      <c r="M1074" s="5">
        <v>269.7</v>
      </c>
      <c r="N1074" s="3">
        <f t="shared" ref="N1074:N1075" si="673">M1074*5500</f>
        <v>1483350</v>
      </c>
      <c r="O1074" s="5">
        <v>0</v>
      </c>
      <c r="P1074" s="5">
        <v>0</v>
      </c>
      <c r="Q1074" s="5">
        <v>0</v>
      </c>
      <c r="R1074" s="3">
        <f t="shared" ref="R1074:R1075" si="674">Q1074*3000</f>
        <v>0</v>
      </c>
      <c r="S1074" s="5">
        <v>0</v>
      </c>
      <c r="T1074" s="5">
        <v>0</v>
      </c>
      <c r="U1074" s="5">
        <v>0</v>
      </c>
      <c r="V1074" s="6">
        <f t="shared" ref="V1074:V1075" si="675">N1074/M1074</f>
        <v>5500</v>
      </c>
    </row>
    <row r="1075" spans="1:258" ht="21.9" customHeight="1">
      <c r="A1075" s="37" t="s">
        <v>1177</v>
      </c>
      <c r="B1075" s="8" t="s">
        <v>658</v>
      </c>
      <c r="C1075" s="2">
        <f t="shared" si="671"/>
        <v>1488850</v>
      </c>
      <c r="D1075" s="3">
        <f t="shared" ref="D1075" si="676">SUM(E1075:J1075)</f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11">
        <v>0</v>
      </c>
      <c r="L1075" s="5">
        <v>0</v>
      </c>
      <c r="M1075" s="5">
        <v>270.7</v>
      </c>
      <c r="N1075" s="3">
        <f t="shared" si="673"/>
        <v>1488850</v>
      </c>
      <c r="O1075" s="5">
        <v>0</v>
      </c>
      <c r="P1075" s="5">
        <v>0</v>
      </c>
      <c r="Q1075" s="5">
        <v>0</v>
      </c>
      <c r="R1075" s="3">
        <f t="shared" si="674"/>
        <v>0</v>
      </c>
      <c r="S1075" s="5">
        <v>0</v>
      </c>
      <c r="T1075" s="5">
        <v>0</v>
      </c>
      <c r="U1075" s="5">
        <v>0</v>
      </c>
      <c r="V1075" s="6">
        <f t="shared" si="675"/>
        <v>5500</v>
      </c>
    </row>
    <row r="1076" spans="1:258" ht="21.9" customHeight="1">
      <c r="A1076" s="37" t="s">
        <v>1178</v>
      </c>
      <c r="B1076" s="8" t="s">
        <v>752</v>
      </c>
      <c r="C1076" s="2">
        <f t="shared" si="661"/>
        <v>1991550.0000000002</v>
      </c>
      <c r="D1076" s="3">
        <f t="shared" si="659"/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4">
        <v>0</v>
      </c>
      <c r="L1076" s="3">
        <v>0</v>
      </c>
      <c r="M1076" s="5">
        <v>362.1</v>
      </c>
      <c r="N1076" s="3">
        <f t="shared" ref="N1076:N1086" si="677">M1076*5500</f>
        <v>1991550.0000000002</v>
      </c>
      <c r="O1076" s="3">
        <v>0</v>
      </c>
      <c r="P1076" s="3">
        <v>0</v>
      </c>
      <c r="Q1076" s="3">
        <v>0</v>
      </c>
      <c r="R1076" s="3">
        <f t="shared" si="657"/>
        <v>0</v>
      </c>
      <c r="S1076" s="3">
        <v>0</v>
      </c>
      <c r="T1076" s="5">
        <v>0</v>
      </c>
      <c r="U1076" s="3">
        <v>0</v>
      </c>
      <c r="V1076" s="6">
        <f t="shared" si="658"/>
        <v>5500</v>
      </c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  <c r="AV1076" s="30"/>
      <c r="AW1076" s="30"/>
      <c r="AX1076" s="30"/>
      <c r="AY1076" s="30"/>
      <c r="AZ1076" s="30"/>
      <c r="BA1076" s="30"/>
      <c r="BB1076" s="30"/>
      <c r="BC1076" s="30"/>
      <c r="BD1076" s="30"/>
      <c r="BE1076" s="30"/>
      <c r="BF1076" s="30"/>
      <c r="BG1076" s="30"/>
      <c r="BH1076" s="30"/>
      <c r="BI1076" s="30"/>
      <c r="BJ1076" s="30"/>
      <c r="BK1076" s="30"/>
      <c r="BL1076" s="30"/>
      <c r="BM1076" s="30"/>
      <c r="BN1076" s="30"/>
      <c r="BO1076" s="30"/>
      <c r="BP1076" s="30"/>
      <c r="BQ1076" s="30"/>
      <c r="BR1076" s="30"/>
      <c r="BS1076" s="30"/>
      <c r="BT1076" s="30"/>
      <c r="BU1076" s="30"/>
      <c r="BV1076" s="30"/>
      <c r="BW1076" s="30"/>
      <c r="BX1076" s="30"/>
      <c r="BY1076" s="30"/>
      <c r="BZ1076" s="30"/>
      <c r="CA1076" s="30"/>
      <c r="CB1076" s="30"/>
      <c r="CC1076" s="30"/>
      <c r="CD1076" s="30"/>
      <c r="CE1076" s="30"/>
      <c r="CF1076" s="30"/>
      <c r="CG1076" s="30"/>
      <c r="CH1076" s="30"/>
      <c r="CI1076" s="30"/>
      <c r="CJ1076" s="30"/>
      <c r="CK1076" s="30"/>
      <c r="CL1076" s="30"/>
      <c r="CM1076" s="30"/>
      <c r="CN1076" s="30"/>
      <c r="CO1076" s="30"/>
      <c r="CP1076" s="30"/>
      <c r="CQ1076" s="30"/>
      <c r="CR1076" s="30"/>
      <c r="CS1076" s="30"/>
      <c r="CT1076" s="30"/>
      <c r="CU1076" s="30"/>
      <c r="CV1076" s="30"/>
      <c r="CW1076" s="30"/>
      <c r="CX1076" s="30"/>
      <c r="CY1076" s="30"/>
      <c r="CZ1076" s="30"/>
      <c r="DA1076" s="30"/>
      <c r="DB1076" s="30"/>
      <c r="DC1076" s="30"/>
      <c r="DD1076" s="30"/>
      <c r="DE1076" s="30"/>
      <c r="DF1076" s="30"/>
      <c r="DG1076" s="30"/>
      <c r="DH1076" s="30"/>
      <c r="DI1076" s="30"/>
      <c r="DJ1076" s="30"/>
      <c r="DK1076" s="30"/>
      <c r="DL1076" s="30"/>
      <c r="DM1076" s="30"/>
      <c r="DN1076" s="30"/>
      <c r="DO1076" s="30"/>
      <c r="DP1076" s="30"/>
      <c r="DQ1076" s="30"/>
      <c r="DR1076" s="30"/>
      <c r="DS1076" s="30"/>
      <c r="DT1076" s="30"/>
      <c r="DU1076" s="30"/>
      <c r="DV1076" s="30"/>
      <c r="DW1076" s="30"/>
      <c r="DX1076" s="30"/>
      <c r="DY1076" s="30"/>
      <c r="DZ1076" s="30"/>
      <c r="EA1076" s="30"/>
      <c r="EB1076" s="30"/>
      <c r="EC1076" s="30"/>
      <c r="ED1076" s="30"/>
      <c r="EE1076" s="30"/>
      <c r="EF1076" s="30"/>
      <c r="EG1076" s="30"/>
      <c r="EH1076" s="30"/>
      <c r="EI1076" s="30"/>
      <c r="EJ1076" s="30"/>
      <c r="EK1076" s="30"/>
      <c r="EL1076" s="30"/>
      <c r="EM1076" s="30"/>
      <c r="EN1076" s="30"/>
      <c r="EO1076" s="30"/>
      <c r="EP1076" s="30"/>
      <c r="EQ1076" s="30"/>
      <c r="ER1076" s="30"/>
      <c r="ES1076" s="30"/>
      <c r="ET1076" s="30"/>
      <c r="EU1076" s="30"/>
      <c r="EV1076" s="30"/>
      <c r="EW1076" s="30"/>
      <c r="EX1076" s="30"/>
      <c r="EY1076" s="30"/>
      <c r="EZ1076" s="30"/>
      <c r="FA1076" s="30"/>
      <c r="FB1076" s="30"/>
      <c r="FC1076" s="30"/>
      <c r="FD1076" s="30"/>
      <c r="FE1076" s="30"/>
      <c r="FF1076" s="30"/>
      <c r="FG1076" s="30"/>
      <c r="FH1076" s="30"/>
      <c r="FI1076" s="30"/>
      <c r="FJ1076" s="30"/>
      <c r="FK1076" s="30"/>
      <c r="FL1076" s="30"/>
      <c r="FM1076" s="30"/>
      <c r="FN1076" s="30"/>
      <c r="FO1076" s="30"/>
      <c r="FP1076" s="30"/>
      <c r="FQ1076" s="30"/>
      <c r="FR1076" s="30"/>
      <c r="FS1076" s="30"/>
      <c r="FT1076" s="30"/>
      <c r="FU1076" s="30"/>
      <c r="FV1076" s="30"/>
      <c r="FW1076" s="30"/>
      <c r="FX1076" s="30"/>
      <c r="FY1076" s="30"/>
      <c r="FZ1076" s="30"/>
      <c r="GA1076" s="30"/>
      <c r="GB1076" s="30"/>
      <c r="GC1076" s="30"/>
      <c r="GD1076" s="30"/>
      <c r="GE1076" s="30"/>
      <c r="GF1076" s="30"/>
      <c r="GG1076" s="30"/>
      <c r="GH1076" s="30"/>
      <c r="GI1076" s="30"/>
      <c r="GJ1076" s="30"/>
      <c r="GK1076" s="30"/>
      <c r="GL1076" s="30"/>
      <c r="GM1076" s="30"/>
      <c r="GN1076" s="30"/>
      <c r="GO1076" s="30"/>
      <c r="GP1076" s="30"/>
      <c r="GQ1076" s="30"/>
      <c r="GR1076" s="30"/>
      <c r="GS1076" s="30"/>
      <c r="GT1076" s="30"/>
      <c r="GU1076" s="30"/>
      <c r="GV1076" s="30"/>
      <c r="GW1076" s="30"/>
      <c r="GX1076" s="30"/>
      <c r="GY1076" s="30"/>
      <c r="GZ1076" s="30"/>
      <c r="HA1076" s="30"/>
      <c r="HB1076" s="30"/>
      <c r="HC1076" s="30"/>
      <c r="HD1076" s="30"/>
      <c r="HE1076" s="30"/>
      <c r="HF1076" s="30"/>
      <c r="HG1076" s="30"/>
      <c r="HH1076" s="30"/>
      <c r="HI1076" s="30"/>
      <c r="HJ1076" s="30"/>
      <c r="HK1076" s="30"/>
      <c r="HL1076" s="30"/>
      <c r="HM1076" s="30"/>
      <c r="HN1076" s="30"/>
      <c r="HO1076" s="30"/>
      <c r="HP1076" s="30"/>
      <c r="HQ1076" s="30"/>
      <c r="HR1076" s="30"/>
      <c r="HS1076" s="30"/>
      <c r="HT1076" s="30"/>
      <c r="HU1076" s="30"/>
      <c r="HV1076" s="30"/>
      <c r="HW1076" s="30"/>
      <c r="HX1076" s="30"/>
      <c r="HY1076" s="30"/>
      <c r="HZ1076" s="30"/>
      <c r="IA1076" s="30"/>
      <c r="IB1076" s="30"/>
      <c r="IC1076" s="30"/>
      <c r="ID1076" s="30"/>
      <c r="IE1076" s="30"/>
      <c r="IF1076" s="30"/>
      <c r="IG1076" s="30"/>
      <c r="IH1076" s="30"/>
      <c r="II1076" s="30"/>
      <c r="IJ1076" s="30"/>
      <c r="IK1076" s="30"/>
      <c r="IL1076" s="30"/>
      <c r="IM1076" s="30"/>
      <c r="IN1076" s="30"/>
      <c r="IO1076" s="30"/>
      <c r="IP1076" s="30"/>
      <c r="IQ1076" s="30"/>
      <c r="IR1076" s="30"/>
      <c r="IS1076" s="30"/>
      <c r="IT1076" s="30"/>
      <c r="IU1076" s="30"/>
      <c r="IV1076" s="30"/>
      <c r="IW1076" s="30"/>
      <c r="IX1076" s="30"/>
    </row>
    <row r="1077" spans="1:258" ht="21.9" customHeight="1">
      <c r="A1077" s="37" t="s">
        <v>1179</v>
      </c>
      <c r="B1077" s="8" t="s">
        <v>753</v>
      </c>
      <c r="C1077" s="2">
        <f t="shared" si="661"/>
        <v>1355750</v>
      </c>
      <c r="D1077" s="3">
        <f t="shared" si="659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5">
        <v>246.5</v>
      </c>
      <c r="N1077" s="3">
        <f t="shared" si="677"/>
        <v>1355750</v>
      </c>
      <c r="O1077" s="3">
        <v>0</v>
      </c>
      <c r="P1077" s="3">
        <v>0</v>
      </c>
      <c r="Q1077" s="3">
        <v>0</v>
      </c>
      <c r="R1077" s="3">
        <f t="shared" si="657"/>
        <v>0</v>
      </c>
      <c r="S1077" s="3">
        <v>0</v>
      </c>
      <c r="T1077" s="5">
        <v>0</v>
      </c>
      <c r="U1077" s="3">
        <v>0</v>
      </c>
      <c r="V1077" s="6">
        <f t="shared" si="658"/>
        <v>5500</v>
      </c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  <c r="AV1077" s="30"/>
      <c r="AW1077" s="30"/>
      <c r="AX1077" s="30"/>
      <c r="AY1077" s="30"/>
      <c r="AZ1077" s="30"/>
      <c r="BA1077" s="30"/>
      <c r="BB1077" s="30"/>
      <c r="BC1077" s="30"/>
      <c r="BD1077" s="30"/>
      <c r="BE1077" s="30"/>
      <c r="BF1077" s="30"/>
      <c r="BG1077" s="30"/>
      <c r="BH1077" s="30"/>
      <c r="BI1077" s="30"/>
      <c r="BJ1077" s="30"/>
      <c r="BK1077" s="30"/>
      <c r="BL1077" s="30"/>
      <c r="BM1077" s="30"/>
      <c r="BN1077" s="30"/>
      <c r="BO1077" s="30"/>
      <c r="BP1077" s="30"/>
      <c r="BQ1077" s="30"/>
      <c r="BR1077" s="30"/>
      <c r="BS1077" s="30"/>
      <c r="BT1077" s="30"/>
      <c r="BU1077" s="30"/>
      <c r="BV1077" s="30"/>
      <c r="BW1077" s="30"/>
      <c r="BX1077" s="30"/>
      <c r="BY1077" s="30"/>
      <c r="BZ1077" s="30"/>
      <c r="CA1077" s="30"/>
      <c r="CB1077" s="30"/>
      <c r="CC1077" s="30"/>
      <c r="CD1077" s="30"/>
      <c r="CE1077" s="30"/>
      <c r="CF1077" s="30"/>
      <c r="CG1077" s="30"/>
      <c r="CH1077" s="30"/>
      <c r="CI1077" s="30"/>
      <c r="CJ1077" s="30"/>
      <c r="CK1077" s="30"/>
      <c r="CL1077" s="30"/>
      <c r="CM1077" s="30"/>
      <c r="CN1077" s="30"/>
      <c r="CO1077" s="30"/>
      <c r="CP1077" s="30"/>
      <c r="CQ1077" s="30"/>
      <c r="CR1077" s="30"/>
      <c r="CS1077" s="30"/>
      <c r="CT1077" s="30"/>
      <c r="CU1077" s="30"/>
      <c r="CV1077" s="30"/>
      <c r="CW1077" s="30"/>
      <c r="CX1077" s="30"/>
      <c r="CY1077" s="30"/>
      <c r="CZ1077" s="30"/>
      <c r="DA1077" s="30"/>
      <c r="DB1077" s="30"/>
      <c r="DC1077" s="30"/>
      <c r="DD1077" s="30"/>
      <c r="DE1077" s="30"/>
      <c r="DF1077" s="30"/>
      <c r="DG1077" s="30"/>
      <c r="DH1077" s="30"/>
      <c r="DI1077" s="30"/>
      <c r="DJ1077" s="30"/>
      <c r="DK1077" s="30"/>
      <c r="DL1077" s="30"/>
      <c r="DM1077" s="30"/>
      <c r="DN1077" s="30"/>
      <c r="DO1077" s="30"/>
      <c r="DP1077" s="30"/>
      <c r="DQ1077" s="30"/>
      <c r="DR1077" s="30"/>
      <c r="DS1077" s="30"/>
      <c r="DT1077" s="30"/>
      <c r="DU1077" s="30"/>
      <c r="DV1077" s="30"/>
      <c r="DW1077" s="30"/>
      <c r="DX1077" s="30"/>
      <c r="DY1077" s="30"/>
      <c r="DZ1077" s="30"/>
      <c r="EA1077" s="30"/>
      <c r="EB1077" s="30"/>
      <c r="EC1077" s="30"/>
      <c r="ED1077" s="30"/>
      <c r="EE1077" s="30"/>
      <c r="EF1077" s="30"/>
      <c r="EG1077" s="30"/>
      <c r="EH1077" s="30"/>
      <c r="EI1077" s="30"/>
      <c r="EJ1077" s="30"/>
      <c r="EK1077" s="30"/>
      <c r="EL1077" s="30"/>
      <c r="EM1077" s="30"/>
      <c r="EN1077" s="30"/>
      <c r="EO1077" s="30"/>
      <c r="EP1077" s="30"/>
      <c r="EQ1077" s="30"/>
      <c r="ER1077" s="30"/>
      <c r="ES1077" s="30"/>
      <c r="ET1077" s="30"/>
      <c r="EU1077" s="30"/>
      <c r="EV1077" s="30"/>
      <c r="EW1077" s="30"/>
      <c r="EX1077" s="30"/>
      <c r="EY1077" s="30"/>
      <c r="EZ1077" s="30"/>
      <c r="FA1077" s="30"/>
      <c r="FB1077" s="30"/>
      <c r="FC1077" s="30"/>
      <c r="FD1077" s="30"/>
      <c r="FE1077" s="30"/>
      <c r="FF1077" s="30"/>
      <c r="FG1077" s="30"/>
      <c r="FH1077" s="30"/>
      <c r="FI1077" s="30"/>
      <c r="FJ1077" s="30"/>
      <c r="FK1077" s="30"/>
      <c r="FL1077" s="30"/>
      <c r="FM1077" s="30"/>
      <c r="FN1077" s="30"/>
      <c r="FO1077" s="30"/>
      <c r="FP1077" s="30"/>
      <c r="FQ1077" s="30"/>
      <c r="FR1077" s="30"/>
      <c r="FS1077" s="30"/>
      <c r="FT1077" s="30"/>
      <c r="FU1077" s="30"/>
      <c r="FV1077" s="30"/>
      <c r="FW1077" s="30"/>
      <c r="FX1077" s="30"/>
      <c r="FY1077" s="30"/>
      <c r="FZ1077" s="30"/>
      <c r="GA1077" s="30"/>
      <c r="GB1077" s="30"/>
      <c r="GC1077" s="30"/>
      <c r="GD1077" s="30"/>
      <c r="GE1077" s="30"/>
      <c r="GF1077" s="30"/>
      <c r="GG1077" s="30"/>
      <c r="GH1077" s="30"/>
      <c r="GI1077" s="30"/>
      <c r="GJ1077" s="30"/>
      <c r="GK1077" s="30"/>
      <c r="GL1077" s="30"/>
      <c r="GM1077" s="30"/>
      <c r="GN1077" s="30"/>
      <c r="GO1077" s="30"/>
      <c r="GP1077" s="30"/>
      <c r="GQ1077" s="30"/>
      <c r="GR1077" s="30"/>
      <c r="GS1077" s="30"/>
      <c r="GT1077" s="30"/>
      <c r="GU1077" s="30"/>
      <c r="GV1077" s="30"/>
      <c r="GW1077" s="30"/>
      <c r="GX1077" s="30"/>
      <c r="GY1077" s="30"/>
      <c r="GZ1077" s="30"/>
      <c r="HA1077" s="30"/>
      <c r="HB1077" s="30"/>
      <c r="HC1077" s="30"/>
      <c r="HD1077" s="30"/>
      <c r="HE1077" s="30"/>
      <c r="HF1077" s="30"/>
      <c r="HG1077" s="30"/>
      <c r="HH1077" s="30"/>
      <c r="HI1077" s="30"/>
      <c r="HJ1077" s="30"/>
      <c r="HK1077" s="30"/>
      <c r="HL1077" s="30"/>
      <c r="HM1077" s="30"/>
      <c r="HN1077" s="30"/>
      <c r="HO1077" s="30"/>
      <c r="HP1077" s="30"/>
      <c r="HQ1077" s="30"/>
      <c r="HR1077" s="30"/>
      <c r="HS1077" s="30"/>
      <c r="HT1077" s="30"/>
      <c r="HU1077" s="30"/>
      <c r="HV1077" s="30"/>
      <c r="HW1077" s="30"/>
      <c r="HX1077" s="30"/>
      <c r="HY1077" s="30"/>
      <c r="HZ1077" s="30"/>
      <c r="IA1077" s="30"/>
      <c r="IB1077" s="30"/>
      <c r="IC1077" s="30"/>
      <c r="ID1077" s="30"/>
      <c r="IE1077" s="30"/>
      <c r="IF1077" s="30"/>
      <c r="IG1077" s="30"/>
      <c r="IH1077" s="30"/>
      <c r="II1077" s="30"/>
      <c r="IJ1077" s="30"/>
      <c r="IK1077" s="30"/>
      <c r="IL1077" s="30"/>
      <c r="IM1077" s="30"/>
      <c r="IN1077" s="30"/>
      <c r="IO1077" s="30"/>
      <c r="IP1077" s="30"/>
      <c r="IQ1077" s="30"/>
      <c r="IR1077" s="30"/>
      <c r="IS1077" s="30"/>
      <c r="IT1077" s="30"/>
      <c r="IU1077" s="30"/>
      <c r="IV1077" s="30"/>
      <c r="IW1077" s="30"/>
      <c r="IX1077" s="30"/>
    </row>
    <row r="1078" spans="1:258" ht="21.9" customHeight="1">
      <c r="A1078" s="37" t="s">
        <v>1180</v>
      </c>
      <c r="B1078" s="8" t="s">
        <v>660</v>
      </c>
      <c r="C1078" s="2">
        <f t="shared" si="661"/>
        <v>1340900</v>
      </c>
      <c r="D1078" s="3">
        <f t="shared" si="659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5">
        <v>243.8</v>
      </c>
      <c r="N1078" s="3">
        <f t="shared" si="677"/>
        <v>1340900</v>
      </c>
      <c r="O1078" s="3">
        <v>0</v>
      </c>
      <c r="P1078" s="3">
        <v>0</v>
      </c>
      <c r="Q1078" s="3">
        <v>0</v>
      </c>
      <c r="R1078" s="3">
        <f t="shared" si="657"/>
        <v>0</v>
      </c>
      <c r="S1078" s="3">
        <v>0</v>
      </c>
      <c r="T1078" s="5">
        <v>0</v>
      </c>
      <c r="U1078" s="3">
        <v>0</v>
      </c>
      <c r="V1078" s="6">
        <f t="shared" si="658"/>
        <v>5500</v>
      </c>
    </row>
    <row r="1079" spans="1:258" ht="21.9" customHeight="1">
      <c r="A1079" s="37" t="s">
        <v>1181</v>
      </c>
      <c r="B1079" s="8" t="s">
        <v>661</v>
      </c>
      <c r="C1079" s="2">
        <f t="shared" si="661"/>
        <v>1352450</v>
      </c>
      <c r="D1079" s="3">
        <f t="shared" si="659"/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3">
        <v>245.9</v>
      </c>
      <c r="N1079" s="3">
        <f t="shared" si="677"/>
        <v>1352450</v>
      </c>
      <c r="O1079" s="3">
        <v>0</v>
      </c>
      <c r="P1079" s="3">
        <v>0</v>
      </c>
      <c r="Q1079" s="3">
        <v>0</v>
      </c>
      <c r="R1079" s="3">
        <f t="shared" si="657"/>
        <v>0</v>
      </c>
      <c r="S1079" s="3">
        <v>0</v>
      </c>
      <c r="T1079" s="5">
        <v>0</v>
      </c>
      <c r="U1079" s="3">
        <v>0</v>
      </c>
      <c r="V1079" s="6">
        <f t="shared" si="658"/>
        <v>5500</v>
      </c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  <c r="AR1079" s="27"/>
      <c r="AS1079" s="27"/>
      <c r="AT1079" s="27"/>
      <c r="AU1079" s="27"/>
      <c r="AV1079" s="27"/>
      <c r="AW1079" s="27"/>
      <c r="AX1079" s="27"/>
      <c r="AY1079" s="27"/>
      <c r="AZ1079" s="27"/>
      <c r="BA1079" s="27"/>
      <c r="BB1079" s="27"/>
      <c r="BC1079" s="27"/>
      <c r="BD1079" s="27"/>
      <c r="BE1079" s="27"/>
      <c r="BF1079" s="27"/>
      <c r="BG1079" s="27"/>
      <c r="BH1079" s="27"/>
      <c r="BI1079" s="27"/>
      <c r="BJ1079" s="27"/>
      <c r="BK1079" s="27"/>
      <c r="BL1079" s="27"/>
      <c r="BM1079" s="27"/>
      <c r="BN1079" s="27"/>
      <c r="BO1079" s="27"/>
      <c r="BP1079" s="27"/>
      <c r="BQ1079" s="27"/>
      <c r="BR1079" s="27"/>
      <c r="BS1079" s="27"/>
      <c r="BT1079" s="27"/>
      <c r="BU1079" s="27"/>
      <c r="BV1079" s="27"/>
      <c r="BW1079" s="27"/>
      <c r="BX1079" s="27"/>
      <c r="BY1079" s="27"/>
      <c r="BZ1079" s="27"/>
      <c r="CA1079" s="27"/>
      <c r="CB1079" s="27"/>
      <c r="CC1079" s="27"/>
      <c r="CD1079" s="27"/>
      <c r="CE1079" s="27"/>
      <c r="CF1079" s="27"/>
      <c r="CG1079" s="27"/>
      <c r="CH1079" s="27"/>
      <c r="CI1079" s="27"/>
      <c r="CJ1079" s="27"/>
      <c r="CK1079" s="27"/>
      <c r="CL1079" s="27"/>
      <c r="CM1079" s="27"/>
      <c r="CN1079" s="27"/>
      <c r="CO1079" s="27"/>
      <c r="CP1079" s="27"/>
      <c r="CQ1079" s="27"/>
      <c r="CR1079" s="27"/>
      <c r="CS1079" s="27"/>
      <c r="CT1079" s="27"/>
      <c r="CU1079" s="27"/>
      <c r="CV1079" s="27"/>
      <c r="CW1079" s="27"/>
      <c r="CX1079" s="27"/>
      <c r="CY1079" s="27"/>
      <c r="CZ1079" s="27"/>
      <c r="DA1079" s="27"/>
      <c r="DB1079" s="27"/>
      <c r="DC1079" s="27"/>
      <c r="DD1079" s="27"/>
      <c r="DE1079" s="27"/>
      <c r="DF1079" s="27"/>
      <c r="DG1079" s="27"/>
      <c r="DH1079" s="27"/>
      <c r="DI1079" s="27"/>
      <c r="DJ1079" s="27"/>
      <c r="DK1079" s="27"/>
      <c r="DL1079" s="27"/>
      <c r="DM1079" s="27"/>
      <c r="DN1079" s="27"/>
      <c r="DO1079" s="27"/>
      <c r="DP1079" s="27"/>
      <c r="DQ1079" s="27"/>
      <c r="DR1079" s="27"/>
      <c r="DS1079" s="27"/>
      <c r="DT1079" s="27"/>
      <c r="DU1079" s="27"/>
      <c r="DV1079" s="27"/>
      <c r="DW1079" s="27"/>
      <c r="DX1079" s="27"/>
      <c r="DY1079" s="27"/>
      <c r="DZ1079" s="27"/>
      <c r="EA1079" s="27"/>
      <c r="EB1079" s="27"/>
      <c r="EC1079" s="27"/>
      <c r="ED1079" s="27"/>
      <c r="EE1079" s="27"/>
      <c r="EF1079" s="27"/>
      <c r="EG1079" s="27"/>
      <c r="EH1079" s="27"/>
      <c r="EI1079" s="27"/>
      <c r="EJ1079" s="27"/>
      <c r="EK1079" s="27"/>
      <c r="EL1079" s="27"/>
      <c r="EM1079" s="27"/>
      <c r="EN1079" s="27"/>
      <c r="EO1079" s="27"/>
      <c r="EP1079" s="27"/>
      <c r="EQ1079" s="27"/>
      <c r="ER1079" s="27"/>
      <c r="ES1079" s="27"/>
      <c r="ET1079" s="27"/>
      <c r="EU1079" s="27"/>
      <c r="EV1079" s="27"/>
      <c r="EW1079" s="27"/>
      <c r="EX1079" s="27"/>
      <c r="EY1079" s="27"/>
      <c r="EZ1079" s="27"/>
      <c r="FA1079" s="27"/>
      <c r="FB1079" s="27"/>
      <c r="FC1079" s="27"/>
      <c r="FD1079" s="27"/>
      <c r="FE1079" s="27"/>
      <c r="FF1079" s="27"/>
      <c r="FG1079" s="27"/>
      <c r="FH1079" s="27"/>
      <c r="FI1079" s="27"/>
      <c r="FJ1079" s="27"/>
      <c r="FK1079" s="27"/>
      <c r="FL1079" s="27"/>
      <c r="FM1079" s="27"/>
      <c r="FN1079" s="27"/>
      <c r="FO1079" s="27"/>
      <c r="FP1079" s="27"/>
      <c r="FQ1079" s="27"/>
      <c r="FR1079" s="27"/>
      <c r="FS1079" s="27"/>
      <c r="FT1079" s="27"/>
      <c r="FU1079" s="27"/>
      <c r="FV1079" s="27"/>
      <c r="FW1079" s="27"/>
      <c r="FX1079" s="27"/>
      <c r="FY1079" s="27"/>
      <c r="FZ1079" s="27"/>
      <c r="GA1079" s="27"/>
      <c r="GB1079" s="27"/>
      <c r="GC1079" s="27"/>
      <c r="GD1079" s="27"/>
      <c r="GE1079" s="27"/>
      <c r="GF1079" s="27"/>
      <c r="GG1079" s="27"/>
      <c r="GH1079" s="27"/>
      <c r="GI1079" s="27"/>
      <c r="GJ1079" s="27"/>
      <c r="GK1079" s="27"/>
      <c r="GL1079" s="27"/>
      <c r="GM1079" s="27"/>
      <c r="GN1079" s="27"/>
      <c r="GO1079" s="27"/>
      <c r="GP1079" s="27"/>
      <c r="GQ1079" s="27"/>
      <c r="GR1079" s="27"/>
      <c r="GS1079" s="27"/>
      <c r="GT1079" s="27"/>
      <c r="GU1079" s="27"/>
      <c r="GV1079" s="27"/>
      <c r="GW1079" s="27"/>
      <c r="GX1079" s="27"/>
      <c r="GY1079" s="27"/>
      <c r="GZ1079" s="27"/>
      <c r="HA1079" s="27"/>
      <c r="HB1079" s="27"/>
      <c r="HC1079" s="27"/>
      <c r="HD1079" s="27"/>
      <c r="HE1079" s="27"/>
      <c r="HF1079" s="27"/>
      <c r="HG1079" s="27"/>
      <c r="HH1079" s="27"/>
      <c r="HI1079" s="27"/>
      <c r="HJ1079" s="27"/>
      <c r="HK1079" s="27"/>
      <c r="HL1079" s="27"/>
      <c r="HM1079" s="27"/>
      <c r="HN1079" s="27"/>
      <c r="HO1079" s="27"/>
      <c r="HP1079" s="27"/>
      <c r="HQ1079" s="27"/>
      <c r="HR1079" s="27"/>
      <c r="HS1079" s="27"/>
      <c r="HT1079" s="27"/>
      <c r="HU1079" s="27"/>
      <c r="HV1079" s="27"/>
      <c r="HW1079" s="27"/>
      <c r="HX1079" s="27"/>
      <c r="HY1079" s="27"/>
      <c r="HZ1079" s="27"/>
      <c r="IA1079" s="27"/>
      <c r="IB1079" s="27"/>
      <c r="IC1079" s="27"/>
      <c r="ID1079" s="27"/>
      <c r="IE1079" s="27"/>
      <c r="IF1079" s="27"/>
      <c r="IG1079" s="27"/>
      <c r="IH1079" s="27"/>
      <c r="II1079" s="27"/>
      <c r="IJ1079" s="27"/>
      <c r="IK1079" s="27"/>
      <c r="IL1079" s="27"/>
      <c r="IM1079" s="27"/>
      <c r="IN1079" s="27"/>
      <c r="IO1079" s="27"/>
      <c r="IP1079" s="27"/>
      <c r="IQ1079" s="27"/>
      <c r="IR1079" s="27"/>
      <c r="IS1079" s="27"/>
      <c r="IT1079" s="27"/>
      <c r="IU1079" s="27"/>
      <c r="IV1079" s="27"/>
      <c r="IW1079" s="27"/>
      <c r="IX1079" s="27"/>
    </row>
    <row r="1080" spans="1:258" ht="21.9" customHeight="1">
      <c r="A1080" s="37" t="s">
        <v>1182</v>
      </c>
      <c r="B1080" s="8" t="s">
        <v>662</v>
      </c>
      <c r="C1080" s="2">
        <f t="shared" si="661"/>
        <v>1342550</v>
      </c>
      <c r="D1080" s="3">
        <f t="shared" si="659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3">
        <v>244.1</v>
      </c>
      <c r="N1080" s="3">
        <f t="shared" si="677"/>
        <v>1342550</v>
      </c>
      <c r="O1080" s="3">
        <v>0</v>
      </c>
      <c r="P1080" s="3">
        <v>0</v>
      </c>
      <c r="Q1080" s="3">
        <v>0</v>
      </c>
      <c r="R1080" s="3">
        <f t="shared" si="657"/>
        <v>0</v>
      </c>
      <c r="S1080" s="3">
        <v>0</v>
      </c>
      <c r="T1080" s="5">
        <v>0</v>
      </c>
      <c r="U1080" s="3">
        <v>0</v>
      </c>
      <c r="V1080" s="6">
        <f t="shared" si="658"/>
        <v>5500</v>
      </c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7"/>
      <c r="AW1080" s="17"/>
      <c r="AX1080" s="17"/>
      <c r="AY1080" s="17"/>
      <c r="AZ1080" s="17"/>
      <c r="BA1080" s="17"/>
      <c r="BB1080" s="17"/>
      <c r="BC1080" s="17"/>
      <c r="BD1080" s="17"/>
      <c r="BE1080" s="17"/>
      <c r="BF1080" s="17"/>
      <c r="BG1080" s="17"/>
      <c r="BH1080" s="17"/>
      <c r="BI1080" s="17"/>
      <c r="BJ1080" s="17"/>
      <c r="BK1080" s="17"/>
      <c r="BL1080" s="17"/>
      <c r="BM1080" s="17"/>
      <c r="BN1080" s="17"/>
      <c r="BO1080" s="17"/>
      <c r="BP1080" s="17"/>
      <c r="BQ1080" s="17"/>
      <c r="BR1080" s="17"/>
      <c r="BS1080" s="17"/>
      <c r="BT1080" s="17"/>
      <c r="BU1080" s="17"/>
      <c r="BV1080" s="17"/>
      <c r="BW1080" s="17"/>
      <c r="BX1080" s="17"/>
      <c r="BY1080" s="17"/>
      <c r="BZ1080" s="17"/>
      <c r="CA1080" s="17"/>
      <c r="CB1080" s="17"/>
      <c r="CC1080" s="17"/>
      <c r="CD1080" s="17"/>
      <c r="CE1080" s="17"/>
      <c r="CF1080" s="17"/>
      <c r="CG1080" s="17"/>
      <c r="CH1080" s="17"/>
      <c r="CI1080" s="17"/>
      <c r="CJ1080" s="17"/>
      <c r="CK1080" s="17"/>
      <c r="CL1080" s="17"/>
      <c r="CM1080" s="17"/>
      <c r="CN1080" s="17"/>
      <c r="CO1080" s="17"/>
      <c r="CP1080" s="17"/>
      <c r="CQ1080" s="17"/>
      <c r="CR1080" s="17"/>
      <c r="CS1080" s="17"/>
      <c r="CT1080" s="17"/>
      <c r="CU1080" s="17"/>
      <c r="CV1080" s="17"/>
      <c r="CW1080" s="17"/>
      <c r="CX1080" s="17"/>
      <c r="CY1080" s="17"/>
      <c r="CZ1080" s="17"/>
      <c r="DA1080" s="17"/>
      <c r="DB1080" s="17"/>
      <c r="DC1080" s="17"/>
      <c r="DD1080" s="17"/>
      <c r="DE1080" s="17"/>
      <c r="DF1080" s="17"/>
      <c r="DG1080" s="17"/>
      <c r="DH1080" s="17"/>
      <c r="DI1080" s="17"/>
      <c r="DJ1080" s="17"/>
      <c r="DK1080" s="17"/>
      <c r="DL1080" s="17"/>
      <c r="DM1080" s="17"/>
      <c r="DN1080" s="17"/>
      <c r="DO1080" s="17"/>
      <c r="DP1080" s="17"/>
      <c r="DQ1080" s="17"/>
      <c r="DR1080" s="17"/>
      <c r="DS1080" s="17"/>
      <c r="DT1080" s="17"/>
      <c r="DU1080" s="17"/>
      <c r="DV1080" s="17"/>
      <c r="DW1080" s="17"/>
      <c r="DX1080" s="17"/>
      <c r="DY1080" s="17"/>
      <c r="DZ1080" s="17"/>
      <c r="EA1080" s="17"/>
      <c r="EB1080" s="17"/>
      <c r="EC1080" s="17"/>
      <c r="ED1080" s="17"/>
      <c r="EE1080" s="17"/>
      <c r="EF1080" s="17"/>
      <c r="EG1080" s="17"/>
      <c r="EH1080" s="17"/>
      <c r="EI1080" s="17"/>
      <c r="EJ1080" s="17"/>
      <c r="EK1080" s="17"/>
      <c r="EL1080" s="17"/>
      <c r="EM1080" s="17"/>
      <c r="EN1080" s="17"/>
      <c r="EO1080" s="17"/>
      <c r="EP1080" s="17"/>
      <c r="EQ1080" s="17"/>
      <c r="ER1080" s="17"/>
      <c r="ES1080" s="17"/>
      <c r="ET1080" s="17"/>
      <c r="EU1080" s="17"/>
      <c r="EV1080" s="17"/>
      <c r="EW1080" s="17"/>
      <c r="EX1080" s="17"/>
      <c r="EY1080" s="17"/>
      <c r="EZ1080" s="17"/>
      <c r="FA1080" s="17"/>
      <c r="FB1080" s="17"/>
      <c r="FC1080" s="17"/>
      <c r="FD1080" s="17"/>
      <c r="FE1080" s="17"/>
      <c r="FF1080" s="17"/>
      <c r="FG1080" s="17"/>
      <c r="FH1080" s="17"/>
      <c r="FI1080" s="17"/>
      <c r="FJ1080" s="17"/>
      <c r="FK1080" s="17"/>
      <c r="FL1080" s="17"/>
      <c r="FM1080" s="17"/>
      <c r="FN1080" s="17"/>
      <c r="FO1080" s="17"/>
      <c r="FP1080" s="17"/>
      <c r="FQ1080" s="17"/>
      <c r="FR1080" s="17"/>
      <c r="FS1080" s="17"/>
      <c r="FT1080" s="17"/>
      <c r="FU1080" s="17"/>
      <c r="FV1080" s="17"/>
      <c r="FW1080" s="17"/>
      <c r="FX1080" s="17"/>
      <c r="FY1080" s="17"/>
      <c r="FZ1080" s="17"/>
      <c r="GA1080" s="17"/>
      <c r="GB1080" s="17"/>
      <c r="GC1080" s="17"/>
      <c r="GD1080" s="17"/>
      <c r="GE1080" s="17"/>
      <c r="GF1080" s="17"/>
      <c r="GG1080" s="17"/>
      <c r="GH1080" s="17"/>
      <c r="GI1080" s="17"/>
      <c r="GJ1080" s="17"/>
      <c r="GK1080" s="17"/>
      <c r="GL1080" s="17"/>
      <c r="GM1080" s="17"/>
      <c r="GN1080" s="17"/>
      <c r="GO1080" s="17"/>
      <c r="GP1080" s="17"/>
      <c r="GQ1080" s="17"/>
      <c r="GR1080" s="17"/>
      <c r="GS1080" s="17"/>
      <c r="GT1080" s="17"/>
      <c r="GU1080" s="17"/>
      <c r="GV1080" s="17"/>
      <c r="GW1080" s="17"/>
      <c r="GX1080" s="17"/>
      <c r="GY1080" s="17"/>
      <c r="GZ1080" s="17"/>
      <c r="HA1080" s="17"/>
      <c r="HB1080" s="17"/>
      <c r="HC1080" s="17"/>
      <c r="HD1080" s="17"/>
      <c r="HE1080" s="17"/>
      <c r="HF1080" s="17"/>
      <c r="HG1080" s="17"/>
      <c r="HH1080" s="17"/>
      <c r="HI1080" s="17"/>
      <c r="HJ1080" s="17"/>
      <c r="HK1080" s="17"/>
      <c r="HL1080" s="17"/>
      <c r="HM1080" s="17"/>
      <c r="HN1080" s="17"/>
      <c r="HO1080" s="17"/>
      <c r="HP1080" s="17"/>
      <c r="HQ1080" s="17"/>
      <c r="HR1080" s="17"/>
      <c r="HS1080" s="17"/>
      <c r="HT1080" s="17"/>
      <c r="HU1080" s="17"/>
      <c r="HV1080" s="17"/>
      <c r="HW1080" s="17"/>
      <c r="HX1080" s="17"/>
      <c r="HY1080" s="17"/>
      <c r="HZ1080" s="17"/>
      <c r="IA1080" s="17"/>
      <c r="IB1080" s="17"/>
      <c r="IC1080" s="17"/>
      <c r="ID1080" s="17"/>
      <c r="IE1080" s="17"/>
      <c r="IF1080" s="17"/>
      <c r="IG1080" s="17"/>
      <c r="IH1080" s="17"/>
      <c r="II1080" s="17"/>
      <c r="IJ1080" s="17"/>
      <c r="IK1080" s="17"/>
      <c r="IL1080" s="17"/>
      <c r="IM1080" s="17"/>
      <c r="IN1080" s="17"/>
      <c r="IO1080" s="17"/>
      <c r="IP1080" s="17"/>
      <c r="IQ1080" s="17"/>
      <c r="IR1080" s="17"/>
      <c r="IS1080" s="17"/>
      <c r="IT1080" s="17"/>
      <c r="IU1080" s="17"/>
      <c r="IV1080" s="17"/>
      <c r="IW1080" s="17"/>
      <c r="IX1080" s="17"/>
    </row>
    <row r="1081" spans="1:258" ht="21.9" customHeight="1">
      <c r="A1081" s="37" t="s">
        <v>1183</v>
      </c>
      <c r="B1081" s="8" t="s">
        <v>754</v>
      </c>
      <c r="C1081" s="2">
        <f t="shared" si="661"/>
        <v>1346400</v>
      </c>
      <c r="D1081" s="3">
        <f t="shared" si="659"/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4">
        <v>0</v>
      </c>
      <c r="L1081" s="3">
        <v>0</v>
      </c>
      <c r="M1081" s="5">
        <v>244.8</v>
      </c>
      <c r="N1081" s="3">
        <f t="shared" si="677"/>
        <v>1346400</v>
      </c>
      <c r="O1081" s="3">
        <v>0</v>
      </c>
      <c r="P1081" s="3">
        <v>0</v>
      </c>
      <c r="Q1081" s="3">
        <v>0</v>
      </c>
      <c r="R1081" s="3">
        <f t="shared" si="657"/>
        <v>0</v>
      </c>
      <c r="S1081" s="3">
        <v>0</v>
      </c>
      <c r="T1081" s="5">
        <v>0</v>
      </c>
      <c r="U1081" s="3">
        <v>0</v>
      </c>
      <c r="V1081" s="6">
        <f t="shared" si="658"/>
        <v>5500</v>
      </c>
    </row>
    <row r="1082" spans="1:258" ht="21.9" customHeight="1">
      <c r="A1082" s="37" t="s">
        <v>1184</v>
      </c>
      <c r="B1082" s="8" t="s">
        <v>755</v>
      </c>
      <c r="C1082" s="2">
        <f t="shared" si="661"/>
        <v>1646400</v>
      </c>
      <c r="D1082" s="3">
        <f t="shared" si="659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5">
        <v>244.8</v>
      </c>
      <c r="N1082" s="3">
        <f t="shared" si="677"/>
        <v>1346400</v>
      </c>
      <c r="O1082" s="3">
        <v>0</v>
      </c>
      <c r="P1082" s="3">
        <v>0</v>
      </c>
      <c r="Q1082" s="3">
        <v>0</v>
      </c>
      <c r="R1082" s="3">
        <f t="shared" si="657"/>
        <v>0</v>
      </c>
      <c r="S1082" s="3">
        <v>0</v>
      </c>
      <c r="T1082" s="5">
        <v>0</v>
      </c>
      <c r="U1082" s="3">
        <v>300000</v>
      </c>
      <c r="V1082" s="6">
        <f t="shared" si="658"/>
        <v>5500</v>
      </c>
    </row>
    <row r="1083" spans="1:258" ht="21.9" customHeight="1">
      <c r="A1083" s="37" t="s">
        <v>1185</v>
      </c>
      <c r="B1083" s="8" t="s">
        <v>663</v>
      </c>
      <c r="C1083" s="2">
        <f t="shared" si="661"/>
        <v>1353000</v>
      </c>
      <c r="D1083" s="3">
        <f t="shared" si="659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5">
        <v>246</v>
      </c>
      <c r="N1083" s="3">
        <f t="shared" si="677"/>
        <v>1353000</v>
      </c>
      <c r="O1083" s="3">
        <v>0</v>
      </c>
      <c r="P1083" s="3">
        <v>0</v>
      </c>
      <c r="Q1083" s="3">
        <v>0</v>
      </c>
      <c r="R1083" s="3">
        <f t="shared" si="657"/>
        <v>0</v>
      </c>
      <c r="S1083" s="3">
        <v>0</v>
      </c>
      <c r="T1083" s="5">
        <v>0</v>
      </c>
      <c r="U1083" s="3">
        <v>0</v>
      </c>
      <c r="V1083" s="6">
        <f t="shared" si="658"/>
        <v>5500</v>
      </c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7"/>
      <c r="AW1083" s="17"/>
      <c r="AX1083" s="17"/>
      <c r="AY1083" s="17"/>
      <c r="AZ1083" s="17"/>
      <c r="BA1083" s="17"/>
      <c r="BB1083" s="17"/>
      <c r="BC1083" s="17"/>
      <c r="BD1083" s="17"/>
      <c r="BE1083" s="17"/>
      <c r="BF1083" s="17"/>
      <c r="BG1083" s="17"/>
      <c r="BH1083" s="17"/>
      <c r="BI1083" s="17"/>
      <c r="BJ1083" s="17"/>
      <c r="BK1083" s="17"/>
      <c r="BL1083" s="17"/>
      <c r="BM1083" s="17"/>
      <c r="BN1083" s="17"/>
      <c r="BO1083" s="17"/>
      <c r="BP1083" s="17"/>
      <c r="BQ1083" s="17"/>
      <c r="BR1083" s="17"/>
      <c r="BS1083" s="17"/>
      <c r="BT1083" s="17"/>
      <c r="BU1083" s="17"/>
      <c r="BV1083" s="17"/>
      <c r="BW1083" s="17"/>
      <c r="BX1083" s="17"/>
      <c r="BY1083" s="17"/>
      <c r="BZ1083" s="17"/>
      <c r="CA1083" s="17"/>
      <c r="CB1083" s="17"/>
      <c r="CC1083" s="17"/>
      <c r="CD1083" s="17"/>
      <c r="CE1083" s="17"/>
      <c r="CF1083" s="17"/>
      <c r="CG1083" s="17"/>
      <c r="CH1083" s="17"/>
      <c r="CI1083" s="17"/>
      <c r="CJ1083" s="17"/>
      <c r="CK1083" s="17"/>
      <c r="CL1083" s="17"/>
      <c r="CM1083" s="17"/>
      <c r="CN1083" s="17"/>
      <c r="CO1083" s="17"/>
      <c r="CP1083" s="17"/>
      <c r="CQ1083" s="17"/>
      <c r="CR1083" s="17"/>
      <c r="CS1083" s="17"/>
      <c r="CT1083" s="17"/>
      <c r="CU1083" s="17"/>
      <c r="CV1083" s="17"/>
      <c r="CW1083" s="17"/>
      <c r="CX1083" s="17"/>
      <c r="CY1083" s="17"/>
      <c r="CZ1083" s="17"/>
      <c r="DA1083" s="17"/>
      <c r="DB1083" s="17"/>
      <c r="DC1083" s="17"/>
      <c r="DD1083" s="17"/>
      <c r="DE1083" s="17"/>
      <c r="DF1083" s="17"/>
      <c r="DG1083" s="17"/>
      <c r="DH1083" s="17"/>
      <c r="DI1083" s="17"/>
      <c r="DJ1083" s="17"/>
      <c r="DK1083" s="17"/>
      <c r="DL1083" s="17"/>
      <c r="DM1083" s="17"/>
      <c r="DN1083" s="17"/>
      <c r="DO1083" s="17"/>
      <c r="DP1083" s="17"/>
      <c r="DQ1083" s="17"/>
      <c r="DR1083" s="17"/>
      <c r="DS1083" s="17"/>
      <c r="DT1083" s="17"/>
      <c r="DU1083" s="17"/>
      <c r="DV1083" s="17"/>
      <c r="DW1083" s="17"/>
      <c r="DX1083" s="17"/>
      <c r="DY1083" s="17"/>
      <c r="DZ1083" s="17"/>
      <c r="EA1083" s="17"/>
      <c r="EB1083" s="17"/>
      <c r="EC1083" s="17"/>
      <c r="ED1083" s="17"/>
      <c r="EE1083" s="17"/>
      <c r="EF1083" s="17"/>
      <c r="EG1083" s="17"/>
      <c r="EH1083" s="17"/>
      <c r="EI1083" s="17"/>
      <c r="EJ1083" s="17"/>
      <c r="EK1083" s="17"/>
      <c r="EL1083" s="17"/>
      <c r="EM1083" s="17"/>
      <c r="EN1083" s="17"/>
      <c r="EO1083" s="17"/>
      <c r="EP1083" s="17"/>
      <c r="EQ1083" s="17"/>
      <c r="ER1083" s="17"/>
      <c r="ES1083" s="17"/>
      <c r="ET1083" s="17"/>
      <c r="EU1083" s="17"/>
      <c r="EV1083" s="17"/>
      <c r="EW1083" s="17"/>
      <c r="EX1083" s="17"/>
      <c r="EY1083" s="17"/>
      <c r="EZ1083" s="17"/>
      <c r="FA1083" s="17"/>
      <c r="FB1083" s="17"/>
      <c r="FC1083" s="17"/>
      <c r="FD1083" s="17"/>
      <c r="FE1083" s="17"/>
      <c r="FF1083" s="17"/>
      <c r="FG1083" s="17"/>
      <c r="FH1083" s="17"/>
      <c r="FI1083" s="17"/>
      <c r="FJ1083" s="17"/>
      <c r="FK1083" s="17"/>
      <c r="FL1083" s="17"/>
      <c r="FM1083" s="17"/>
      <c r="FN1083" s="17"/>
      <c r="FO1083" s="17"/>
      <c r="FP1083" s="17"/>
      <c r="FQ1083" s="17"/>
      <c r="FR1083" s="17"/>
      <c r="FS1083" s="17"/>
      <c r="FT1083" s="17"/>
      <c r="FU1083" s="17"/>
      <c r="FV1083" s="17"/>
      <c r="FW1083" s="17"/>
      <c r="FX1083" s="17"/>
      <c r="FY1083" s="17"/>
      <c r="FZ1083" s="17"/>
      <c r="GA1083" s="17"/>
      <c r="GB1083" s="17"/>
      <c r="GC1083" s="17"/>
      <c r="GD1083" s="17"/>
      <c r="GE1083" s="17"/>
      <c r="GF1083" s="17"/>
      <c r="GG1083" s="17"/>
      <c r="GH1083" s="17"/>
      <c r="GI1083" s="17"/>
      <c r="GJ1083" s="17"/>
      <c r="GK1083" s="17"/>
      <c r="GL1083" s="17"/>
      <c r="GM1083" s="17"/>
      <c r="GN1083" s="17"/>
      <c r="GO1083" s="17"/>
      <c r="GP1083" s="17"/>
      <c r="GQ1083" s="17"/>
      <c r="GR1083" s="17"/>
      <c r="GS1083" s="17"/>
      <c r="GT1083" s="17"/>
      <c r="GU1083" s="17"/>
      <c r="GV1083" s="17"/>
      <c r="GW1083" s="17"/>
      <c r="GX1083" s="17"/>
      <c r="GY1083" s="17"/>
      <c r="GZ1083" s="17"/>
      <c r="HA1083" s="17"/>
      <c r="HB1083" s="17"/>
      <c r="HC1083" s="17"/>
      <c r="HD1083" s="17"/>
      <c r="HE1083" s="17"/>
      <c r="HF1083" s="17"/>
      <c r="HG1083" s="17"/>
      <c r="HH1083" s="17"/>
      <c r="HI1083" s="17"/>
      <c r="HJ1083" s="17"/>
      <c r="HK1083" s="17"/>
      <c r="HL1083" s="17"/>
      <c r="HM1083" s="17"/>
      <c r="HN1083" s="17"/>
      <c r="HO1083" s="17"/>
      <c r="HP1083" s="17"/>
      <c r="HQ1083" s="17"/>
      <c r="HR1083" s="17"/>
      <c r="HS1083" s="17"/>
      <c r="HT1083" s="17"/>
      <c r="HU1083" s="17"/>
      <c r="HV1083" s="17"/>
      <c r="HW1083" s="17"/>
      <c r="HX1083" s="17"/>
      <c r="HY1083" s="17"/>
      <c r="HZ1083" s="17"/>
      <c r="IA1083" s="17"/>
      <c r="IB1083" s="17"/>
      <c r="IC1083" s="17"/>
      <c r="ID1083" s="17"/>
      <c r="IE1083" s="17"/>
      <c r="IF1083" s="17"/>
      <c r="IG1083" s="17"/>
      <c r="IH1083" s="17"/>
      <c r="II1083" s="17"/>
      <c r="IJ1083" s="17"/>
      <c r="IK1083" s="17"/>
      <c r="IL1083" s="17"/>
      <c r="IM1083" s="17"/>
      <c r="IN1083" s="17"/>
      <c r="IO1083" s="17"/>
      <c r="IP1083" s="17"/>
      <c r="IQ1083" s="17"/>
      <c r="IR1083" s="17"/>
      <c r="IS1083" s="17"/>
      <c r="IT1083" s="17"/>
      <c r="IU1083" s="17"/>
      <c r="IV1083" s="17"/>
      <c r="IW1083" s="17"/>
      <c r="IX1083" s="17"/>
    </row>
    <row r="1084" spans="1:258" ht="21.9" customHeight="1">
      <c r="A1084" s="37" t="s">
        <v>1186</v>
      </c>
      <c r="B1084" s="8" t="s">
        <v>664</v>
      </c>
      <c r="C1084" s="2">
        <f t="shared" si="661"/>
        <v>1370600</v>
      </c>
      <c r="D1084" s="3">
        <f t="shared" si="659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3">
        <v>249.2</v>
      </c>
      <c r="N1084" s="3">
        <f t="shared" si="677"/>
        <v>1370600</v>
      </c>
      <c r="O1084" s="3">
        <v>0</v>
      </c>
      <c r="P1084" s="3">
        <v>0</v>
      </c>
      <c r="Q1084" s="3">
        <v>0</v>
      </c>
      <c r="R1084" s="3">
        <f t="shared" si="657"/>
        <v>0</v>
      </c>
      <c r="S1084" s="3">
        <v>0</v>
      </c>
      <c r="T1084" s="5">
        <v>0</v>
      </c>
      <c r="U1084" s="3">
        <v>0</v>
      </c>
      <c r="V1084" s="6">
        <f t="shared" si="658"/>
        <v>5500</v>
      </c>
    </row>
    <row r="1085" spans="1:258" ht="21.9" customHeight="1">
      <c r="A1085" s="37" t="s">
        <v>1295</v>
      </c>
      <c r="B1085" s="8" t="s">
        <v>665</v>
      </c>
      <c r="C1085" s="2">
        <f t="shared" si="661"/>
        <v>1456400</v>
      </c>
      <c r="D1085" s="3">
        <f t="shared" si="659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3">
        <v>264.8</v>
      </c>
      <c r="N1085" s="3">
        <f t="shared" si="677"/>
        <v>1456400</v>
      </c>
      <c r="O1085" s="3">
        <v>0</v>
      </c>
      <c r="P1085" s="3">
        <v>0</v>
      </c>
      <c r="Q1085" s="3">
        <v>0</v>
      </c>
      <c r="R1085" s="3">
        <f t="shared" si="657"/>
        <v>0</v>
      </c>
      <c r="S1085" s="3">
        <v>0</v>
      </c>
      <c r="T1085" s="5">
        <v>0</v>
      </c>
      <c r="U1085" s="3">
        <v>0</v>
      </c>
      <c r="V1085" s="6">
        <f t="shared" si="658"/>
        <v>5500</v>
      </c>
    </row>
    <row r="1086" spans="1:258" ht="21.9" customHeight="1">
      <c r="A1086" s="37" t="s">
        <v>1296</v>
      </c>
      <c r="B1086" s="8" t="s">
        <v>567</v>
      </c>
      <c r="C1086" s="2">
        <f t="shared" si="661"/>
        <v>1533400</v>
      </c>
      <c r="D1086" s="3">
        <f t="shared" ref="D1086" si="678">SUM(E1086:J1086)</f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11">
        <v>0</v>
      </c>
      <c r="L1086" s="5">
        <v>0</v>
      </c>
      <c r="M1086" s="5">
        <v>278.8</v>
      </c>
      <c r="N1086" s="3">
        <f t="shared" si="677"/>
        <v>1533400</v>
      </c>
      <c r="O1086" s="5">
        <v>0</v>
      </c>
      <c r="P1086" s="5">
        <v>0</v>
      </c>
      <c r="Q1086" s="5">
        <v>0</v>
      </c>
      <c r="R1086" s="3">
        <f t="shared" si="657"/>
        <v>0</v>
      </c>
      <c r="S1086" s="5">
        <v>0</v>
      </c>
      <c r="T1086" s="5">
        <v>0</v>
      </c>
      <c r="U1086" s="5">
        <v>0</v>
      </c>
      <c r="V1086" s="6">
        <f t="shared" si="658"/>
        <v>5500</v>
      </c>
    </row>
    <row r="1087" spans="1:258" ht="21.9" customHeight="1">
      <c r="A1087" s="37" t="s">
        <v>1297</v>
      </c>
      <c r="B1087" s="8" t="s">
        <v>996</v>
      </c>
      <c r="C1087" s="2">
        <f t="shared" si="661"/>
        <v>6650000</v>
      </c>
      <c r="D1087" s="3">
        <f t="shared" si="659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3</v>
      </c>
      <c r="L1087" s="3">
        <f>K1087*2150000</f>
        <v>6450000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f t="shared" si="657"/>
        <v>0</v>
      </c>
      <c r="S1087" s="3">
        <v>0</v>
      </c>
      <c r="T1087" s="5">
        <v>0</v>
      </c>
      <c r="U1087" s="3">
        <v>200000</v>
      </c>
      <c r="V1087" s="6" t="e">
        <f t="shared" si="658"/>
        <v>#DIV/0!</v>
      </c>
    </row>
    <row r="1088" spans="1:258" ht="21.9" customHeight="1">
      <c r="A1088" s="37" t="s">
        <v>1298</v>
      </c>
      <c r="B1088" s="8" t="s">
        <v>1285</v>
      </c>
      <c r="C1088" s="2">
        <f t="shared" si="661"/>
        <v>2250000</v>
      </c>
      <c r="D1088" s="3">
        <f t="shared" si="659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1</v>
      </c>
      <c r="L1088" s="3">
        <v>2150000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5">
        <v>0</v>
      </c>
      <c r="U1088" s="3">
        <v>100000</v>
      </c>
      <c r="V1088" s="6" t="e">
        <f t="shared" si="658"/>
        <v>#DIV/0!</v>
      </c>
    </row>
    <row r="1089" spans="1:22" ht="21.9" customHeight="1">
      <c r="A1089" s="37" t="s">
        <v>1299</v>
      </c>
      <c r="B1089" s="8" t="s">
        <v>756</v>
      </c>
      <c r="C1089" s="2">
        <f t="shared" si="661"/>
        <v>3512758</v>
      </c>
      <c r="D1089" s="3">
        <f t="shared" si="659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5">
        <v>953</v>
      </c>
      <c r="N1089" s="3">
        <f t="shared" ref="N1089:N1092" si="679">M1089*3686</f>
        <v>3512758</v>
      </c>
      <c r="O1089" s="3">
        <v>0</v>
      </c>
      <c r="P1089" s="3">
        <v>0</v>
      </c>
      <c r="Q1089" s="3">
        <v>0</v>
      </c>
      <c r="R1089" s="3">
        <f t="shared" si="657"/>
        <v>0</v>
      </c>
      <c r="S1089" s="3">
        <v>0</v>
      </c>
      <c r="T1089" s="5">
        <v>0</v>
      </c>
      <c r="U1089" s="3">
        <v>0</v>
      </c>
      <c r="V1089" s="6">
        <f t="shared" si="658"/>
        <v>3686</v>
      </c>
    </row>
    <row r="1090" spans="1:22" ht="21.9" customHeight="1">
      <c r="A1090" s="37" t="s">
        <v>1300</v>
      </c>
      <c r="B1090" s="8" t="s">
        <v>815</v>
      </c>
      <c r="C1090" s="2">
        <f t="shared" si="661"/>
        <v>16689674.5</v>
      </c>
      <c r="D1090" s="3">
        <f t="shared" si="659"/>
        <v>6044834.5</v>
      </c>
      <c r="E1090" s="3">
        <f>350*2572.27</f>
        <v>900294.5</v>
      </c>
      <c r="F1090" s="3">
        <f>1050*2572.27</f>
        <v>2700883.5</v>
      </c>
      <c r="G1090" s="3">
        <f>300*2572.27</f>
        <v>771681</v>
      </c>
      <c r="H1090" s="3">
        <f>400*2572.27</f>
        <v>1028908</v>
      </c>
      <c r="I1090" s="3">
        <f>250*2572.27</f>
        <v>643067.5</v>
      </c>
      <c r="J1090" s="3">
        <v>0</v>
      </c>
      <c r="K1090" s="4">
        <v>0</v>
      </c>
      <c r="L1090" s="3">
        <v>0</v>
      </c>
      <c r="M1090" s="5">
        <v>940</v>
      </c>
      <c r="N1090" s="3">
        <f t="shared" si="679"/>
        <v>3464840</v>
      </c>
      <c r="O1090" s="3">
        <v>0</v>
      </c>
      <c r="P1090" s="3">
        <v>0</v>
      </c>
      <c r="Q1090" s="5">
        <v>2360</v>
      </c>
      <c r="R1090" s="3">
        <f t="shared" si="657"/>
        <v>7080000</v>
      </c>
      <c r="S1090" s="5">
        <v>0</v>
      </c>
      <c r="T1090" s="5">
        <v>0</v>
      </c>
      <c r="U1090" s="3">
        <v>100000</v>
      </c>
      <c r="V1090" s="6">
        <f t="shared" si="658"/>
        <v>3686</v>
      </c>
    </row>
    <row r="1091" spans="1:22" ht="21.9" customHeight="1">
      <c r="A1091" s="37" t="s">
        <v>1301</v>
      </c>
      <c r="B1091" s="8" t="s">
        <v>816</v>
      </c>
      <c r="C1091" s="2">
        <f t="shared" si="661"/>
        <v>21196788</v>
      </c>
      <c r="D1091" s="3">
        <f t="shared" si="659"/>
        <v>8730344</v>
      </c>
      <c r="E1091" s="3">
        <f>350*3715.04</f>
        <v>1300264</v>
      </c>
      <c r="F1091" s="3">
        <f>1050*3715.04</f>
        <v>3900792</v>
      </c>
      <c r="G1091" s="3">
        <f>300*3715.04</f>
        <v>1114512</v>
      </c>
      <c r="H1091" s="3">
        <f>400*3715.04</f>
        <v>1486016</v>
      </c>
      <c r="I1091" s="3">
        <f>250*3715.04</f>
        <v>928760</v>
      </c>
      <c r="J1091" s="3">
        <v>0</v>
      </c>
      <c r="K1091" s="4">
        <v>0</v>
      </c>
      <c r="L1091" s="3">
        <v>0</v>
      </c>
      <c r="M1091" s="5">
        <v>954</v>
      </c>
      <c r="N1091" s="3">
        <f t="shared" si="679"/>
        <v>3516444</v>
      </c>
      <c r="O1091" s="3">
        <v>0</v>
      </c>
      <c r="P1091" s="3">
        <v>0</v>
      </c>
      <c r="Q1091" s="3">
        <v>2950</v>
      </c>
      <c r="R1091" s="3">
        <f t="shared" si="657"/>
        <v>8850000</v>
      </c>
      <c r="S1091" s="3">
        <v>0</v>
      </c>
      <c r="T1091" s="5">
        <v>0</v>
      </c>
      <c r="U1091" s="3">
        <v>100000</v>
      </c>
      <c r="V1091" s="6">
        <f t="shared" si="658"/>
        <v>3686</v>
      </c>
    </row>
    <row r="1092" spans="1:22" ht="21.9" customHeight="1">
      <c r="A1092" s="37" t="s">
        <v>1302</v>
      </c>
      <c r="B1092" s="8" t="s">
        <v>817</v>
      </c>
      <c r="C1092" s="2">
        <f t="shared" si="661"/>
        <v>16648062</v>
      </c>
      <c r="D1092" s="3">
        <f t="shared" si="659"/>
        <v>5984792</v>
      </c>
      <c r="E1092" s="3">
        <f>350*2546.72</f>
        <v>891351.99999999988</v>
      </c>
      <c r="F1092" s="3">
        <f>1050*2546.72</f>
        <v>2674056</v>
      </c>
      <c r="G1092" s="3">
        <f>300*2546.72</f>
        <v>764015.99999999988</v>
      </c>
      <c r="H1092" s="3">
        <f>400*2546.72</f>
        <v>1018687.9999999999</v>
      </c>
      <c r="I1092" s="3">
        <f>250*2546.72</f>
        <v>636680</v>
      </c>
      <c r="J1092" s="3">
        <v>0</v>
      </c>
      <c r="K1092" s="4">
        <v>0</v>
      </c>
      <c r="L1092" s="3">
        <v>0</v>
      </c>
      <c r="M1092" s="5">
        <v>945</v>
      </c>
      <c r="N1092" s="3">
        <f t="shared" si="679"/>
        <v>3483270</v>
      </c>
      <c r="O1092" s="3">
        <v>0</v>
      </c>
      <c r="P1092" s="3">
        <v>0</v>
      </c>
      <c r="Q1092" s="5">
        <v>2360</v>
      </c>
      <c r="R1092" s="3">
        <f t="shared" si="657"/>
        <v>7080000</v>
      </c>
      <c r="S1092" s="3">
        <v>0</v>
      </c>
      <c r="T1092" s="5">
        <v>0</v>
      </c>
      <c r="U1092" s="5">
        <v>100000</v>
      </c>
      <c r="V1092" s="6">
        <f t="shared" si="658"/>
        <v>3686</v>
      </c>
    </row>
    <row r="1093" spans="1:22" ht="21.9" customHeight="1">
      <c r="A1093" s="37" t="s">
        <v>1303</v>
      </c>
      <c r="B1093" s="8" t="s">
        <v>666</v>
      </c>
      <c r="C1093" s="2">
        <f t="shared" si="661"/>
        <v>4536350</v>
      </c>
      <c r="D1093" s="3">
        <f t="shared" si="659"/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11">
        <v>0</v>
      </c>
      <c r="L1093" s="5">
        <v>0</v>
      </c>
      <c r="M1093" s="5">
        <v>427.7</v>
      </c>
      <c r="N1093" s="3">
        <f t="shared" ref="N1093:N1100" si="680">M1093*5500</f>
        <v>2352350</v>
      </c>
      <c r="O1093" s="5">
        <v>0</v>
      </c>
      <c r="P1093" s="5">
        <v>0</v>
      </c>
      <c r="Q1093" s="5">
        <v>728</v>
      </c>
      <c r="R1093" s="3">
        <f t="shared" si="657"/>
        <v>2184000</v>
      </c>
      <c r="S1093" s="5">
        <v>0</v>
      </c>
      <c r="T1093" s="5">
        <v>0</v>
      </c>
      <c r="U1093" s="5">
        <v>0</v>
      </c>
      <c r="V1093" s="6">
        <f t="shared" si="658"/>
        <v>5500</v>
      </c>
    </row>
    <row r="1094" spans="1:22" ht="21.9" customHeight="1">
      <c r="A1094" s="37" t="s">
        <v>1304</v>
      </c>
      <c r="B1094" s="8" t="s">
        <v>667</v>
      </c>
      <c r="C1094" s="2">
        <f t="shared" si="661"/>
        <v>2761800</v>
      </c>
      <c r="D1094" s="3">
        <f t="shared" si="659"/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11">
        <v>0</v>
      </c>
      <c r="L1094" s="5">
        <v>0</v>
      </c>
      <c r="M1094" s="3">
        <v>303.60000000000002</v>
      </c>
      <c r="N1094" s="3">
        <f t="shared" si="680"/>
        <v>1669800.0000000002</v>
      </c>
      <c r="O1094" s="3">
        <v>0</v>
      </c>
      <c r="P1094" s="3">
        <v>0</v>
      </c>
      <c r="Q1094" s="3">
        <v>364</v>
      </c>
      <c r="R1094" s="3">
        <f t="shared" si="657"/>
        <v>1092000</v>
      </c>
      <c r="S1094" s="5">
        <v>0</v>
      </c>
      <c r="T1094" s="5">
        <v>0</v>
      </c>
      <c r="U1094" s="5">
        <v>0</v>
      </c>
      <c r="V1094" s="6">
        <f t="shared" si="658"/>
        <v>5500</v>
      </c>
    </row>
    <row r="1095" spans="1:22" ht="21.9" customHeight="1">
      <c r="A1095" s="37" t="s">
        <v>1328</v>
      </c>
      <c r="B1095" s="8" t="s">
        <v>668</v>
      </c>
      <c r="C1095" s="2">
        <f t="shared" si="661"/>
        <v>2742000</v>
      </c>
      <c r="D1095" s="3">
        <f t="shared" si="659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11">
        <v>0</v>
      </c>
      <c r="L1095" s="5">
        <v>0</v>
      </c>
      <c r="M1095" s="3">
        <v>300</v>
      </c>
      <c r="N1095" s="3">
        <f t="shared" si="680"/>
        <v>1650000</v>
      </c>
      <c r="O1095" s="3">
        <v>0</v>
      </c>
      <c r="P1095" s="3">
        <v>0</v>
      </c>
      <c r="Q1095" s="3">
        <v>364</v>
      </c>
      <c r="R1095" s="3">
        <f t="shared" si="657"/>
        <v>1092000</v>
      </c>
      <c r="S1095" s="3">
        <v>0</v>
      </c>
      <c r="T1095" s="5">
        <v>0</v>
      </c>
      <c r="U1095" s="5">
        <v>0</v>
      </c>
      <c r="V1095" s="6">
        <f t="shared" si="658"/>
        <v>5500</v>
      </c>
    </row>
    <row r="1096" spans="1:22" ht="21.9" customHeight="1">
      <c r="A1096" s="37" t="s">
        <v>1327</v>
      </c>
      <c r="B1096" s="8" t="s">
        <v>669</v>
      </c>
      <c r="C1096" s="2">
        <f t="shared" si="661"/>
        <v>2768950</v>
      </c>
      <c r="D1096" s="3">
        <f t="shared" si="659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11">
        <v>0</v>
      </c>
      <c r="L1096" s="5">
        <v>0</v>
      </c>
      <c r="M1096" s="3">
        <v>304.89999999999998</v>
      </c>
      <c r="N1096" s="3">
        <f t="shared" si="680"/>
        <v>1676949.9999999998</v>
      </c>
      <c r="O1096" s="3">
        <v>0</v>
      </c>
      <c r="P1096" s="3">
        <v>0</v>
      </c>
      <c r="Q1096" s="3">
        <v>364</v>
      </c>
      <c r="R1096" s="3">
        <f t="shared" si="657"/>
        <v>1092000</v>
      </c>
      <c r="S1096" s="3">
        <v>0</v>
      </c>
      <c r="T1096" s="5">
        <v>0</v>
      </c>
      <c r="U1096" s="5">
        <v>0</v>
      </c>
      <c r="V1096" s="6">
        <f t="shared" si="658"/>
        <v>5500</v>
      </c>
    </row>
    <row r="1097" spans="1:22" ht="21.9" customHeight="1">
      <c r="A1097" s="37" t="s">
        <v>1326</v>
      </c>
      <c r="B1097" s="8" t="s">
        <v>757</v>
      </c>
      <c r="C1097" s="2">
        <f t="shared" si="661"/>
        <v>3828000</v>
      </c>
      <c r="D1097" s="3">
        <f t="shared" si="659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4">
        <v>0</v>
      </c>
      <c r="L1097" s="3">
        <v>0</v>
      </c>
      <c r="M1097" s="5">
        <v>696</v>
      </c>
      <c r="N1097" s="3">
        <f t="shared" si="680"/>
        <v>3828000</v>
      </c>
      <c r="O1097" s="3">
        <v>0</v>
      </c>
      <c r="P1097" s="3">
        <v>0</v>
      </c>
      <c r="Q1097" s="3">
        <v>0</v>
      </c>
      <c r="R1097" s="3">
        <f t="shared" si="657"/>
        <v>0</v>
      </c>
      <c r="S1097" s="3">
        <v>0</v>
      </c>
      <c r="T1097" s="5">
        <v>0</v>
      </c>
      <c r="U1097" s="3">
        <v>0</v>
      </c>
      <c r="V1097" s="6">
        <f t="shared" si="658"/>
        <v>5500</v>
      </c>
    </row>
    <row r="1098" spans="1:22" ht="21.9" customHeight="1">
      <c r="A1098" s="37" t="s">
        <v>1325</v>
      </c>
      <c r="B1098" s="8" t="s">
        <v>420</v>
      </c>
      <c r="C1098" s="2">
        <f t="shared" si="661"/>
        <v>4082649.9999999995</v>
      </c>
      <c r="D1098" s="3">
        <f t="shared" si="659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3">
        <v>742.3</v>
      </c>
      <c r="N1098" s="3">
        <f t="shared" si="680"/>
        <v>4082649.9999999995</v>
      </c>
      <c r="O1098" s="3">
        <v>0</v>
      </c>
      <c r="P1098" s="3">
        <v>0</v>
      </c>
      <c r="Q1098" s="3">
        <v>0</v>
      </c>
      <c r="R1098" s="3">
        <f t="shared" si="657"/>
        <v>0</v>
      </c>
      <c r="S1098" s="3">
        <v>0</v>
      </c>
      <c r="T1098" s="5">
        <v>0</v>
      </c>
      <c r="U1098" s="3">
        <v>0</v>
      </c>
      <c r="V1098" s="6">
        <f t="shared" si="658"/>
        <v>5500</v>
      </c>
    </row>
    <row r="1099" spans="1:22" ht="21.9" customHeight="1">
      <c r="A1099" s="37" t="s">
        <v>1324</v>
      </c>
      <c r="B1099" s="8" t="s">
        <v>421</v>
      </c>
      <c r="C1099" s="2">
        <f t="shared" si="661"/>
        <v>2673000</v>
      </c>
      <c r="D1099" s="3">
        <f t="shared" si="659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3">
        <v>486</v>
      </c>
      <c r="N1099" s="3">
        <f t="shared" si="680"/>
        <v>2673000</v>
      </c>
      <c r="O1099" s="3">
        <v>0</v>
      </c>
      <c r="P1099" s="3">
        <v>0</v>
      </c>
      <c r="Q1099" s="3">
        <v>0</v>
      </c>
      <c r="R1099" s="3">
        <f t="shared" si="657"/>
        <v>0</v>
      </c>
      <c r="S1099" s="3">
        <v>0</v>
      </c>
      <c r="T1099" s="5">
        <v>0</v>
      </c>
      <c r="U1099" s="3">
        <v>0</v>
      </c>
      <c r="V1099" s="6">
        <f t="shared" si="658"/>
        <v>5500</v>
      </c>
    </row>
    <row r="1100" spans="1:22" ht="21.9" customHeight="1">
      <c r="A1100" s="37" t="s">
        <v>1323</v>
      </c>
      <c r="B1100" s="8" t="s">
        <v>670</v>
      </c>
      <c r="C1100" s="2">
        <f t="shared" si="661"/>
        <v>2997500</v>
      </c>
      <c r="D1100" s="3">
        <f t="shared" si="659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545</v>
      </c>
      <c r="N1100" s="3">
        <f t="shared" si="680"/>
        <v>2997500</v>
      </c>
      <c r="O1100" s="3">
        <v>0</v>
      </c>
      <c r="P1100" s="3">
        <v>0</v>
      </c>
      <c r="Q1100" s="3">
        <v>0</v>
      </c>
      <c r="R1100" s="3">
        <f t="shared" si="657"/>
        <v>0</v>
      </c>
      <c r="S1100" s="3">
        <v>0</v>
      </c>
      <c r="T1100" s="5">
        <v>0</v>
      </c>
      <c r="U1100" s="3">
        <v>0</v>
      </c>
      <c r="V1100" s="6">
        <f t="shared" si="658"/>
        <v>5500</v>
      </c>
    </row>
    <row r="1101" spans="1:22" ht="42.9" customHeight="1">
      <c r="A1101" s="53" t="s">
        <v>304</v>
      </c>
      <c r="B1101" s="53"/>
      <c r="C1101" s="2">
        <f>SUM(C1102)</f>
        <v>8609395</v>
      </c>
      <c r="D1101" s="2">
        <f t="shared" ref="D1101:U1101" si="681">SUM(D1102)</f>
        <v>4364655</v>
      </c>
      <c r="E1101" s="2">
        <f t="shared" si="681"/>
        <v>650055</v>
      </c>
      <c r="F1101" s="2">
        <f t="shared" si="681"/>
        <v>1950165</v>
      </c>
      <c r="G1101" s="2">
        <f t="shared" si="681"/>
        <v>557190</v>
      </c>
      <c r="H1101" s="2">
        <f t="shared" si="681"/>
        <v>742920</v>
      </c>
      <c r="I1101" s="2">
        <f t="shared" si="681"/>
        <v>464325</v>
      </c>
      <c r="J1101" s="2">
        <f t="shared" si="681"/>
        <v>0</v>
      </c>
      <c r="K1101" s="14">
        <f t="shared" si="681"/>
        <v>0</v>
      </c>
      <c r="L1101" s="2">
        <f t="shared" si="681"/>
        <v>0</v>
      </c>
      <c r="M1101" s="2">
        <f t="shared" si="681"/>
        <v>0</v>
      </c>
      <c r="N1101" s="2">
        <f t="shared" si="681"/>
        <v>0</v>
      </c>
      <c r="O1101" s="2">
        <f t="shared" si="681"/>
        <v>0</v>
      </c>
      <c r="P1101" s="2">
        <f t="shared" si="681"/>
        <v>0</v>
      </c>
      <c r="Q1101" s="2">
        <f t="shared" si="681"/>
        <v>1381.58</v>
      </c>
      <c r="R1101" s="2">
        <f t="shared" si="681"/>
        <v>4144740</v>
      </c>
      <c r="S1101" s="2">
        <f t="shared" si="681"/>
        <v>0</v>
      </c>
      <c r="T1101" s="2">
        <f t="shared" si="681"/>
        <v>0</v>
      </c>
      <c r="U1101" s="2">
        <f t="shared" si="681"/>
        <v>100000</v>
      </c>
    </row>
    <row r="1102" spans="1:22" ht="23.1" customHeight="1">
      <c r="A1102" s="36" t="s">
        <v>1322</v>
      </c>
      <c r="B1102" s="8" t="s">
        <v>305</v>
      </c>
      <c r="C1102" s="2">
        <f t="shared" si="661"/>
        <v>8609395</v>
      </c>
      <c r="D1102" s="3">
        <f t="shared" ref="D1102" si="682">SUM(E1102:J1102)</f>
        <v>4364655</v>
      </c>
      <c r="E1102" s="5">
        <f>350*1857.3</f>
        <v>650055</v>
      </c>
      <c r="F1102" s="5">
        <f>1050*1857.3</f>
        <v>1950165</v>
      </c>
      <c r="G1102" s="5">
        <f>300*1857.3</f>
        <v>557190</v>
      </c>
      <c r="H1102" s="5">
        <f>400*1857.3</f>
        <v>742920</v>
      </c>
      <c r="I1102" s="5">
        <f>250*1857.3</f>
        <v>464325</v>
      </c>
      <c r="J1102" s="5">
        <f>350*0</f>
        <v>0</v>
      </c>
      <c r="K1102" s="11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1381.58</v>
      </c>
      <c r="R1102" s="3">
        <f>Q1102*3000</f>
        <v>4144740</v>
      </c>
      <c r="S1102" s="5">
        <v>0</v>
      </c>
      <c r="T1102" s="5">
        <v>0</v>
      </c>
      <c r="U1102" s="5">
        <v>100000</v>
      </c>
      <c r="V1102" s="6" t="e">
        <f t="shared" ref="V1102" si="683">N1102/M1102</f>
        <v>#DIV/0!</v>
      </c>
    </row>
    <row r="1103" spans="1:22" ht="42.9" customHeight="1">
      <c r="A1103" s="53" t="s">
        <v>280</v>
      </c>
      <c r="B1103" s="53"/>
      <c r="C1103" s="2">
        <f>SUM(C1104)</f>
        <v>4446820</v>
      </c>
      <c r="D1103" s="2">
        <f t="shared" ref="D1103:U1103" si="684">SUM(D1104)</f>
        <v>814320</v>
      </c>
      <c r="E1103" s="2">
        <f t="shared" si="684"/>
        <v>146160</v>
      </c>
      <c r="F1103" s="2">
        <f t="shared" si="684"/>
        <v>438480</v>
      </c>
      <c r="G1103" s="2">
        <f t="shared" si="684"/>
        <v>125280</v>
      </c>
      <c r="H1103" s="2">
        <f t="shared" si="684"/>
        <v>0</v>
      </c>
      <c r="I1103" s="2">
        <f t="shared" si="684"/>
        <v>104400</v>
      </c>
      <c r="J1103" s="2">
        <f t="shared" si="684"/>
        <v>0</v>
      </c>
      <c r="K1103" s="14">
        <f t="shared" si="684"/>
        <v>0</v>
      </c>
      <c r="L1103" s="2">
        <f t="shared" si="684"/>
        <v>0</v>
      </c>
      <c r="M1103" s="2">
        <f t="shared" si="684"/>
        <v>432</v>
      </c>
      <c r="N1103" s="2">
        <f t="shared" si="684"/>
        <v>2376000</v>
      </c>
      <c r="O1103" s="2">
        <f t="shared" si="684"/>
        <v>0</v>
      </c>
      <c r="P1103" s="2">
        <f t="shared" si="684"/>
        <v>0</v>
      </c>
      <c r="Q1103" s="2">
        <f t="shared" si="684"/>
        <v>385.5</v>
      </c>
      <c r="R1103" s="2">
        <f t="shared" si="684"/>
        <v>1156500</v>
      </c>
      <c r="S1103" s="2">
        <f t="shared" si="684"/>
        <v>0</v>
      </c>
      <c r="T1103" s="2">
        <f t="shared" si="684"/>
        <v>0</v>
      </c>
      <c r="U1103" s="2">
        <f t="shared" si="684"/>
        <v>100000</v>
      </c>
    </row>
    <row r="1104" spans="1:22" ht="23.1" customHeight="1">
      <c r="A1104" s="37" t="s">
        <v>1321</v>
      </c>
      <c r="B1104" s="8" t="s">
        <v>303</v>
      </c>
      <c r="C1104" s="2">
        <f t="shared" si="661"/>
        <v>4446820</v>
      </c>
      <c r="D1104" s="3">
        <f t="shared" ref="D1104" si="685">SUM(E1104:J1104)</f>
        <v>814320</v>
      </c>
      <c r="E1104" s="3">
        <f>350*417.6</f>
        <v>146160</v>
      </c>
      <c r="F1104" s="3">
        <f>1050*417.6</f>
        <v>438480</v>
      </c>
      <c r="G1104" s="3">
        <f>300*417.6</f>
        <v>125280</v>
      </c>
      <c r="H1104" s="3">
        <f>400*0</f>
        <v>0</v>
      </c>
      <c r="I1104" s="3">
        <f>250*417.6</f>
        <v>104400</v>
      </c>
      <c r="J1104" s="3">
        <f>350*0</f>
        <v>0</v>
      </c>
      <c r="K1104" s="4">
        <v>0</v>
      </c>
      <c r="L1104" s="3">
        <v>0</v>
      </c>
      <c r="M1104" s="3">
        <v>432</v>
      </c>
      <c r="N1104" s="3">
        <f>M1104*5500</f>
        <v>2376000</v>
      </c>
      <c r="O1104" s="3">
        <v>0</v>
      </c>
      <c r="P1104" s="3">
        <v>0</v>
      </c>
      <c r="Q1104" s="3">
        <v>385.5</v>
      </c>
      <c r="R1104" s="3">
        <f>Q1104*3000</f>
        <v>1156500</v>
      </c>
      <c r="S1104" s="3">
        <v>0</v>
      </c>
      <c r="T1104" s="3">
        <v>0</v>
      </c>
      <c r="U1104" s="3">
        <v>100000</v>
      </c>
      <c r="V1104" s="6">
        <f t="shared" ref="V1104" si="686">N1104/M1104</f>
        <v>5500</v>
      </c>
    </row>
    <row r="1105" spans="1:22" ht="42.9" customHeight="1">
      <c r="A1105" s="53" t="s">
        <v>1210</v>
      </c>
      <c r="B1105" s="53"/>
      <c r="C1105" s="2">
        <f>SUM(C1106)</f>
        <v>7401600</v>
      </c>
      <c r="D1105" s="2">
        <f t="shared" ref="D1105:U1105" si="687">SUM(D1106)</f>
        <v>7301600</v>
      </c>
      <c r="E1105" s="2">
        <f t="shared" si="687"/>
        <v>0</v>
      </c>
      <c r="F1105" s="2">
        <f t="shared" si="687"/>
        <v>3833340</v>
      </c>
      <c r="G1105" s="2">
        <f t="shared" si="687"/>
        <v>1095240</v>
      </c>
      <c r="H1105" s="2">
        <f t="shared" si="687"/>
        <v>1460320</v>
      </c>
      <c r="I1105" s="2">
        <f t="shared" si="687"/>
        <v>912700</v>
      </c>
      <c r="J1105" s="2">
        <f t="shared" si="687"/>
        <v>0</v>
      </c>
      <c r="K1105" s="14">
        <f t="shared" si="687"/>
        <v>0</v>
      </c>
      <c r="L1105" s="2">
        <f t="shared" si="687"/>
        <v>0</v>
      </c>
      <c r="M1105" s="2">
        <f t="shared" si="687"/>
        <v>0</v>
      </c>
      <c r="N1105" s="2">
        <f t="shared" si="687"/>
        <v>0</v>
      </c>
      <c r="O1105" s="2">
        <f t="shared" si="687"/>
        <v>0</v>
      </c>
      <c r="P1105" s="2">
        <f t="shared" si="687"/>
        <v>0</v>
      </c>
      <c r="Q1105" s="2">
        <f t="shared" si="687"/>
        <v>0</v>
      </c>
      <c r="R1105" s="2">
        <f t="shared" si="687"/>
        <v>0</v>
      </c>
      <c r="S1105" s="2">
        <f t="shared" si="687"/>
        <v>0</v>
      </c>
      <c r="T1105" s="2">
        <f t="shared" si="687"/>
        <v>0</v>
      </c>
      <c r="U1105" s="2">
        <f t="shared" si="687"/>
        <v>100000</v>
      </c>
    </row>
    <row r="1106" spans="1:22" ht="23.1" customHeight="1">
      <c r="A1106" s="37" t="s">
        <v>1320</v>
      </c>
      <c r="B1106" s="8" t="s">
        <v>1211</v>
      </c>
      <c r="C1106" s="2">
        <f t="shared" si="661"/>
        <v>7401600</v>
      </c>
      <c r="D1106" s="3">
        <f t="shared" ref="D1106" si="688">SUM(E1106:J1106)</f>
        <v>7301600</v>
      </c>
      <c r="E1106" s="3">
        <f>350*0</f>
        <v>0</v>
      </c>
      <c r="F1106" s="3">
        <f>1050*3650.8</f>
        <v>3833340</v>
      </c>
      <c r="G1106" s="3">
        <f>300*3650.8</f>
        <v>1095240</v>
      </c>
      <c r="H1106" s="3">
        <f>400*3650.8</f>
        <v>1460320</v>
      </c>
      <c r="I1106" s="3">
        <f>250*3650.8</f>
        <v>912700</v>
      </c>
      <c r="J1106" s="3">
        <v>0</v>
      </c>
      <c r="K1106" s="4">
        <v>0</v>
      </c>
      <c r="L1106" s="3">
        <v>0</v>
      </c>
      <c r="M1106" s="3">
        <v>0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100000</v>
      </c>
      <c r="V1106" s="6" t="e">
        <f t="shared" ref="V1106" si="689">N1106/M1106</f>
        <v>#DIV/0!</v>
      </c>
    </row>
    <row r="1107" spans="1:22" ht="42.9" customHeight="1">
      <c r="A1107" s="53" t="s">
        <v>283</v>
      </c>
      <c r="B1107" s="53"/>
      <c r="C1107" s="2">
        <f>SUM(C1108)</f>
        <v>3956730</v>
      </c>
      <c r="D1107" s="2">
        <f t="shared" ref="D1107:U1107" si="690">SUM(D1108)</f>
        <v>887830</v>
      </c>
      <c r="E1107" s="2">
        <f t="shared" si="690"/>
        <v>132230</v>
      </c>
      <c r="F1107" s="2">
        <f t="shared" si="690"/>
        <v>396690</v>
      </c>
      <c r="G1107" s="2">
        <f t="shared" si="690"/>
        <v>113340</v>
      </c>
      <c r="H1107" s="2">
        <f t="shared" si="690"/>
        <v>151120</v>
      </c>
      <c r="I1107" s="2">
        <f t="shared" si="690"/>
        <v>94450</v>
      </c>
      <c r="J1107" s="2">
        <f t="shared" si="690"/>
        <v>0</v>
      </c>
      <c r="K1107" s="14">
        <f t="shared" si="690"/>
        <v>0</v>
      </c>
      <c r="L1107" s="2">
        <f t="shared" si="690"/>
        <v>0</v>
      </c>
      <c r="M1107" s="2">
        <f t="shared" si="690"/>
        <v>377.8</v>
      </c>
      <c r="N1107" s="2">
        <f t="shared" si="690"/>
        <v>2077900</v>
      </c>
      <c r="O1107" s="2">
        <f t="shared" si="690"/>
        <v>0</v>
      </c>
      <c r="P1107" s="2">
        <f t="shared" si="690"/>
        <v>0</v>
      </c>
      <c r="Q1107" s="2">
        <f t="shared" si="690"/>
        <v>297</v>
      </c>
      <c r="R1107" s="2">
        <f t="shared" si="690"/>
        <v>891000</v>
      </c>
      <c r="S1107" s="2">
        <f t="shared" si="690"/>
        <v>0</v>
      </c>
      <c r="T1107" s="2">
        <f t="shared" si="690"/>
        <v>0</v>
      </c>
      <c r="U1107" s="2">
        <f t="shared" si="690"/>
        <v>100000</v>
      </c>
      <c r="V1107" s="18">
        <f>C1107</f>
        <v>3956730</v>
      </c>
    </row>
    <row r="1108" spans="1:22" ht="23.1" customHeight="1">
      <c r="A1108" s="37" t="s">
        <v>1319</v>
      </c>
      <c r="B1108" s="8" t="s">
        <v>284</v>
      </c>
      <c r="C1108" s="2">
        <f t="shared" si="661"/>
        <v>3956730</v>
      </c>
      <c r="D1108" s="3">
        <f t="shared" ref="D1108" si="691">SUM(E1108:J1108)</f>
        <v>887830</v>
      </c>
      <c r="E1108" s="3">
        <f>350*377.8</f>
        <v>132230</v>
      </c>
      <c r="F1108" s="3">
        <f>1050*377.8</f>
        <v>396690</v>
      </c>
      <c r="G1108" s="3">
        <f>300*377.8</f>
        <v>113340</v>
      </c>
      <c r="H1108" s="3">
        <f>400*377.8</f>
        <v>151120</v>
      </c>
      <c r="I1108" s="3">
        <f>250*377.8</f>
        <v>94450</v>
      </c>
      <c r="J1108" s="3">
        <v>0</v>
      </c>
      <c r="K1108" s="4">
        <v>0</v>
      </c>
      <c r="L1108" s="3">
        <v>0</v>
      </c>
      <c r="M1108" s="3">
        <v>377.8</v>
      </c>
      <c r="N1108" s="3">
        <f t="shared" ref="N1108" si="692">M1108*5500</f>
        <v>2077900</v>
      </c>
      <c r="O1108" s="3">
        <v>0</v>
      </c>
      <c r="P1108" s="3">
        <v>0</v>
      </c>
      <c r="Q1108" s="3">
        <v>297</v>
      </c>
      <c r="R1108" s="3">
        <f t="shared" ref="R1108" si="693">Q1108*3000</f>
        <v>891000</v>
      </c>
      <c r="S1108" s="3">
        <v>0</v>
      </c>
      <c r="T1108" s="3">
        <v>0</v>
      </c>
      <c r="U1108" s="3">
        <v>100000</v>
      </c>
      <c r="V1108" s="6">
        <f t="shared" ref="V1108" si="694">N1108/M1108</f>
        <v>5500</v>
      </c>
    </row>
    <row r="1109" spans="1:22" ht="42.9" customHeight="1">
      <c r="A1109" s="53" t="s">
        <v>285</v>
      </c>
      <c r="B1109" s="53"/>
      <c r="C1109" s="2">
        <f>SUM(C1110:C1112)</f>
        <v>6966975</v>
      </c>
      <c r="D1109" s="2">
        <f t="shared" ref="D1109:U1109" si="695">SUM(D1110:D1112)</f>
        <v>992875</v>
      </c>
      <c r="E1109" s="2">
        <f t="shared" si="695"/>
        <v>147875</v>
      </c>
      <c r="F1109" s="2">
        <f t="shared" si="695"/>
        <v>443625</v>
      </c>
      <c r="G1109" s="2">
        <f t="shared" si="695"/>
        <v>126750</v>
      </c>
      <c r="H1109" s="2">
        <f t="shared" si="695"/>
        <v>169000</v>
      </c>
      <c r="I1109" s="2">
        <f t="shared" si="695"/>
        <v>105625</v>
      </c>
      <c r="J1109" s="2">
        <f t="shared" si="695"/>
        <v>0</v>
      </c>
      <c r="K1109" s="14">
        <f t="shared" si="695"/>
        <v>0</v>
      </c>
      <c r="L1109" s="2">
        <f t="shared" si="695"/>
        <v>0</v>
      </c>
      <c r="M1109" s="2">
        <f t="shared" si="695"/>
        <v>866.2</v>
      </c>
      <c r="N1109" s="2">
        <f t="shared" si="695"/>
        <v>4764100</v>
      </c>
      <c r="O1109" s="2">
        <f t="shared" si="695"/>
        <v>0</v>
      </c>
      <c r="P1109" s="2">
        <f t="shared" si="695"/>
        <v>0</v>
      </c>
      <c r="Q1109" s="2">
        <f t="shared" si="695"/>
        <v>370</v>
      </c>
      <c r="R1109" s="2">
        <f t="shared" si="695"/>
        <v>1110000</v>
      </c>
      <c r="S1109" s="2">
        <f t="shared" si="695"/>
        <v>0</v>
      </c>
      <c r="T1109" s="2">
        <f t="shared" si="695"/>
        <v>0</v>
      </c>
      <c r="U1109" s="2">
        <f t="shared" si="695"/>
        <v>100000</v>
      </c>
    </row>
    <row r="1110" spans="1:22" ht="23.1" customHeight="1">
      <c r="A1110" s="37" t="s">
        <v>1318</v>
      </c>
      <c r="B1110" s="8" t="s">
        <v>307</v>
      </c>
      <c r="C1110" s="2">
        <f t="shared" si="661"/>
        <v>1574100</v>
      </c>
      <c r="D1110" s="3">
        <f t="shared" ref="D1110:D1112" si="696">SUM(E1110:J1110)</f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4">
        <v>0</v>
      </c>
      <c r="L1110" s="3">
        <v>0</v>
      </c>
      <c r="M1110" s="3">
        <v>286.2</v>
      </c>
      <c r="N1110" s="3">
        <f t="shared" ref="N1110:N1112" si="697">M1110*5500</f>
        <v>1574100</v>
      </c>
      <c r="O1110" s="3">
        <v>0</v>
      </c>
      <c r="P1110" s="3">
        <v>0</v>
      </c>
      <c r="Q1110" s="3">
        <v>0</v>
      </c>
      <c r="R1110" s="3">
        <f t="shared" ref="R1110:R1112" si="698">Q1110*3000</f>
        <v>0</v>
      </c>
      <c r="S1110" s="3">
        <v>0</v>
      </c>
      <c r="T1110" s="3">
        <v>0</v>
      </c>
      <c r="U1110" s="3">
        <v>0</v>
      </c>
      <c r="V1110" s="6">
        <f t="shared" ref="V1110:V1112" si="699">N1110/M1110</f>
        <v>5500</v>
      </c>
    </row>
    <row r="1111" spans="1:22" ht="23.1" customHeight="1">
      <c r="A1111" s="37" t="s">
        <v>1317</v>
      </c>
      <c r="B1111" s="8" t="s">
        <v>825</v>
      </c>
      <c r="C1111" s="2">
        <f t="shared" si="661"/>
        <v>3797875</v>
      </c>
      <c r="D1111" s="3">
        <f t="shared" si="696"/>
        <v>992875</v>
      </c>
      <c r="E1111" s="3">
        <f>350*422.5</f>
        <v>147875</v>
      </c>
      <c r="F1111" s="3">
        <f>1050*422.5</f>
        <v>443625</v>
      </c>
      <c r="G1111" s="3">
        <f>300*422.5</f>
        <v>126750</v>
      </c>
      <c r="H1111" s="3">
        <f>400*422.5</f>
        <v>169000</v>
      </c>
      <c r="I1111" s="3">
        <f>250*422.5</f>
        <v>105625</v>
      </c>
      <c r="J1111" s="3">
        <v>0</v>
      </c>
      <c r="K1111" s="4">
        <v>0</v>
      </c>
      <c r="L1111" s="3">
        <v>0</v>
      </c>
      <c r="M1111" s="3">
        <v>290</v>
      </c>
      <c r="N1111" s="3">
        <f t="shared" si="697"/>
        <v>1595000</v>
      </c>
      <c r="O1111" s="3">
        <v>0</v>
      </c>
      <c r="P1111" s="3">
        <v>0</v>
      </c>
      <c r="Q1111" s="3">
        <v>370</v>
      </c>
      <c r="R1111" s="3">
        <f t="shared" si="698"/>
        <v>1110000</v>
      </c>
      <c r="S1111" s="3">
        <v>0</v>
      </c>
      <c r="T1111" s="3">
        <v>0</v>
      </c>
      <c r="U1111" s="3">
        <v>100000</v>
      </c>
      <c r="V1111" s="6">
        <f t="shared" si="699"/>
        <v>5500</v>
      </c>
    </row>
    <row r="1112" spans="1:22" ht="23.1" customHeight="1">
      <c r="A1112" s="37" t="s">
        <v>1316</v>
      </c>
      <c r="B1112" s="8" t="s">
        <v>826</v>
      </c>
      <c r="C1112" s="2">
        <f t="shared" si="661"/>
        <v>1595000</v>
      </c>
      <c r="D1112" s="3">
        <f t="shared" si="696"/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4">
        <v>0</v>
      </c>
      <c r="L1112" s="3">
        <v>0</v>
      </c>
      <c r="M1112" s="3">
        <v>290</v>
      </c>
      <c r="N1112" s="3">
        <f t="shared" si="697"/>
        <v>1595000</v>
      </c>
      <c r="O1112" s="3">
        <v>0</v>
      </c>
      <c r="P1112" s="3">
        <v>0</v>
      </c>
      <c r="Q1112" s="3">
        <v>0</v>
      </c>
      <c r="R1112" s="3">
        <f t="shared" si="698"/>
        <v>0</v>
      </c>
      <c r="S1112" s="3">
        <v>0</v>
      </c>
      <c r="T1112" s="3">
        <v>0</v>
      </c>
      <c r="U1112" s="3">
        <v>0</v>
      </c>
      <c r="V1112" s="6">
        <f t="shared" si="699"/>
        <v>5500</v>
      </c>
    </row>
    <row r="1113" spans="1:22" ht="42.9" customHeight="1">
      <c r="A1113" s="53" t="s">
        <v>290</v>
      </c>
      <c r="B1113" s="53"/>
      <c r="C1113" s="2">
        <f>SUM(C1114:C1115)</f>
        <v>9376875</v>
      </c>
      <c r="D1113" s="2">
        <f t="shared" ref="D1113:U1113" si="700">SUM(D1114:D1115)</f>
        <v>992875</v>
      </c>
      <c r="E1113" s="2">
        <f t="shared" si="700"/>
        <v>147875</v>
      </c>
      <c r="F1113" s="2">
        <f t="shared" si="700"/>
        <v>443625</v>
      </c>
      <c r="G1113" s="2">
        <f t="shared" si="700"/>
        <v>126750</v>
      </c>
      <c r="H1113" s="2">
        <f t="shared" si="700"/>
        <v>169000</v>
      </c>
      <c r="I1113" s="2">
        <f t="shared" si="700"/>
        <v>105625</v>
      </c>
      <c r="J1113" s="2">
        <f t="shared" si="700"/>
        <v>0</v>
      </c>
      <c r="K1113" s="14">
        <f t="shared" si="700"/>
        <v>0</v>
      </c>
      <c r="L1113" s="2">
        <f t="shared" si="700"/>
        <v>0</v>
      </c>
      <c r="M1113" s="2">
        <f t="shared" si="700"/>
        <v>622</v>
      </c>
      <c r="N1113" s="2">
        <f t="shared" si="700"/>
        <v>3421000</v>
      </c>
      <c r="O1113" s="2">
        <f t="shared" si="700"/>
        <v>0</v>
      </c>
      <c r="P1113" s="2">
        <f t="shared" si="700"/>
        <v>0</v>
      </c>
      <c r="Q1113" s="2">
        <f t="shared" si="700"/>
        <v>1621</v>
      </c>
      <c r="R1113" s="2">
        <f t="shared" si="700"/>
        <v>4863000</v>
      </c>
      <c r="S1113" s="2">
        <f t="shared" si="700"/>
        <v>0</v>
      </c>
      <c r="T1113" s="2">
        <f t="shared" si="700"/>
        <v>0</v>
      </c>
      <c r="U1113" s="2">
        <f t="shared" si="700"/>
        <v>100000</v>
      </c>
    </row>
    <row r="1114" spans="1:22" ht="24.9" customHeight="1">
      <c r="A1114" s="37" t="s">
        <v>1315</v>
      </c>
      <c r="B1114" s="8" t="s">
        <v>293</v>
      </c>
      <c r="C1114" s="2">
        <f t="shared" si="661"/>
        <v>4113000</v>
      </c>
      <c r="D1114" s="3">
        <f t="shared" ref="D1114:D1115" si="701">SUM(E1114:J1114)</f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4">
        <v>0</v>
      </c>
      <c r="L1114" s="3">
        <v>0</v>
      </c>
      <c r="M1114" s="3">
        <v>300</v>
      </c>
      <c r="N1114" s="3">
        <f t="shared" ref="N1114:N1115" si="702">M1114*5500</f>
        <v>1650000</v>
      </c>
      <c r="O1114" s="3">
        <v>0</v>
      </c>
      <c r="P1114" s="3">
        <v>0</v>
      </c>
      <c r="Q1114" s="3">
        <v>821</v>
      </c>
      <c r="R1114" s="3">
        <f t="shared" ref="R1114:R1115" si="703">Q1114*3000</f>
        <v>2463000</v>
      </c>
      <c r="S1114" s="3">
        <v>0</v>
      </c>
      <c r="T1114" s="3">
        <v>0</v>
      </c>
      <c r="U1114" s="3">
        <v>0</v>
      </c>
      <c r="V1114" s="6">
        <f t="shared" ref="V1114:V1115" si="704">N1114/M1114</f>
        <v>5500</v>
      </c>
    </row>
    <row r="1115" spans="1:22" ht="24.9" customHeight="1">
      <c r="A1115" s="37" t="s">
        <v>1314</v>
      </c>
      <c r="B1115" s="8" t="s">
        <v>294</v>
      </c>
      <c r="C1115" s="2">
        <f t="shared" si="661"/>
        <v>5263875</v>
      </c>
      <c r="D1115" s="3">
        <f t="shared" si="701"/>
        <v>992875</v>
      </c>
      <c r="E1115" s="3">
        <f>350*422.5</f>
        <v>147875</v>
      </c>
      <c r="F1115" s="3">
        <f>1050*422.5</f>
        <v>443625</v>
      </c>
      <c r="G1115" s="3">
        <f>300*422.5</f>
        <v>126750</v>
      </c>
      <c r="H1115" s="3">
        <f>400*422.5</f>
        <v>169000</v>
      </c>
      <c r="I1115" s="3">
        <f>250*422.5</f>
        <v>105625</v>
      </c>
      <c r="J1115" s="3">
        <v>0</v>
      </c>
      <c r="K1115" s="4">
        <v>0</v>
      </c>
      <c r="L1115" s="3">
        <v>0</v>
      </c>
      <c r="M1115" s="3">
        <v>322</v>
      </c>
      <c r="N1115" s="3">
        <f t="shared" si="702"/>
        <v>1771000</v>
      </c>
      <c r="O1115" s="3">
        <v>0</v>
      </c>
      <c r="P1115" s="3">
        <v>0</v>
      </c>
      <c r="Q1115" s="3">
        <v>800</v>
      </c>
      <c r="R1115" s="3">
        <f t="shared" si="703"/>
        <v>2400000</v>
      </c>
      <c r="S1115" s="3">
        <v>0</v>
      </c>
      <c r="T1115" s="3">
        <v>0</v>
      </c>
      <c r="U1115" s="3">
        <v>100000</v>
      </c>
      <c r="V1115" s="6">
        <f t="shared" si="704"/>
        <v>5500</v>
      </c>
    </row>
    <row r="1116" spans="1:22" ht="42.9" customHeight="1">
      <c r="A1116" s="53" t="s">
        <v>313</v>
      </c>
      <c r="B1116" s="53"/>
      <c r="C1116" s="2">
        <f>SUM(C1117:C1118)</f>
        <v>6682100</v>
      </c>
      <c r="D1116" s="2">
        <f t="shared" ref="D1116:U1116" si="705">SUM(D1117:D1118)</f>
        <v>267400</v>
      </c>
      <c r="E1116" s="2">
        <f t="shared" si="705"/>
        <v>267400</v>
      </c>
      <c r="F1116" s="2">
        <f t="shared" si="705"/>
        <v>0</v>
      </c>
      <c r="G1116" s="2">
        <f t="shared" si="705"/>
        <v>0</v>
      </c>
      <c r="H1116" s="2">
        <f t="shared" si="705"/>
        <v>0</v>
      </c>
      <c r="I1116" s="2">
        <f t="shared" si="705"/>
        <v>0</v>
      </c>
      <c r="J1116" s="2">
        <f t="shared" si="705"/>
        <v>0</v>
      </c>
      <c r="K1116" s="14">
        <f t="shared" si="705"/>
        <v>0</v>
      </c>
      <c r="L1116" s="2">
        <f t="shared" si="705"/>
        <v>0</v>
      </c>
      <c r="M1116" s="2">
        <f t="shared" si="705"/>
        <v>608</v>
      </c>
      <c r="N1116" s="2">
        <f t="shared" si="705"/>
        <v>3344000</v>
      </c>
      <c r="O1116" s="2">
        <f t="shared" si="705"/>
        <v>0</v>
      </c>
      <c r="P1116" s="2">
        <f t="shared" si="705"/>
        <v>0</v>
      </c>
      <c r="Q1116" s="2">
        <f t="shared" si="705"/>
        <v>882</v>
      </c>
      <c r="R1116" s="2">
        <f t="shared" si="705"/>
        <v>2646000</v>
      </c>
      <c r="S1116" s="2">
        <f t="shared" si="705"/>
        <v>224700</v>
      </c>
      <c r="T1116" s="2">
        <f t="shared" si="705"/>
        <v>0</v>
      </c>
      <c r="U1116" s="2">
        <f t="shared" si="705"/>
        <v>200000</v>
      </c>
    </row>
    <row r="1117" spans="1:22" ht="24.9" customHeight="1">
      <c r="A1117" s="36" t="s">
        <v>1313</v>
      </c>
      <c r="B1117" s="8" t="s">
        <v>316</v>
      </c>
      <c r="C1117" s="2">
        <f t="shared" si="661"/>
        <v>3156300</v>
      </c>
      <c r="D1117" s="3">
        <f t="shared" ref="D1117:D1118" si="706">SUM(E1117:J1117)</f>
        <v>107800</v>
      </c>
      <c r="E1117" s="5">
        <f>308*350</f>
        <v>107800</v>
      </c>
      <c r="F1117" s="5">
        <v>0</v>
      </c>
      <c r="G1117" s="5">
        <v>0</v>
      </c>
      <c r="H1117" s="5">
        <v>0</v>
      </c>
      <c r="I1117" s="5">
        <v>0</v>
      </c>
      <c r="J1117" s="5">
        <v>0</v>
      </c>
      <c r="K1117" s="11">
        <v>0</v>
      </c>
      <c r="L1117" s="5">
        <v>0</v>
      </c>
      <c r="M1117" s="5">
        <v>280</v>
      </c>
      <c r="N1117" s="3">
        <f t="shared" ref="N1117:N1118" si="707">M1117*5500</f>
        <v>1540000</v>
      </c>
      <c r="O1117" s="5">
        <v>0</v>
      </c>
      <c r="P1117" s="5">
        <v>0</v>
      </c>
      <c r="Q1117" s="5">
        <v>431</v>
      </c>
      <c r="R1117" s="3">
        <f t="shared" ref="R1117:R1118" si="708">Q1117*3000</f>
        <v>1293000</v>
      </c>
      <c r="S1117" s="5">
        <v>115500</v>
      </c>
      <c r="T1117" s="5">
        <v>0</v>
      </c>
      <c r="U1117" s="5">
        <v>100000</v>
      </c>
      <c r="V1117" s="6">
        <f t="shared" ref="V1117" si="709">N1117/M1117</f>
        <v>5500</v>
      </c>
    </row>
    <row r="1118" spans="1:22" ht="24.9" customHeight="1">
      <c r="A1118" s="36" t="s">
        <v>1312</v>
      </c>
      <c r="B1118" s="8" t="s">
        <v>318</v>
      </c>
      <c r="C1118" s="2">
        <f t="shared" si="661"/>
        <v>3525800</v>
      </c>
      <c r="D1118" s="3">
        <f t="shared" si="706"/>
        <v>159600</v>
      </c>
      <c r="E1118" s="5">
        <f>456*350</f>
        <v>159600</v>
      </c>
      <c r="F1118" s="5">
        <v>0</v>
      </c>
      <c r="G1118" s="5">
        <v>0</v>
      </c>
      <c r="H1118" s="5">
        <v>0</v>
      </c>
      <c r="I1118" s="5">
        <v>0</v>
      </c>
      <c r="J1118" s="5">
        <v>0</v>
      </c>
      <c r="K1118" s="11">
        <v>0</v>
      </c>
      <c r="L1118" s="5">
        <v>0</v>
      </c>
      <c r="M1118" s="5">
        <v>328</v>
      </c>
      <c r="N1118" s="3">
        <f t="shared" si="707"/>
        <v>1804000</v>
      </c>
      <c r="O1118" s="5">
        <v>0</v>
      </c>
      <c r="P1118" s="5">
        <v>0</v>
      </c>
      <c r="Q1118" s="5">
        <v>451</v>
      </c>
      <c r="R1118" s="3">
        <f t="shared" si="708"/>
        <v>1353000</v>
      </c>
      <c r="S1118" s="5">
        <v>109200</v>
      </c>
      <c r="T1118" s="5">
        <v>0</v>
      </c>
      <c r="U1118" s="5">
        <v>100000</v>
      </c>
      <c r="V1118" s="6">
        <f>N1118/M1118</f>
        <v>5500</v>
      </c>
    </row>
    <row r="1119" spans="1:22" ht="42.9" customHeight="1">
      <c r="A1119" s="53" t="s">
        <v>319</v>
      </c>
      <c r="B1119" s="53"/>
      <c r="C1119" s="2">
        <f>SUM(C1120)</f>
        <v>2700450</v>
      </c>
      <c r="D1119" s="2">
        <f t="shared" ref="D1119:U1119" si="710">SUM(D1120)</f>
        <v>0</v>
      </c>
      <c r="E1119" s="2">
        <f t="shared" si="710"/>
        <v>0</v>
      </c>
      <c r="F1119" s="2">
        <f t="shared" si="710"/>
        <v>0</v>
      </c>
      <c r="G1119" s="2">
        <f t="shared" si="710"/>
        <v>0</v>
      </c>
      <c r="H1119" s="2">
        <f t="shared" si="710"/>
        <v>0</v>
      </c>
      <c r="I1119" s="2">
        <f t="shared" si="710"/>
        <v>0</v>
      </c>
      <c r="J1119" s="2">
        <f t="shared" si="710"/>
        <v>0</v>
      </c>
      <c r="K1119" s="14">
        <f t="shared" si="710"/>
        <v>0</v>
      </c>
      <c r="L1119" s="2">
        <f t="shared" si="710"/>
        <v>0</v>
      </c>
      <c r="M1119" s="2">
        <f t="shared" si="710"/>
        <v>321.89999999999998</v>
      </c>
      <c r="N1119" s="2">
        <f t="shared" si="710"/>
        <v>1770449.9999999998</v>
      </c>
      <c r="O1119" s="2">
        <f t="shared" si="710"/>
        <v>0</v>
      </c>
      <c r="P1119" s="2">
        <f t="shared" si="710"/>
        <v>0</v>
      </c>
      <c r="Q1119" s="2">
        <f t="shared" si="710"/>
        <v>310</v>
      </c>
      <c r="R1119" s="2">
        <f t="shared" si="710"/>
        <v>930000</v>
      </c>
      <c r="S1119" s="2">
        <f t="shared" si="710"/>
        <v>0</v>
      </c>
      <c r="T1119" s="2">
        <f t="shared" si="710"/>
        <v>0</v>
      </c>
      <c r="U1119" s="2">
        <f t="shared" si="710"/>
        <v>0</v>
      </c>
      <c r="V1119" s="18">
        <f>C1119</f>
        <v>2700450</v>
      </c>
    </row>
    <row r="1120" spans="1:22" ht="24.9" customHeight="1">
      <c r="A1120" s="36" t="s">
        <v>1311</v>
      </c>
      <c r="B1120" s="8" t="s">
        <v>320</v>
      </c>
      <c r="C1120" s="2">
        <f t="shared" si="661"/>
        <v>2700450</v>
      </c>
      <c r="D1120" s="3">
        <f t="shared" ref="D1120" si="711">SUM(E1120:J1120)</f>
        <v>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4">
        <v>0</v>
      </c>
      <c r="L1120" s="3">
        <v>0</v>
      </c>
      <c r="M1120" s="3">
        <v>321.89999999999998</v>
      </c>
      <c r="N1120" s="3">
        <f>M1120*5500</f>
        <v>1770449.9999999998</v>
      </c>
      <c r="O1120" s="3">
        <v>0</v>
      </c>
      <c r="P1120" s="3">
        <v>0</v>
      </c>
      <c r="Q1120" s="41">
        <v>310</v>
      </c>
      <c r="R1120" s="3">
        <f>Q1120*3000</f>
        <v>930000</v>
      </c>
      <c r="S1120" s="3">
        <v>0</v>
      </c>
      <c r="T1120" s="3">
        <v>0</v>
      </c>
      <c r="U1120" s="3">
        <v>0</v>
      </c>
      <c r="V1120" s="6">
        <f t="shared" ref="V1120" si="712">N1120/M1120</f>
        <v>5500</v>
      </c>
    </row>
    <row r="1121" spans="1:22" ht="42.9" customHeight="1">
      <c r="A1121" s="53" t="s">
        <v>974</v>
      </c>
      <c r="B1121" s="53"/>
      <c r="C1121" s="2">
        <f>SUM(C1122)</f>
        <v>3799150</v>
      </c>
      <c r="D1121" s="2">
        <f t="shared" ref="D1121:U1121" si="713">SUM(D1122)</f>
        <v>3699150</v>
      </c>
      <c r="E1121" s="2">
        <f t="shared" si="713"/>
        <v>663950</v>
      </c>
      <c r="F1121" s="2">
        <f t="shared" si="713"/>
        <v>1991850</v>
      </c>
      <c r="G1121" s="2">
        <f t="shared" si="713"/>
        <v>569100</v>
      </c>
      <c r="H1121" s="2">
        <f t="shared" si="713"/>
        <v>0</v>
      </c>
      <c r="I1121" s="2">
        <f t="shared" si="713"/>
        <v>474250</v>
      </c>
      <c r="J1121" s="2">
        <f t="shared" si="713"/>
        <v>0</v>
      </c>
      <c r="K1121" s="14">
        <f t="shared" si="713"/>
        <v>0</v>
      </c>
      <c r="L1121" s="2">
        <f t="shared" si="713"/>
        <v>0</v>
      </c>
      <c r="M1121" s="2">
        <f t="shared" si="713"/>
        <v>0</v>
      </c>
      <c r="N1121" s="2">
        <f t="shared" si="713"/>
        <v>0</v>
      </c>
      <c r="O1121" s="2">
        <f t="shared" si="713"/>
        <v>0</v>
      </c>
      <c r="P1121" s="2">
        <f t="shared" si="713"/>
        <v>0</v>
      </c>
      <c r="Q1121" s="2">
        <f t="shared" si="713"/>
        <v>0</v>
      </c>
      <c r="R1121" s="2">
        <f t="shared" si="713"/>
        <v>0</v>
      </c>
      <c r="S1121" s="2">
        <f t="shared" si="713"/>
        <v>0</v>
      </c>
      <c r="T1121" s="2">
        <f t="shared" si="713"/>
        <v>0</v>
      </c>
      <c r="U1121" s="2">
        <f t="shared" si="713"/>
        <v>100000</v>
      </c>
      <c r="V1121" s="18">
        <f>C1121</f>
        <v>3799150</v>
      </c>
    </row>
    <row r="1122" spans="1:22" ht="24.9" customHeight="1">
      <c r="A1122" s="37" t="s">
        <v>1310</v>
      </c>
      <c r="B1122" s="8" t="s">
        <v>323</v>
      </c>
      <c r="C1122" s="2">
        <f t="shared" si="661"/>
        <v>3799150</v>
      </c>
      <c r="D1122" s="3">
        <f t="shared" ref="D1122" si="714">SUM(E1122:J1122)</f>
        <v>3699150</v>
      </c>
      <c r="E1122" s="3">
        <f>350*1897</f>
        <v>663950</v>
      </c>
      <c r="F1122" s="3">
        <f>1050*1897</f>
        <v>1991850</v>
      </c>
      <c r="G1122" s="3">
        <f>300*1897</f>
        <v>569100</v>
      </c>
      <c r="H1122" s="3">
        <f>400*0</f>
        <v>0</v>
      </c>
      <c r="I1122" s="3">
        <f>250*1897</f>
        <v>474250</v>
      </c>
      <c r="J1122" s="3">
        <v>0</v>
      </c>
      <c r="K1122" s="4">
        <v>0</v>
      </c>
      <c r="L1122" s="3">
        <v>0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100000</v>
      </c>
      <c r="V1122" s="6" t="e">
        <f t="shared" ref="V1122" si="715">N1122/M1122</f>
        <v>#DIV/0!</v>
      </c>
    </row>
    <row r="1123" spans="1:22" ht="42.9" customHeight="1">
      <c r="A1123" s="53" t="s">
        <v>973</v>
      </c>
      <c r="B1123" s="53"/>
      <c r="C1123" s="2">
        <f>SUM(C1124)</f>
        <v>2248490</v>
      </c>
      <c r="D1123" s="2">
        <f t="shared" ref="D1123:U1123" si="716">SUM(D1124)</f>
        <v>121589.99999999999</v>
      </c>
      <c r="E1123" s="2">
        <f t="shared" si="716"/>
        <v>121589.99999999999</v>
      </c>
      <c r="F1123" s="2">
        <f t="shared" si="716"/>
        <v>0</v>
      </c>
      <c r="G1123" s="2">
        <f t="shared" si="716"/>
        <v>0</v>
      </c>
      <c r="H1123" s="2">
        <f t="shared" si="716"/>
        <v>0</v>
      </c>
      <c r="I1123" s="2">
        <f t="shared" si="716"/>
        <v>0</v>
      </c>
      <c r="J1123" s="2">
        <f t="shared" si="716"/>
        <v>0</v>
      </c>
      <c r="K1123" s="14">
        <f t="shared" si="716"/>
        <v>0</v>
      </c>
      <c r="L1123" s="2">
        <f t="shared" si="716"/>
        <v>0</v>
      </c>
      <c r="M1123" s="2">
        <f t="shared" si="716"/>
        <v>235</v>
      </c>
      <c r="N1123" s="2">
        <f t="shared" si="716"/>
        <v>1292500</v>
      </c>
      <c r="O1123" s="2">
        <f t="shared" si="716"/>
        <v>0</v>
      </c>
      <c r="P1123" s="2">
        <f t="shared" si="716"/>
        <v>0</v>
      </c>
      <c r="Q1123" s="2">
        <f t="shared" si="716"/>
        <v>244.8</v>
      </c>
      <c r="R1123" s="2">
        <f t="shared" si="716"/>
        <v>734400</v>
      </c>
      <c r="S1123" s="2">
        <f t="shared" si="716"/>
        <v>0</v>
      </c>
      <c r="T1123" s="2">
        <f t="shared" si="716"/>
        <v>0</v>
      </c>
      <c r="U1123" s="2">
        <f t="shared" si="716"/>
        <v>100000</v>
      </c>
    </row>
    <row r="1124" spans="1:22" ht="24.9" customHeight="1">
      <c r="A1124" s="37" t="s">
        <v>1309</v>
      </c>
      <c r="B1124" s="8" t="s">
        <v>321</v>
      </c>
      <c r="C1124" s="2">
        <f t="shared" ref="C1124:C1153" si="717">D1124+L1124+N1124+P1124+R1124+S1124+T1124+U1124</f>
        <v>2248490</v>
      </c>
      <c r="D1124" s="3">
        <f t="shared" ref="D1124" si="718">SUM(E1124:J1124)</f>
        <v>121589.99999999999</v>
      </c>
      <c r="E1124" s="3">
        <f>350*347.4</f>
        <v>121589.99999999999</v>
      </c>
      <c r="F1124" s="3">
        <f>1050*0</f>
        <v>0</v>
      </c>
      <c r="G1124" s="3">
        <f>300*0</f>
        <v>0</v>
      </c>
      <c r="H1124" s="3">
        <f>400*0</f>
        <v>0</v>
      </c>
      <c r="I1124" s="3">
        <f>250*0</f>
        <v>0</v>
      </c>
      <c r="J1124" s="3">
        <v>0</v>
      </c>
      <c r="K1124" s="4">
        <v>0</v>
      </c>
      <c r="L1124" s="3">
        <v>0</v>
      </c>
      <c r="M1124" s="3">
        <v>235</v>
      </c>
      <c r="N1124" s="3">
        <f>M1124*5500</f>
        <v>1292500</v>
      </c>
      <c r="O1124" s="3">
        <v>0</v>
      </c>
      <c r="P1124" s="3">
        <v>0</v>
      </c>
      <c r="Q1124" s="3">
        <v>244.8</v>
      </c>
      <c r="R1124" s="3">
        <f>Q1124*3000</f>
        <v>734400</v>
      </c>
      <c r="S1124" s="3">
        <v>0</v>
      </c>
      <c r="T1124" s="3">
        <v>0</v>
      </c>
      <c r="U1124" s="3">
        <v>100000</v>
      </c>
      <c r="V1124" s="6">
        <f t="shared" ref="V1124" si="719">N1124/M1124</f>
        <v>5500</v>
      </c>
    </row>
    <row r="1125" spans="1:22" ht="42.9" customHeight="1">
      <c r="A1125" s="53" t="s">
        <v>325</v>
      </c>
      <c r="B1125" s="53"/>
      <c r="C1125" s="2">
        <f>SUM(C1127:C1128)</f>
        <v>9642500</v>
      </c>
      <c r="D1125" s="2">
        <f t="shared" ref="D1125:U1125" si="720">SUM(D1127:D1128)</f>
        <v>0</v>
      </c>
      <c r="E1125" s="2">
        <f t="shared" si="720"/>
        <v>0</v>
      </c>
      <c r="F1125" s="2">
        <f t="shared" si="720"/>
        <v>0</v>
      </c>
      <c r="G1125" s="2">
        <f t="shared" si="720"/>
        <v>0</v>
      </c>
      <c r="H1125" s="2">
        <f t="shared" si="720"/>
        <v>0</v>
      </c>
      <c r="I1125" s="2">
        <f t="shared" si="720"/>
        <v>0</v>
      </c>
      <c r="J1125" s="2">
        <f t="shared" si="720"/>
        <v>0</v>
      </c>
      <c r="K1125" s="14">
        <f t="shared" si="720"/>
        <v>0</v>
      </c>
      <c r="L1125" s="2">
        <f t="shared" si="720"/>
        <v>0</v>
      </c>
      <c r="M1125" s="2">
        <f t="shared" si="720"/>
        <v>1175</v>
      </c>
      <c r="N1125" s="2">
        <f t="shared" si="720"/>
        <v>6462500</v>
      </c>
      <c r="O1125" s="2">
        <f t="shared" si="720"/>
        <v>0</v>
      </c>
      <c r="P1125" s="2">
        <f t="shared" si="720"/>
        <v>0</v>
      </c>
      <c r="Q1125" s="2">
        <f t="shared" si="720"/>
        <v>1060</v>
      </c>
      <c r="R1125" s="2">
        <f t="shared" si="720"/>
        <v>3180000</v>
      </c>
      <c r="S1125" s="2">
        <f t="shared" si="720"/>
        <v>0</v>
      </c>
      <c r="T1125" s="2">
        <f t="shared" si="720"/>
        <v>0</v>
      </c>
      <c r="U1125" s="2">
        <f t="shared" si="720"/>
        <v>0</v>
      </c>
    </row>
    <row r="1126" spans="1:22" ht="24.9" customHeight="1">
      <c r="A1126" s="36" t="s">
        <v>1308</v>
      </c>
      <c r="B1126" s="8" t="s">
        <v>1518</v>
      </c>
      <c r="C1126" s="3">
        <f t="shared" ref="C1126" si="721">D1126+L1126+N1126+P1126+R1126+S1126+T1126+U1126</f>
        <v>16174297.66</v>
      </c>
      <c r="D1126" s="3">
        <f t="shared" ref="D1126" si="722">SUM(E1126:J1126)</f>
        <v>9176897.6600000001</v>
      </c>
      <c r="E1126" s="3">
        <f>2417.9*2195.4</f>
        <v>5308257.66</v>
      </c>
      <c r="F1126" s="3">
        <f>1050*2417.9</f>
        <v>2538795</v>
      </c>
      <c r="G1126" s="3">
        <f>300*2417.9</f>
        <v>725370</v>
      </c>
      <c r="H1126" s="3">
        <f t="shared" ref="H1126" si="723">400*0</f>
        <v>0</v>
      </c>
      <c r="I1126" s="3">
        <f>250*2417.9</f>
        <v>604475</v>
      </c>
      <c r="J1126" s="3">
        <v>0</v>
      </c>
      <c r="K1126" s="4">
        <v>0</v>
      </c>
      <c r="L1126" s="3">
        <v>0</v>
      </c>
      <c r="M1126" s="3">
        <v>900</v>
      </c>
      <c r="N1126" s="3">
        <f>M1126*3686</f>
        <v>3317400</v>
      </c>
      <c r="O1126" s="3">
        <v>0</v>
      </c>
      <c r="P1126" s="3">
        <v>0</v>
      </c>
      <c r="Q1126" s="3">
        <v>1060</v>
      </c>
      <c r="R1126" s="3">
        <f>Q1126*3000</f>
        <v>3180000</v>
      </c>
      <c r="S1126" s="3">
        <v>300000</v>
      </c>
      <c r="T1126" s="3">
        <v>0</v>
      </c>
      <c r="U1126" s="3">
        <v>200000</v>
      </c>
    </row>
    <row r="1127" spans="1:22" ht="24.9" customHeight="1">
      <c r="A1127" s="36" t="s">
        <v>1307</v>
      </c>
      <c r="B1127" s="8" t="s">
        <v>1014</v>
      </c>
      <c r="C1127" s="2">
        <f t="shared" si="717"/>
        <v>8130000</v>
      </c>
      <c r="D1127" s="3">
        <f t="shared" ref="D1127:D1128" si="724">SUM(E1127:J1127)</f>
        <v>0</v>
      </c>
      <c r="E1127" s="3">
        <v>0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11">
        <v>0</v>
      </c>
      <c r="L1127" s="5">
        <v>0</v>
      </c>
      <c r="M1127" s="5">
        <v>900</v>
      </c>
      <c r="N1127" s="3">
        <f t="shared" ref="N1127:N1128" si="725">M1127*5500</f>
        <v>4950000</v>
      </c>
      <c r="O1127" s="5">
        <v>0</v>
      </c>
      <c r="P1127" s="5">
        <v>0</v>
      </c>
      <c r="Q1127" s="5">
        <v>1060</v>
      </c>
      <c r="R1127" s="3">
        <f>Q1127*3000</f>
        <v>3180000</v>
      </c>
      <c r="S1127" s="5">
        <v>0</v>
      </c>
      <c r="T1127" s="5">
        <v>0</v>
      </c>
      <c r="U1127" s="5">
        <v>0</v>
      </c>
      <c r="V1127" s="6">
        <f t="shared" ref="V1127:V1128" si="726">N1127/M1127</f>
        <v>5500</v>
      </c>
    </row>
    <row r="1128" spans="1:22" ht="24.9" customHeight="1">
      <c r="A1128" s="36" t="s">
        <v>1306</v>
      </c>
      <c r="B1128" s="8" t="s">
        <v>328</v>
      </c>
      <c r="C1128" s="2">
        <f t="shared" si="717"/>
        <v>1512500</v>
      </c>
      <c r="D1128" s="3">
        <f t="shared" si="724"/>
        <v>0</v>
      </c>
      <c r="E1128" s="3">
        <v>0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4">
        <v>0</v>
      </c>
      <c r="L1128" s="3">
        <v>0</v>
      </c>
      <c r="M1128" s="3">
        <v>275</v>
      </c>
      <c r="N1128" s="3">
        <f t="shared" si="725"/>
        <v>1512500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 s="3">
        <v>0</v>
      </c>
      <c r="U1128" s="3">
        <v>0</v>
      </c>
      <c r="V1128" s="6">
        <f t="shared" si="726"/>
        <v>5500</v>
      </c>
    </row>
    <row r="1129" spans="1:22" ht="45" customHeight="1">
      <c r="A1129" s="53" t="s">
        <v>329</v>
      </c>
      <c r="B1129" s="53"/>
      <c r="C1129" s="2">
        <f>SUM(C1130)</f>
        <v>4310000</v>
      </c>
      <c r="D1129" s="2">
        <f t="shared" ref="D1129:U1129" si="727">SUM(D1130)</f>
        <v>0</v>
      </c>
      <c r="E1129" s="2">
        <f t="shared" si="727"/>
        <v>0</v>
      </c>
      <c r="F1129" s="2">
        <f t="shared" si="727"/>
        <v>0</v>
      </c>
      <c r="G1129" s="2">
        <f t="shared" si="727"/>
        <v>0</v>
      </c>
      <c r="H1129" s="2">
        <f t="shared" si="727"/>
        <v>0</v>
      </c>
      <c r="I1129" s="2">
        <f t="shared" si="727"/>
        <v>0</v>
      </c>
      <c r="J1129" s="2">
        <f t="shared" si="727"/>
        <v>0</v>
      </c>
      <c r="K1129" s="14">
        <f t="shared" si="727"/>
        <v>0</v>
      </c>
      <c r="L1129" s="2">
        <f t="shared" si="727"/>
        <v>0</v>
      </c>
      <c r="M1129" s="2">
        <f t="shared" si="727"/>
        <v>500</v>
      </c>
      <c r="N1129" s="2">
        <f t="shared" si="727"/>
        <v>2750000</v>
      </c>
      <c r="O1129" s="2">
        <f t="shared" si="727"/>
        <v>0</v>
      </c>
      <c r="P1129" s="2">
        <f t="shared" si="727"/>
        <v>0</v>
      </c>
      <c r="Q1129" s="2">
        <f t="shared" si="727"/>
        <v>520</v>
      </c>
      <c r="R1129" s="2">
        <f t="shared" si="727"/>
        <v>1560000</v>
      </c>
      <c r="S1129" s="2">
        <f t="shared" si="727"/>
        <v>0</v>
      </c>
      <c r="T1129" s="2">
        <f t="shared" si="727"/>
        <v>0</v>
      </c>
      <c r="U1129" s="2">
        <f t="shared" si="727"/>
        <v>0</v>
      </c>
    </row>
    <row r="1130" spans="1:22" ht="21.9" customHeight="1">
      <c r="A1130" s="37" t="s">
        <v>1511</v>
      </c>
      <c r="B1130" s="1" t="s">
        <v>330</v>
      </c>
      <c r="C1130" s="2">
        <f t="shared" ref="C1130" si="728">D1130+L1130+N1130+P1130+R1130+S1130+T1130+U1130</f>
        <v>4310000</v>
      </c>
      <c r="D1130" s="3">
        <f t="shared" ref="D1130" si="729">SUM(E1130:J1130)</f>
        <v>0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4">
        <v>0</v>
      </c>
      <c r="L1130" s="3">
        <v>0</v>
      </c>
      <c r="M1130" s="3">
        <v>500</v>
      </c>
      <c r="N1130" s="3">
        <f t="shared" ref="N1130" si="730">M1130*5500</f>
        <v>2750000</v>
      </c>
      <c r="O1130" s="3">
        <v>0</v>
      </c>
      <c r="P1130" s="3">
        <v>0</v>
      </c>
      <c r="Q1130" s="3">
        <v>520</v>
      </c>
      <c r="R1130" s="3">
        <f>Q1130*3000</f>
        <v>1560000</v>
      </c>
      <c r="S1130" s="3">
        <v>0</v>
      </c>
      <c r="T1130" s="3">
        <v>0</v>
      </c>
      <c r="U1130" s="3">
        <v>0</v>
      </c>
      <c r="V1130" s="6">
        <f t="shared" ref="V1130" si="731">N1130/M1130</f>
        <v>5500</v>
      </c>
    </row>
    <row r="1131" spans="1:22" ht="42.9" customHeight="1">
      <c r="A1131" s="53" t="s">
        <v>332</v>
      </c>
      <c r="B1131" s="53"/>
      <c r="C1131" s="2">
        <f>SUM(C1132)</f>
        <v>2363320</v>
      </c>
      <c r="D1131" s="2">
        <f t="shared" ref="D1131:U1131" si="732">SUM(D1132)</f>
        <v>463320</v>
      </c>
      <c r="E1131" s="2">
        <f t="shared" si="732"/>
        <v>180179.99999999997</v>
      </c>
      <c r="F1131" s="2">
        <f t="shared" si="732"/>
        <v>0</v>
      </c>
      <c r="G1131" s="2">
        <f t="shared" si="732"/>
        <v>154440</v>
      </c>
      <c r="H1131" s="2">
        <f t="shared" si="732"/>
        <v>0</v>
      </c>
      <c r="I1131" s="2">
        <f t="shared" si="732"/>
        <v>128699.99999999999</v>
      </c>
      <c r="J1131" s="2">
        <f t="shared" si="732"/>
        <v>0</v>
      </c>
      <c r="K1131" s="14">
        <f t="shared" si="732"/>
        <v>0</v>
      </c>
      <c r="L1131" s="2">
        <f t="shared" si="732"/>
        <v>0</v>
      </c>
      <c r="M1131" s="2">
        <f t="shared" si="732"/>
        <v>0</v>
      </c>
      <c r="N1131" s="2">
        <f t="shared" si="732"/>
        <v>0</v>
      </c>
      <c r="O1131" s="2">
        <f t="shared" si="732"/>
        <v>0</v>
      </c>
      <c r="P1131" s="2">
        <f t="shared" si="732"/>
        <v>0</v>
      </c>
      <c r="Q1131" s="2">
        <f t="shared" si="732"/>
        <v>600</v>
      </c>
      <c r="R1131" s="2">
        <f t="shared" si="732"/>
        <v>1800000</v>
      </c>
      <c r="S1131" s="2">
        <f t="shared" si="732"/>
        <v>0</v>
      </c>
      <c r="T1131" s="2">
        <f t="shared" si="732"/>
        <v>0</v>
      </c>
      <c r="U1131" s="2">
        <f t="shared" si="732"/>
        <v>100000</v>
      </c>
    </row>
    <row r="1132" spans="1:22" ht="23.1" customHeight="1">
      <c r="A1132" s="36" t="s">
        <v>1512</v>
      </c>
      <c r="B1132" s="8" t="s">
        <v>1213</v>
      </c>
      <c r="C1132" s="2">
        <f t="shared" si="717"/>
        <v>2363320</v>
      </c>
      <c r="D1132" s="3">
        <f t="shared" ref="D1132" si="733">SUM(E1132:J1132)</f>
        <v>463320</v>
      </c>
      <c r="E1132" s="3">
        <f>350*514.8</f>
        <v>180179.99999999997</v>
      </c>
      <c r="F1132" s="3">
        <f>1050*0</f>
        <v>0</v>
      </c>
      <c r="G1132" s="3">
        <f>300*514.8</f>
        <v>154440</v>
      </c>
      <c r="H1132" s="3">
        <f>400*0</f>
        <v>0</v>
      </c>
      <c r="I1132" s="3">
        <f>250*514.8</f>
        <v>128699.99999999999</v>
      </c>
      <c r="J1132" s="3">
        <v>0</v>
      </c>
      <c r="K1132" s="11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600</v>
      </c>
      <c r="R1132" s="3">
        <f>Q1132*3000</f>
        <v>1800000</v>
      </c>
      <c r="S1132" s="5">
        <v>0</v>
      </c>
      <c r="T1132" s="5">
        <v>0</v>
      </c>
      <c r="U1132" s="5">
        <v>100000</v>
      </c>
      <c r="V1132" s="6" t="e">
        <f t="shared" ref="V1132" si="734">N1132/M1132</f>
        <v>#DIV/0!</v>
      </c>
    </row>
    <row r="1133" spans="1:22" ht="45" customHeight="1">
      <c r="A1133" s="53" t="s">
        <v>1284</v>
      </c>
      <c r="B1133" s="53"/>
      <c r="C1133" s="2">
        <f>SUM(C1135:C1146)</f>
        <v>105889210</v>
      </c>
      <c r="D1133" s="2">
        <f t="shared" ref="D1133:U1133" si="735">SUM(D1135:D1146)</f>
        <v>28428160</v>
      </c>
      <c r="E1133" s="2">
        <f t="shared" si="735"/>
        <v>5006680</v>
      </c>
      <c r="F1133" s="2">
        <f t="shared" si="735"/>
        <v>15020040</v>
      </c>
      <c r="G1133" s="2">
        <f t="shared" si="735"/>
        <v>4291440</v>
      </c>
      <c r="H1133" s="2">
        <f t="shared" si="735"/>
        <v>533800</v>
      </c>
      <c r="I1133" s="2">
        <f t="shared" si="735"/>
        <v>3576200</v>
      </c>
      <c r="J1133" s="2">
        <f t="shared" si="735"/>
        <v>0</v>
      </c>
      <c r="K1133" s="14">
        <f t="shared" si="735"/>
        <v>0</v>
      </c>
      <c r="L1133" s="2">
        <f>SUM(L1135:L1146)</f>
        <v>0</v>
      </c>
      <c r="M1133" s="2">
        <f t="shared" si="735"/>
        <v>7026.6</v>
      </c>
      <c r="N1133" s="2">
        <f t="shared" si="735"/>
        <v>38646300</v>
      </c>
      <c r="O1133" s="2">
        <f t="shared" si="735"/>
        <v>382</v>
      </c>
      <c r="P1133" s="2">
        <f t="shared" si="735"/>
        <v>458400</v>
      </c>
      <c r="Q1133" s="2">
        <f t="shared" si="735"/>
        <v>12292.7</v>
      </c>
      <c r="R1133" s="2">
        <f t="shared" si="735"/>
        <v>36878100</v>
      </c>
      <c r="S1133" s="2">
        <f t="shared" si="735"/>
        <v>278250</v>
      </c>
      <c r="T1133" s="2">
        <f t="shared" si="735"/>
        <v>0</v>
      </c>
      <c r="U1133" s="2">
        <f t="shared" si="735"/>
        <v>1200000</v>
      </c>
    </row>
    <row r="1134" spans="1:22" ht="21.9" customHeight="1">
      <c r="A1134" s="37" t="s">
        <v>1513</v>
      </c>
      <c r="B1134" s="8" t="s">
        <v>352</v>
      </c>
      <c r="C1134" s="2">
        <f t="shared" ref="C1134" si="736">D1134+L1134+N1134+P1134+R1134+S1134+T1134+U1134</f>
        <v>19934700</v>
      </c>
      <c r="D1134" s="3">
        <f t="shared" ref="D1134" si="737">SUM(E1134:J1134)</f>
        <v>0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4">
        <v>0</v>
      </c>
      <c r="L1134" s="3">
        <v>0</v>
      </c>
      <c r="M1134" s="3">
        <v>1706.2</v>
      </c>
      <c r="N1134" s="3">
        <f t="shared" ref="N1134" si="738">M1134*5500</f>
        <v>9384100</v>
      </c>
      <c r="O1134" s="3">
        <v>0</v>
      </c>
      <c r="P1134" s="3">
        <v>0</v>
      </c>
      <c r="Q1134" s="3">
        <v>3450.2</v>
      </c>
      <c r="R1134" s="3">
        <f t="shared" ref="R1134" si="739">Q1134*3000</f>
        <v>10350600</v>
      </c>
      <c r="S1134" s="3">
        <v>0</v>
      </c>
      <c r="T1134" s="3">
        <v>0</v>
      </c>
      <c r="U1134" s="3">
        <v>200000</v>
      </c>
      <c r="V1134" s="6">
        <f t="shared" ref="V1134" si="740">N1134/M1134</f>
        <v>5500</v>
      </c>
    </row>
    <row r="1135" spans="1:22" ht="21.9" customHeight="1">
      <c r="A1135" s="37" t="s">
        <v>1514</v>
      </c>
      <c r="B1135" s="8" t="s">
        <v>363</v>
      </c>
      <c r="C1135" s="2">
        <f>D1135+L1135+N1135+P1135+R1135+S1135+T1135+U1135</f>
        <v>14264480</v>
      </c>
      <c r="D1135" s="3">
        <f>SUM(E1135:J1135)</f>
        <v>4281030</v>
      </c>
      <c r="E1135" s="3">
        <f>350*2195.4</f>
        <v>768390</v>
      </c>
      <c r="F1135" s="3">
        <f>1050*2195.4</f>
        <v>2305170</v>
      </c>
      <c r="G1135" s="3">
        <f>300*2195.4</f>
        <v>658620</v>
      </c>
      <c r="H1135" s="3">
        <f t="shared" ref="H1135:H1141" si="741">400*0</f>
        <v>0</v>
      </c>
      <c r="I1135" s="3">
        <f>250*2195.4</f>
        <v>548850</v>
      </c>
      <c r="J1135" s="3">
        <v>0</v>
      </c>
      <c r="K1135" s="4">
        <v>0</v>
      </c>
      <c r="L1135" s="3">
        <v>0</v>
      </c>
      <c r="M1135" s="3">
        <v>901.9</v>
      </c>
      <c r="N1135" s="3">
        <f>M1135*5500</f>
        <v>4960450</v>
      </c>
      <c r="O1135" s="3">
        <v>0</v>
      </c>
      <c r="P1135" s="3">
        <v>0</v>
      </c>
      <c r="Q1135" s="3">
        <v>1641</v>
      </c>
      <c r="R1135" s="3">
        <f>Q1135*3000</f>
        <v>4923000</v>
      </c>
      <c r="S1135" s="3">
        <v>0</v>
      </c>
      <c r="T1135" s="3">
        <v>0</v>
      </c>
      <c r="U1135" s="3">
        <v>100000</v>
      </c>
      <c r="V1135" s="6">
        <f>N1135/M1135</f>
        <v>5500</v>
      </c>
    </row>
    <row r="1136" spans="1:22" ht="21.9" customHeight="1">
      <c r="A1136" s="37" t="s">
        <v>1515</v>
      </c>
      <c r="B1136" s="8" t="s">
        <v>364</v>
      </c>
      <c r="C1136" s="2">
        <f>D1136+L1136+N1136+P1136+R1136+S1136+T1136+U1136</f>
        <v>14095655</v>
      </c>
      <c r="D1136" s="3">
        <f>SUM(E1136:J1136)</f>
        <v>4165005</v>
      </c>
      <c r="E1136" s="3">
        <f>350*2135.9</f>
        <v>747565</v>
      </c>
      <c r="F1136" s="3">
        <f>1050*2135.9</f>
        <v>2242695</v>
      </c>
      <c r="G1136" s="3">
        <f>300*2135.9</f>
        <v>640770</v>
      </c>
      <c r="H1136" s="3">
        <f t="shared" si="741"/>
        <v>0</v>
      </c>
      <c r="I1136" s="3">
        <f>250*2135.9</f>
        <v>533975</v>
      </c>
      <c r="J1136" s="3">
        <v>0</v>
      </c>
      <c r="K1136" s="4">
        <v>0</v>
      </c>
      <c r="L1136" s="3">
        <v>0</v>
      </c>
      <c r="M1136" s="3">
        <v>892.3</v>
      </c>
      <c r="N1136" s="3">
        <f>M1136*5500</f>
        <v>4907650</v>
      </c>
      <c r="O1136" s="3">
        <v>0</v>
      </c>
      <c r="P1136" s="3">
        <v>0</v>
      </c>
      <c r="Q1136" s="3">
        <v>1641</v>
      </c>
      <c r="R1136" s="3">
        <f>Q1136*3000</f>
        <v>4923000</v>
      </c>
      <c r="S1136" s="3">
        <v>0</v>
      </c>
      <c r="T1136" s="3">
        <v>0</v>
      </c>
      <c r="U1136" s="3">
        <v>100000</v>
      </c>
      <c r="V1136" s="6">
        <f>N1136/M1136</f>
        <v>5500</v>
      </c>
    </row>
    <row r="1137" spans="1:22" ht="21.9" customHeight="1">
      <c r="A1137" s="37" t="s">
        <v>1516</v>
      </c>
      <c r="B1137" s="8" t="s">
        <v>365</v>
      </c>
      <c r="C1137" s="2">
        <f>D1137+L1137+N1137+P1137+R1137+S1137+T1137+U1137</f>
        <v>13662160</v>
      </c>
      <c r="D1137" s="3">
        <f>SUM(E1137:J1137)</f>
        <v>4176510</v>
      </c>
      <c r="E1137" s="3">
        <f>350*2141.8</f>
        <v>749630.00000000012</v>
      </c>
      <c r="F1137" s="3">
        <f>1050*2141.8</f>
        <v>2248890</v>
      </c>
      <c r="G1137" s="3">
        <f>300*2141.8</f>
        <v>642540</v>
      </c>
      <c r="H1137" s="3">
        <f t="shared" si="741"/>
        <v>0</v>
      </c>
      <c r="I1137" s="3">
        <f>250*2141.8</f>
        <v>535450</v>
      </c>
      <c r="J1137" s="3">
        <v>0</v>
      </c>
      <c r="K1137" s="4">
        <v>0</v>
      </c>
      <c r="L1137" s="3">
        <v>0</v>
      </c>
      <c r="M1137" s="3">
        <v>811.5</v>
      </c>
      <c r="N1137" s="3">
        <f>M1137*5500</f>
        <v>4463250</v>
      </c>
      <c r="O1137" s="3">
        <v>0</v>
      </c>
      <c r="P1137" s="3">
        <v>0</v>
      </c>
      <c r="Q1137" s="3">
        <v>1640.8</v>
      </c>
      <c r="R1137" s="3">
        <f>Q1137*3000</f>
        <v>4922400</v>
      </c>
      <c r="S1137" s="3">
        <v>0</v>
      </c>
      <c r="T1137" s="3">
        <v>0</v>
      </c>
      <c r="U1137" s="3">
        <v>100000</v>
      </c>
      <c r="V1137" s="6">
        <f>N1137/M1137</f>
        <v>5500</v>
      </c>
    </row>
    <row r="1138" spans="1:22" ht="21.9" customHeight="1">
      <c r="A1138" s="37" t="s">
        <v>1517</v>
      </c>
      <c r="B1138" s="8" t="s">
        <v>359</v>
      </c>
      <c r="C1138" s="2">
        <f t="shared" si="717"/>
        <v>5099555</v>
      </c>
      <c r="D1138" s="3">
        <f t="shared" ref="D1138:D1146" si="742">SUM(E1138:J1138)</f>
        <v>1582255</v>
      </c>
      <c r="E1138" s="3">
        <f>350*673.3</f>
        <v>235654.99999999997</v>
      </c>
      <c r="F1138" s="3">
        <f>1050*673.3</f>
        <v>706965</v>
      </c>
      <c r="G1138" s="3">
        <f>300*673.3</f>
        <v>201990</v>
      </c>
      <c r="H1138" s="3">
        <f>400*673.3</f>
        <v>269320</v>
      </c>
      <c r="I1138" s="3">
        <f>250*673.3</f>
        <v>168325</v>
      </c>
      <c r="J1138" s="3">
        <v>0</v>
      </c>
      <c r="K1138" s="4">
        <v>0</v>
      </c>
      <c r="L1138" s="3">
        <v>0</v>
      </c>
      <c r="M1138" s="3">
        <v>378.6</v>
      </c>
      <c r="N1138" s="3">
        <f t="shared" ref="N1138:N1140" si="743">M1138*5500</f>
        <v>2082300.0000000002</v>
      </c>
      <c r="O1138" s="3">
        <v>0</v>
      </c>
      <c r="P1138" s="3">
        <v>0</v>
      </c>
      <c r="Q1138" s="3">
        <v>445</v>
      </c>
      <c r="R1138" s="3">
        <f t="shared" ref="R1138:R1146" si="744">Q1138*3000</f>
        <v>1335000</v>
      </c>
      <c r="S1138" s="3">
        <v>0</v>
      </c>
      <c r="T1138" s="3">
        <v>0</v>
      </c>
      <c r="U1138" s="3">
        <v>100000</v>
      </c>
      <c r="V1138" s="6">
        <f t="shared" ref="V1138:V1146" si="745">N1138/M1138</f>
        <v>5500</v>
      </c>
    </row>
    <row r="1139" spans="1:22" ht="21.9" customHeight="1">
      <c r="A1139" s="37" t="s">
        <v>1519</v>
      </c>
      <c r="B1139" s="8" t="s">
        <v>360</v>
      </c>
      <c r="C1139" s="2">
        <f t="shared" si="717"/>
        <v>11272255</v>
      </c>
      <c r="D1139" s="3">
        <f t="shared" si="742"/>
        <v>3642405</v>
      </c>
      <c r="E1139" s="3">
        <f>350*1867.9</f>
        <v>653765</v>
      </c>
      <c r="F1139" s="3">
        <f>1050*1867.9</f>
        <v>1961295</v>
      </c>
      <c r="G1139" s="3">
        <f>300*1867.9</f>
        <v>560370</v>
      </c>
      <c r="H1139" s="3">
        <f t="shared" si="741"/>
        <v>0</v>
      </c>
      <c r="I1139" s="3">
        <f>250*1867.9</f>
        <v>466975</v>
      </c>
      <c r="J1139" s="3">
        <v>0</v>
      </c>
      <c r="K1139" s="4">
        <v>0</v>
      </c>
      <c r="L1139" s="3">
        <v>0</v>
      </c>
      <c r="M1139" s="3">
        <v>794.7</v>
      </c>
      <c r="N1139" s="3">
        <f t="shared" si="743"/>
        <v>4370850</v>
      </c>
      <c r="O1139" s="3">
        <v>0</v>
      </c>
      <c r="P1139" s="3">
        <v>0</v>
      </c>
      <c r="Q1139" s="3">
        <v>1053</v>
      </c>
      <c r="R1139" s="3">
        <f t="shared" si="744"/>
        <v>3159000</v>
      </c>
      <c r="S1139" s="3">
        <v>0</v>
      </c>
      <c r="T1139" s="3">
        <v>0</v>
      </c>
      <c r="U1139" s="3">
        <v>100000</v>
      </c>
      <c r="V1139" s="6">
        <f t="shared" si="745"/>
        <v>5500</v>
      </c>
    </row>
    <row r="1140" spans="1:22" ht="21.9" customHeight="1">
      <c r="A1140" s="37" t="s">
        <v>1520</v>
      </c>
      <c r="B1140" s="8" t="s">
        <v>361</v>
      </c>
      <c r="C1140" s="2">
        <f t="shared" si="717"/>
        <v>8429460</v>
      </c>
      <c r="D1140" s="3">
        <f t="shared" si="742"/>
        <v>1795560</v>
      </c>
      <c r="E1140" s="3">
        <f>350*920.8</f>
        <v>322280</v>
      </c>
      <c r="F1140" s="3">
        <f>1050*920.8</f>
        <v>966840</v>
      </c>
      <c r="G1140" s="3">
        <f>300*920.8</f>
        <v>276240</v>
      </c>
      <c r="H1140" s="3">
        <f t="shared" si="741"/>
        <v>0</v>
      </c>
      <c r="I1140" s="3">
        <f>250*920.8</f>
        <v>230200</v>
      </c>
      <c r="J1140" s="3">
        <v>0</v>
      </c>
      <c r="K1140" s="4">
        <v>0</v>
      </c>
      <c r="L1140" s="3">
        <v>0</v>
      </c>
      <c r="M1140" s="3">
        <v>759.8</v>
      </c>
      <c r="N1140" s="3">
        <f t="shared" si="743"/>
        <v>4178899.9999999995</v>
      </c>
      <c r="O1140" s="3">
        <v>0</v>
      </c>
      <c r="P1140" s="3">
        <v>0</v>
      </c>
      <c r="Q1140" s="3">
        <v>785</v>
      </c>
      <c r="R1140" s="3">
        <f t="shared" si="744"/>
        <v>2355000</v>
      </c>
      <c r="S1140" s="3">
        <v>0</v>
      </c>
      <c r="T1140" s="3">
        <v>0</v>
      </c>
      <c r="U1140" s="3">
        <v>100000</v>
      </c>
      <c r="V1140" s="6">
        <f t="shared" si="745"/>
        <v>5500</v>
      </c>
    </row>
    <row r="1141" spans="1:22" ht="21.9" customHeight="1">
      <c r="A1141" s="37" t="s">
        <v>1521</v>
      </c>
      <c r="B1141" s="8" t="s">
        <v>362</v>
      </c>
      <c r="C1141" s="2">
        <f t="shared" si="717"/>
        <v>5265580</v>
      </c>
      <c r="D1141" s="3">
        <f t="shared" si="742"/>
        <v>1857180</v>
      </c>
      <c r="E1141" s="3">
        <f>350*952.4</f>
        <v>333340</v>
      </c>
      <c r="F1141" s="3">
        <f>1050*952.4</f>
        <v>1000020</v>
      </c>
      <c r="G1141" s="3">
        <f>300*952.4</f>
        <v>285720</v>
      </c>
      <c r="H1141" s="3">
        <f t="shared" si="741"/>
        <v>0</v>
      </c>
      <c r="I1141" s="3">
        <f>250*952.4</f>
        <v>238100</v>
      </c>
      <c r="J1141" s="3">
        <v>0</v>
      </c>
      <c r="K1141" s="4">
        <v>0</v>
      </c>
      <c r="L1141" s="3">
        <v>0</v>
      </c>
      <c r="M1141" s="3">
        <v>0</v>
      </c>
      <c r="N1141" s="3">
        <v>0</v>
      </c>
      <c r="O1141" s="3">
        <v>382</v>
      </c>
      <c r="P1141" s="3">
        <v>458400</v>
      </c>
      <c r="Q1141" s="3">
        <v>950</v>
      </c>
      <c r="R1141" s="3">
        <f t="shared" si="744"/>
        <v>2850000</v>
      </c>
      <c r="S1141" s="3">
        <v>0</v>
      </c>
      <c r="T1141" s="3">
        <v>0</v>
      </c>
      <c r="U1141" s="3">
        <v>100000</v>
      </c>
      <c r="V1141" s="6" t="e">
        <f t="shared" si="745"/>
        <v>#DIV/0!</v>
      </c>
    </row>
    <row r="1142" spans="1:22" ht="21.9" customHeight="1">
      <c r="A1142" s="37" t="s">
        <v>1522</v>
      </c>
      <c r="B1142" s="8" t="s">
        <v>366</v>
      </c>
      <c r="C1142" s="2">
        <f t="shared" si="717"/>
        <v>8331810</v>
      </c>
      <c r="D1142" s="3">
        <f t="shared" si="742"/>
        <v>1553820</v>
      </c>
      <c r="E1142" s="3">
        <f>350*661.2</f>
        <v>231420.00000000003</v>
      </c>
      <c r="F1142" s="3">
        <f>1050*661.2</f>
        <v>694260</v>
      </c>
      <c r="G1142" s="3">
        <f>300*661.2</f>
        <v>198360</v>
      </c>
      <c r="H1142" s="3">
        <f>400*661.2</f>
        <v>264480</v>
      </c>
      <c r="I1142" s="3">
        <f>250*661.2</f>
        <v>165300</v>
      </c>
      <c r="J1142" s="3">
        <v>0</v>
      </c>
      <c r="K1142" s="4">
        <v>0</v>
      </c>
      <c r="L1142" s="3">
        <v>0</v>
      </c>
      <c r="M1142" s="3">
        <v>560.29999999999995</v>
      </c>
      <c r="N1142" s="3">
        <f t="shared" ref="N1142:N1146" si="746">M1142*5500</f>
        <v>3081649.9999999995</v>
      </c>
      <c r="O1142" s="3">
        <v>0</v>
      </c>
      <c r="P1142" s="3">
        <v>0</v>
      </c>
      <c r="Q1142" s="3">
        <v>1152.3</v>
      </c>
      <c r="R1142" s="3">
        <f t="shared" si="744"/>
        <v>3456900</v>
      </c>
      <c r="S1142" s="3">
        <v>139440</v>
      </c>
      <c r="T1142" s="3">
        <v>0</v>
      </c>
      <c r="U1142" s="3">
        <v>100000</v>
      </c>
      <c r="V1142" s="6">
        <f t="shared" si="745"/>
        <v>5500</v>
      </c>
    </row>
    <row r="1143" spans="1:22" ht="21.9" customHeight="1">
      <c r="A1143" s="37" t="s">
        <v>1523</v>
      </c>
      <c r="B1143" s="8" t="s">
        <v>367</v>
      </c>
      <c r="C1143" s="2">
        <f t="shared" si="717"/>
        <v>8257650</v>
      </c>
      <c r="D1143" s="3">
        <f t="shared" si="742"/>
        <v>1437540</v>
      </c>
      <c r="E1143" s="3">
        <f>350*737.2</f>
        <v>258020.00000000003</v>
      </c>
      <c r="F1143" s="3">
        <f>1050*737.2</f>
        <v>774060</v>
      </c>
      <c r="G1143" s="3">
        <f>300*737.2</f>
        <v>221160</v>
      </c>
      <c r="H1143" s="3">
        <f>400*0</f>
        <v>0</v>
      </c>
      <c r="I1143" s="3">
        <f>250*737.2</f>
        <v>184300</v>
      </c>
      <c r="J1143" s="3">
        <v>0</v>
      </c>
      <c r="K1143" s="4">
        <v>0</v>
      </c>
      <c r="L1143" s="3">
        <v>0</v>
      </c>
      <c r="M1143" s="3">
        <v>569</v>
      </c>
      <c r="N1143" s="3">
        <f t="shared" si="746"/>
        <v>3129500</v>
      </c>
      <c r="O1143" s="3">
        <v>0</v>
      </c>
      <c r="P1143" s="3">
        <v>0</v>
      </c>
      <c r="Q1143" s="3">
        <v>1150.5999999999999</v>
      </c>
      <c r="R1143" s="3">
        <f t="shared" si="744"/>
        <v>3451799.9999999995</v>
      </c>
      <c r="S1143" s="3">
        <v>138810</v>
      </c>
      <c r="T1143" s="3">
        <v>0</v>
      </c>
      <c r="U1143" s="3">
        <v>100000</v>
      </c>
      <c r="V1143" s="6">
        <f t="shared" si="745"/>
        <v>5500</v>
      </c>
    </row>
    <row r="1144" spans="1:22" ht="21.9" customHeight="1">
      <c r="A1144" s="37" t="s">
        <v>1524</v>
      </c>
      <c r="B1144" s="8" t="s">
        <v>368</v>
      </c>
      <c r="C1144" s="2">
        <f t="shared" si="717"/>
        <v>6635965</v>
      </c>
      <c r="D1144" s="3">
        <f t="shared" si="742"/>
        <v>1426815</v>
      </c>
      <c r="E1144" s="3">
        <f>350*731.7</f>
        <v>256095.00000000003</v>
      </c>
      <c r="F1144" s="3">
        <f>1050*731.7</f>
        <v>768285</v>
      </c>
      <c r="G1144" s="3">
        <f>300*731.7</f>
        <v>219510</v>
      </c>
      <c r="H1144" s="3">
        <f>400*0</f>
        <v>0</v>
      </c>
      <c r="I1144" s="3">
        <f>250*731.7</f>
        <v>182925</v>
      </c>
      <c r="J1144" s="3">
        <v>0</v>
      </c>
      <c r="K1144" s="4">
        <v>0</v>
      </c>
      <c r="L1144" s="3">
        <v>0</v>
      </c>
      <c r="M1144" s="3">
        <v>561.29999999999995</v>
      </c>
      <c r="N1144" s="3">
        <f t="shared" si="746"/>
        <v>3087149.9999999995</v>
      </c>
      <c r="O1144" s="3">
        <v>0</v>
      </c>
      <c r="P1144" s="3">
        <v>0</v>
      </c>
      <c r="Q1144" s="3">
        <v>674</v>
      </c>
      <c r="R1144" s="3">
        <f t="shared" si="744"/>
        <v>2022000</v>
      </c>
      <c r="S1144" s="3">
        <v>0</v>
      </c>
      <c r="T1144" s="3">
        <v>0</v>
      </c>
      <c r="U1144" s="3">
        <v>100000</v>
      </c>
      <c r="V1144" s="6">
        <f t="shared" si="745"/>
        <v>5500</v>
      </c>
    </row>
    <row r="1145" spans="1:22" ht="21.9" customHeight="1">
      <c r="A1145" s="37" t="s">
        <v>1525</v>
      </c>
      <c r="B1145" s="8" t="s">
        <v>369</v>
      </c>
      <c r="C1145" s="2">
        <f t="shared" si="717"/>
        <v>6904010</v>
      </c>
      <c r="D1145" s="3">
        <f t="shared" si="742"/>
        <v>1684410</v>
      </c>
      <c r="E1145" s="3">
        <f>350*863.8</f>
        <v>302330</v>
      </c>
      <c r="F1145" s="3">
        <f>1050*863.8</f>
        <v>906990</v>
      </c>
      <c r="G1145" s="3">
        <f>300*863.8</f>
        <v>259140</v>
      </c>
      <c r="H1145" s="3">
        <f>400*0</f>
        <v>0</v>
      </c>
      <c r="I1145" s="3">
        <f>250*863.8</f>
        <v>215950</v>
      </c>
      <c r="J1145" s="3">
        <v>0</v>
      </c>
      <c r="K1145" s="4">
        <v>0</v>
      </c>
      <c r="L1145" s="3">
        <v>0</v>
      </c>
      <c r="M1145" s="3">
        <v>557.20000000000005</v>
      </c>
      <c r="N1145" s="3">
        <f t="shared" si="746"/>
        <v>3064600.0000000005</v>
      </c>
      <c r="O1145" s="3">
        <v>0</v>
      </c>
      <c r="P1145" s="3">
        <v>0</v>
      </c>
      <c r="Q1145" s="3">
        <v>685</v>
      </c>
      <c r="R1145" s="3">
        <f t="shared" si="744"/>
        <v>2055000</v>
      </c>
      <c r="S1145" s="3">
        <v>0</v>
      </c>
      <c r="T1145" s="3">
        <v>0</v>
      </c>
      <c r="U1145" s="3">
        <v>100000</v>
      </c>
      <c r="V1145" s="6">
        <f t="shared" si="745"/>
        <v>5500</v>
      </c>
    </row>
    <row r="1146" spans="1:22" ht="21.9" customHeight="1">
      <c r="A1146" s="37" t="s">
        <v>1526</v>
      </c>
      <c r="B1146" s="8" t="s">
        <v>370</v>
      </c>
      <c r="C1146" s="2">
        <f t="shared" si="717"/>
        <v>3670630</v>
      </c>
      <c r="D1146" s="3">
        <f t="shared" si="742"/>
        <v>825630</v>
      </c>
      <c r="E1146" s="3">
        <f>350*423.4</f>
        <v>148190</v>
      </c>
      <c r="F1146" s="3">
        <f>1050*423.4</f>
        <v>444570</v>
      </c>
      <c r="G1146" s="3">
        <f>300*423.4</f>
        <v>127020</v>
      </c>
      <c r="H1146" s="3">
        <f>400*0</f>
        <v>0</v>
      </c>
      <c r="I1146" s="3">
        <f>250*423.4</f>
        <v>105850</v>
      </c>
      <c r="J1146" s="3">
        <v>0</v>
      </c>
      <c r="K1146" s="4">
        <v>0</v>
      </c>
      <c r="L1146" s="3">
        <v>0</v>
      </c>
      <c r="M1146" s="3">
        <v>240</v>
      </c>
      <c r="N1146" s="3">
        <f t="shared" si="746"/>
        <v>1320000</v>
      </c>
      <c r="O1146" s="3">
        <v>0</v>
      </c>
      <c r="P1146" s="3">
        <v>0</v>
      </c>
      <c r="Q1146" s="3">
        <v>475</v>
      </c>
      <c r="R1146" s="3">
        <f t="shared" si="744"/>
        <v>1425000</v>
      </c>
      <c r="S1146" s="3">
        <v>0</v>
      </c>
      <c r="T1146" s="3">
        <v>0</v>
      </c>
      <c r="U1146" s="3">
        <v>100000</v>
      </c>
      <c r="V1146" s="6">
        <f t="shared" si="745"/>
        <v>5500</v>
      </c>
    </row>
    <row r="1147" spans="1:22" ht="45" customHeight="1">
      <c r="A1147" s="53" t="s">
        <v>1228</v>
      </c>
      <c r="B1147" s="53"/>
      <c r="C1147" s="2">
        <f>SUM(C1148:C1150)</f>
        <v>5211600</v>
      </c>
      <c r="D1147" s="2">
        <f t="shared" ref="D1147:U1147" si="747">SUM(D1148:D1150)</f>
        <v>0</v>
      </c>
      <c r="E1147" s="2">
        <f t="shared" si="747"/>
        <v>0</v>
      </c>
      <c r="F1147" s="2">
        <f t="shared" si="747"/>
        <v>0</v>
      </c>
      <c r="G1147" s="2">
        <f t="shared" si="747"/>
        <v>0</v>
      </c>
      <c r="H1147" s="2">
        <f t="shared" si="747"/>
        <v>0</v>
      </c>
      <c r="I1147" s="2">
        <f t="shared" si="747"/>
        <v>0</v>
      </c>
      <c r="J1147" s="2">
        <f t="shared" si="747"/>
        <v>0</v>
      </c>
      <c r="K1147" s="14">
        <f t="shared" si="747"/>
        <v>0</v>
      </c>
      <c r="L1147" s="2">
        <f t="shared" si="747"/>
        <v>0</v>
      </c>
      <c r="M1147" s="2">
        <f t="shared" si="747"/>
        <v>600</v>
      </c>
      <c r="N1147" s="2">
        <f t="shared" si="747"/>
        <v>2211600</v>
      </c>
      <c r="O1147" s="2">
        <f t="shared" si="747"/>
        <v>0</v>
      </c>
      <c r="P1147" s="2">
        <f t="shared" si="747"/>
        <v>0</v>
      </c>
      <c r="Q1147" s="2">
        <f t="shared" si="747"/>
        <v>800</v>
      </c>
      <c r="R1147" s="2">
        <f t="shared" si="747"/>
        <v>2400000</v>
      </c>
      <c r="S1147" s="2">
        <f t="shared" si="747"/>
        <v>0</v>
      </c>
      <c r="T1147" s="2">
        <f t="shared" si="747"/>
        <v>0</v>
      </c>
      <c r="U1147" s="2">
        <f t="shared" si="747"/>
        <v>600000</v>
      </c>
      <c r="V1147" s="18">
        <f>C1147</f>
        <v>5211600</v>
      </c>
    </row>
    <row r="1148" spans="1:22" ht="23.25" customHeight="1">
      <c r="A1148" s="36" t="s">
        <v>1527</v>
      </c>
      <c r="B1148" s="8" t="s">
        <v>1294</v>
      </c>
      <c r="C1148" s="2">
        <f t="shared" ref="C1148" si="748">D1148+L1148+N1148+P1148+R1148+S1148+T1148+U1148</f>
        <v>300000</v>
      </c>
      <c r="D1148" s="3">
        <f t="shared" ref="D1148" si="749">SUM(E1148:J1148)</f>
        <v>0</v>
      </c>
      <c r="E1148" s="3">
        <v>0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4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300000</v>
      </c>
      <c r="V1148" s="18"/>
    </row>
    <row r="1149" spans="1:22" ht="21.9" customHeight="1">
      <c r="A1149" s="36" t="s">
        <v>1528</v>
      </c>
      <c r="B1149" s="8" t="s">
        <v>1229</v>
      </c>
      <c r="C1149" s="2">
        <f t="shared" ref="C1149" si="750">D1149+L1149+N1149+P1149+R1149+S1149+T1149+U1149</f>
        <v>4611600</v>
      </c>
      <c r="D1149" s="3">
        <f t="shared" ref="D1149" si="751">SUM(E1149:J1149)</f>
        <v>0</v>
      </c>
      <c r="E1149" s="3">
        <v>0</v>
      </c>
      <c r="F1149" s="3">
        <f>1050*0</f>
        <v>0</v>
      </c>
      <c r="G1149" s="3">
        <f>300*0</f>
        <v>0</v>
      </c>
      <c r="H1149" s="3">
        <f>400*0</f>
        <v>0</v>
      </c>
      <c r="I1149" s="3">
        <f>250*0</f>
        <v>0</v>
      </c>
      <c r="J1149" s="3">
        <v>0</v>
      </c>
      <c r="K1149" s="4">
        <v>0</v>
      </c>
      <c r="L1149" s="3">
        <v>0</v>
      </c>
      <c r="M1149" s="3">
        <v>600</v>
      </c>
      <c r="N1149" s="3">
        <f>M1149*3686</f>
        <v>2211600</v>
      </c>
      <c r="O1149" s="3">
        <v>0</v>
      </c>
      <c r="P1149" s="3">
        <v>0</v>
      </c>
      <c r="Q1149" s="3">
        <v>800</v>
      </c>
      <c r="R1149" s="3">
        <f t="shared" ref="R1149" si="752">Q1149*3000</f>
        <v>2400000</v>
      </c>
      <c r="S1149" s="3">
        <v>0</v>
      </c>
      <c r="T1149" s="3">
        <v>0</v>
      </c>
      <c r="U1149" s="3">
        <v>0</v>
      </c>
      <c r="V1149" s="6">
        <f t="shared" ref="V1149" si="753">N1149/M1149</f>
        <v>3686</v>
      </c>
    </row>
    <row r="1150" spans="1:22" ht="21.9" customHeight="1">
      <c r="A1150" s="36" t="s">
        <v>1529</v>
      </c>
      <c r="B1150" s="8" t="s">
        <v>1293</v>
      </c>
      <c r="C1150" s="2">
        <f t="shared" ref="C1150" si="754">D1150+L1150+N1150+P1150+R1150+S1150+T1150+U1150</f>
        <v>300000</v>
      </c>
      <c r="D1150" s="3">
        <f t="shared" ref="D1150" si="755">SUM(E1150:J1150)</f>
        <v>0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4">
        <v>0</v>
      </c>
      <c r="L1150" s="3">
        <v>0</v>
      </c>
      <c r="M1150" s="3">
        <v>0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300000</v>
      </c>
    </row>
    <row r="1151" spans="1:22" ht="45" customHeight="1">
      <c r="A1151" s="53" t="s">
        <v>374</v>
      </c>
      <c r="B1151" s="53"/>
      <c r="C1151" s="2">
        <f>SUM(C1152:C1153)</f>
        <v>5912750</v>
      </c>
      <c r="D1151" s="2">
        <f t="shared" ref="D1151:U1151" si="756">SUM(D1152:D1153)</f>
        <v>190050</v>
      </c>
      <c r="E1151" s="2">
        <f t="shared" si="756"/>
        <v>190050</v>
      </c>
      <c r="F1151" s="2">
        <f t="shared" si="756"/>
        <v>0</v>
      </c>
      <c r="G1151" s="2">
        <f t="shared" si="756"/>
        <v>0</v>
      </c>
      <c r="H1151" s="2">
        <f t="shared" si="756"/>
        <v>0</v>
      </c>
      <c r="I1151" s="2">
        <f t="shared" si="756"/>
        <v>0</v>
      </c>
      <c r="J1151" s="2">
        <f t="shared" si="756"/>
        <v>0</v>
      </c>
      <c r="K1151" s="14">
        <f t="shared" si="756"/>
        <v>0</v>
      </c>
      <c r="L1151" s="2">
        <f t="shared" si="756"/>
        <v>0</v>
      </c>
      <c r="M1151" s="2">
        <f t="shared" si="756"/>
        <v>645</v>
      </c>
      <c r="N1151" s="2">
        <f t="shared" si="756"/>
        <v>3547500</v>
      </c>
      <c r="O1151" s="2">
        <f t="shared" si="756"/>
        <v>0</v>
      </c>
      <c r="P1151" s="2">
        <f t="shared" si="756"/>
        <v>0</v>
      </c>
      <c r="Q1151" s="2">
        <f t="shared" si="756"/>
        <v>658.4</v>
      </c>
      <c r="R1151" s="2">
        <f t="shared" si="756"/>
        <v>1975200</v>
      </c>
      <c r="S1151" s="2">
        <f t="shared" si="756"/>
        <v>0</v>
      </c>
      <c r="T1151" s="2">
        <f t="shared" si="756"/>
        <v>0</v>
      </c>
      <c r="U1151" s="2">
        <f t="shared" si="756"/>
        <v>200000</v>
      </c>
      <c r="V1151" s="18">
        <f>C1151</f>
        <v>5912750</v>
      </c>
    </row>
    <row r="1152" spans="1:22" ht="21.9" customHeight="1">
      <c r="A1152" s="37" t="s">
        <v>1530</v>
      </c>
      <c r="B1152" s="8" t="s">
        <v>1532</v>
      </c>
      <c r="C1152" s="2">
        <f t="shared" si="717"/>
        <v>2504820</v>
      </c>
      <c r="D1152" s="3">
        <f t="shared" ref="D1152:D1153" si="757">SUM(E1152:J1152)</f>
        <v>92820</v>
      </c>
      <c r="E1152" s="3">
        <f>350*265.2</f>
        <v>92820</v>
      </c>
      <c r="F1152" s="3">
        <f>1050*0</f>
        <v>0</v>
      </c>
      <c r="G1152" s="3">
        <f>300*0</f>
        <v>0</v>
      </c>
      <c r="H1152" s="3">
        <f>400*0</f>
        <v>0</v>
      </c>
      <c r="I1152" s="3">
        <f>250*0</f>
        <v>0</v>
      </c>
      <c r="J1152" s="3">
        <v>0</v>
      </c>
      <c r="K1152" s="4">
        <v>0</v>
      </c>
      <c r="L1152" s="3">
        <v>0</v>
      </c>
      <c r="M1152" s="3">
        <v>245</v>
      </c>
      <c r="N1152" s="3">
        <f>M1152*5500</f>
        <v>1347500</v>
      </c>
      <c r="O1152" s="3">
        <v>0</v>
      </c>
      <c r="P1152" s="3">
        <v>0</v>
      </c>
      <c r="Q1152" s="3">
        <v>321.5</v>
      </c>
      <c r="R1152" s="3">
        <f t="shared" ref="R1152:R1153" si="758">Q1152*3000</f>
        <v>964500</v>
      </c>
      <c r="S1152" s="3">
        <v>0</v>
      </c>
      <c r="T1152" s="3">
        <v>0</v>
      </c>
      <c r="U1152" s="3">
        <v>100000</v>
      </c>
      <c r="V1152" s="6">
        <f t="shared" ref="V1152:V1153" si="759">N1152/M1152</f>
        <v>5500</v>
      </c>
    </row>
    <row r="1153" spans="1:22" ht="21.9" customHeight="1">
      <c r="A1153" s="37" t="s">
        <v>1531</v>
      </c>
      <c r="B1153" s="8" t="s">
        <v>373</v>
      </c>
      <c r="C1153" s="2">
        <f t="shared" si="717"/>
        <v>3407930</v>
      </c>
      <c r="D1153" s="3">
        <f t="shared" si="757"/>
        <v>97230</v>
      </c>
      <c r="E1153" s="3">
        <f>350*277.8</f>
        <v>97230</v>
      </c>
      <c r="F1153" s="3">
        <f>1050*0</f>
        <v>0</v>
      </c>
      <c r="G1153" s="3">
        <f>300*0</f>
        <v>0</v>
      </c>
      <c r="H1153" s="3">
        <f>400*0</f>
        <v>0</v>
      </c>
      <c r="I1153" s="3">
        <f>250*0</f>
        <v>0</v>
      </c>
      <c r="J1153" s="3">
        <v>0</v>
      </c>
      <c r="K1153" s="4">
        <v>0</v>
      </c>
      <c r="L1153" s="3">
        <v>0</v>
      </c>
      <c r="M1153" s="3">
        <v>400</v>
      </c>
      <c r="N1153" s="3">
        <f>M1153*5500</f>
        <v>2200000</v>
      </c>
      <c r="O1153" s="3">
        <v>0</v>
      </c>
      <c r="P1153" s="3">
        <v>0</v>
      </c>
      <c r="Q1153" s="3">
        <v>336.9</v>
      </c>
      <c r="R1153" s="3">
        <f t="shared" si="758"/>
        <v>1010699.9999999999</v>
      </c>
      <c r="S1153" s="3">
        <v>0</v>
      </c>
      <c r="T1153" s="3">
        <v>0</v>
      </c>
      <c r="U1153" s="3">
        <v>100000</v>
      </c>
      <c r="V1153" s="6">
        <f t="shared" si="759"/>
        <v>5500</v>
      </c>
    </row>
    <row r="1154" spans="1:22">
      <c r="A1154" s="45"/>
      <c r="B1154" s="7"/>
      <c r="C1154" s="25"/>
      <c r="D1154" s="7"/>
      <c r="E1154" s="7"/>
      <c r="F1154" s="7"/>
      <c r="G1154" s="7"/>
      <c r="H1154" s="7"/>
      <c r="I1154" s="7"/>
      <c r="J1154" s="7"/>
      <c r="K1154" s="31"/>
      <c r="L1154" s="7"/>
      <c r="M1154" s="7"/>
      <c r="N1154" s="7"/>
      <c r="O1154" s="25"/>
      <c r="P1154" s="25"/>
      <c r="Q1154" s="25"/>
      <c r="R1154" s="25"/>
      <c r="S1154" s="25"/>
      <c r="T1154" s="25"/>
      <c r="U1154" s="25"/>
    </row>
    <row r="1155" spans="1:22">
      <c r="A1155" s="45"/>
      <c r="B1155" s="7"/>
      <c r="C1155" s="7"/>
      <c r="D1155" s="7"/>
      <c r="E1155" s="7"/>
      <c r="F1155" s="7"/>
      <c r="G1155" s="7"/>
      <c r="H1155" s="7"/>
      <c r="I1155" s="7"/>
      <c r="J1155" s="7"/>
      <c r="K1155" s="31"/>
      <c r="L1155" s="7"/>
      <c r="M1155" s="7"/>
      <c r="N1155" s="7"/>
      <c r="O1155" s="25"/>
      <c r="P1155" s="25"/>
      <c r="Q1155" s="25"/>
      <c r="R1155" s="25"/>
      <c r="S1155" s="25"/>
      <c r="T1155" s="25"/>
      <c r="U1155" s="25"/>
    </row>
  </sheetData>
  <sortState ref="A616:IX625">
    <sortCondition ref="B616:B625"/>
  </sortState>
  <mergeCells count="158">
    <mergeCell ref="A1129:B1129"/>
    <mergeCell ref="S4:S5"/>
    <mergeCell ref="A1151:B1151"/>
    <mergeCell ref="A1133:B1133"/>
    <mergeCell ref="A1116:B1116"/>
    <mergeCell ref="A1119:B1119"/>
    <mergeCell ref="A1107:B1107"/>
    <mergeCell ref="A899:B899"/>
    <mergeCell ref="A902:B902"/>
    <mergeCell ref="A1125:B1125"/>
    <mergeCell ref="A761:B761"/>
    <mergeCell ref="A878:B878"/>
    <mergeCell ref="A865:B865"/>
    <mergeCell ref="A849:B849"/>
    <mergeCell ref="A793:B793"/>
    <mergeCell ref="A873:B873"/>
    <mergeCell ref="A831:B831"/>
    <mergeCell ref="A806:B806"/>
    <mergeCell ref="A789:B789"/>
    <mergeCell ref="A1121:B1121"/>
    <mergeCell ref="A26:B26"/>
    <mergeCell ref="A266:B266"/>
    <mergeCell ref="A262:B262"/>
    <mergeCell ref="A1131:B1131"/>
    <mergeCell ref="A1105:B1105"/>
    <mergeCell ref="A814:B814"/>
    <mergeCell ref="A723:B723"/>
    <mergeCell ref="A754:B754"/>
    <mergeCell ref="A1123:B1123"/>
    <mergeCell ref="A847:B847"/>
    <mergeCell ref="A448:B448"/>
    <mergeCell ref="A1101:B1101"/>
    <mergeCell ref="A881:B881"/>
    <mergeCell ref="A896:B896"/>
    <mergeCell ref="A1103:B1103"/>
    <mergeCell ref="A1113:B1113"/>
    <mergeCell ref="A701:B701"/>
    <mergeCell ref="A715:B715"/>
    <mergeCell ref="A731:B731"/>
    <mergeCell ref="A450:B450"/>
    <mergeCell ref="A453:B453"/>
    <mergeCell ref="A784:B784"/>
    <mergeCell ref="A837:B837"/>
    <mergeCell ref="A455:B455"/>
    <mergeCell ref="A833:B833"/>
    <mergeCell ref="A829:B829"/>
    <mergeCell ref="A840:B840"/>
    <mergeCell ref="A842:B842"/>
    <mergeCell ref="A799:B799"/>
    <mergeCell ref="A64:B64"/>
    <mergeCell ref="A89:B89"/>
    <mergeCell ref="A321:B321"/>
    <mergeCell ref="A264:B264"/>
    <mergeCell ref="A357:B357"/>
    <mergeCell ref="A120:B120"/>
    <mergeCell ref="A268:B268"/>
    <mergeCell ref="A244:B244"/>
    <mergeCell ref="A251:B251"/>
    <mergeCell ref="A286:B286"/>
    <mergeCell ref="A68:B68"/>
    <mergeCell ref="A758:B758"/>
    <mergeCell ref="A104:B104"/>
    <mergeCell ref="A809:B809"/>
    <mergeCell ref="A804:B804"/>
    <mergeCell ref="A786:B786"/>
    <mergeCell ref="A796:B796"/>
    <mergeCell ref="A822:B822"/>
    <mergeCell ref="A816:B816"/>
    <mergeCell ref="A242:B242"/>
    <mergeCell ref="A116:B116"/>
    <mergeCell ref="A325:B325"/>
    <mergeCell ref="A339:B339"/>
    <mergeCell ref="A347:B347"/>
    <mergeCell ref="A313:B313"/>
    <mergeCell ref="A255:B255"/>
    <mergeCell ref="A331:B331"/>
    <mergeCell ref="A257:B257"/>
    <mergeCell ref="A319:B319"/>
    <mergeCell ref="A327:B327"/>
    <mergeCell ref="A285:B285"/>
    <mergeCell ref="A284:U284"/>
    <mergeCell ref="A118:B118"/>
    <mergeCell ref="A270:B270"/>
    <mergeCell ref="A247:B247"/>
    <mergeCell ref="A291:B291"/>
    <mergeCell ref="A351:B351"/>
    <mergeCell ref="A35:B35"/>
    <mergeCell ref="A96:B96"/>
    <mergeCell ref="A114:B114"/>
    <mergeCell ref="A237:B23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59:B59"/>
    <mergeCell ref="A66:B66"/>
    <mergeCell ref="A86:B86"/>
    <mergeCell ref="A61:B61"/>
    <mergeCell ref="A8:B8"/>
    <mergeCell ref="A9:U9"/>
    <mergeCell ref="A10:B10"/>
    <mergeCell ref="A11:B11"/>
    <mergeCell ref="A24:B24"/>
    <mergeCell ref="A835:B835"/>
    <mergeCell ref="A824:B824"/>
    <mergeCell ref="A757:B757"/>
    <mergeCell ref="A349:B349"/>
    <mergeCell ref="A364:B364"/>
    <mergeCell ref="A415:B415"/>
    <mergeCell ref="A425:B425"/>
    <mergeCell ref="A721:B721"/>
    <mergeCell ref="A751:B751"/>
    <mergeCell ref="A734:B734"/>
    <mergeCell ref="A756:U756"/>
    <mergeCell ref="A727:B727"/>
    <mergeCell ref="A729:B729"/>
    <mergeCell ref="A362:B362"/>
    <mergeCell ref="A372:B372"/>
    <mergeCell ref="A57:B57"/>
    <mergeCell ref="A53:B53"/>
    <mergeCell ref="A55:B55"/>
    <mergeCell ref="A30:B30"/>
    <mergeCell ref="A1147:B1147"/>
    <mergeCell ref="T3:U3"/>
    <mergeCell ref="A699:B699"/>
    <mergeCell ref="A717:B717"/>
    <mergeCell ref="A446:B446"/>
    <mergeCell ref="A427:B427"/>
    <mergeCell ref="A403:B403"/>
    <mergeCell ref="A360:B360"/>
    <mergeCell ref="A405:B405"/>
    <mergeCell ref="A368:B368"/>
    <mergeCell ref="A355:B355"/>
    <mergeCell ref="A259:B259"/>
    <mergeCell ref="A704:B704"/>
    <mergeCell ref="A695:B695"/>
    <mergeCell ref="A379:B379"/>
    <mergeCell ref="A457:B457"/>
    <mergeCell ref="A381:B381"/>
    <mergeCell ref="A423:B423"/>
    <mergeCell ref="A333:B333"/>
    <mergeCell ref="A315:B315"/>
    <mergeCell ref="A1109:B1109"/>
    <mergeCell ref="C3:C5"/>
    <mergeCell ref="A43:B43"/>
    <mergeCell ref="D3:S3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Sivakova_OV</cp:lastModifiedBy>
  <cp:lastPrinted>2021-05-31T08:33:45Z</cp:lastPrinted>
  <dcterms:created xsi:type="dcterms:W3CDTF">2012-12-13T11:50:40Z</dcterms:created>
  <dcterms:modified xsi:type="dcterms:W3CDTF">2021-06-21T11:41:08Z</dcterms:modified>
</cp:coreProperties>
</file>