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X:\Конкурсный\!Общая папка\РЕГИОНАЛЬНАЯ ПРОГРАММА и КРАТКОСРОЧНЫЕ ПЛАНЫ\Кратк. планы по видам работ\Кратк план по видам работ 2020-2022\15. Краткосрочный план 2020-2022 (расп. №1182 от 15.08.2022)\"/>
    </mc:Choice>
  </mc:AlternateContent>
  <bookViews>
    <workbookView xWindow="0" yWindow="0" windowWidth="25005" windowHeight="7410" tabRatio="300"/>
  </bookViews>
  <sheets>
    <sheet name="Прод. прилож" sheetId="13" r:id="rId1"/>
  </sheets>
  <definedNames>
    <definedName name="_xlnm._FilterDatabase" localSheetId="0" hidden="1">'Прод. прилож'!#REF!</definedName>
    <definedName name="_xlnm.Print_Titles" localSheetId="0">'Прод. прилож'!$7:$7</definedName>
    <definedName name="мп" localSheetId="0">#REF!</definedName>
    <definedName name="_xlnm.Print_Area" localSheetId="0">'Прод. прилож'!$A$1:$U$1184</definedName>
    <definedName name="Перечень" localSheetId="0">#REF!</definedName>
    <definedName name="Перечень2" localSheetId="0">#REF!</definedName>
    <definedName name="Перечень3" localSheetId="0">#REF!</definedName>
  </definedNames>
  <calcPr calcId="152511"/>
  <customWorkbookViews>
    <customWorkbookView name="Gorbachev - Личное представление" guid="{9872BAE3-55C4-497B-A21D-C80B61179128}" mergeInterval="0" personalView="1" maximized="1" xWindow="1" yWindow="1" windowWidth="1916" windowHeight="859" tabRatio="897" activeSheetId="1"/>
  </customWorkbookViews>
</workbook>
</file>

<file path=xl/calcChain.xml><?xml version="1.0" encoding="utf-8"?>
<calcChain xmlns="http://schemas.openxmlformats.org/spreadsheetml/2006/main">
  <c r="U788" i="13" l="1"/>
  <c r="T788" i="13"/>
  <c r="Q788" i="13"/>
  <c r="O788" i="13"/>
  <c r="M788" i="13"/>
  <c r="L788" i="13"/>
  <c r="K788" i="13"/>
  <c r="S796" i="13"/>
  <c r="R796" i="13"/>
  <c r="P796" i="13"/>
  <c r="N796" i="13"/>
  <c r="J796" i="13"/>
  <c r="I796" i="13"/>
  <c r="G796" i="13"/>
  <c r="F796" i="13"/>
  <c r="E796" i="13"/>
  <c r="D796" i="13" s="1"/>
  <c r="C796" i="13" s="1"/>
  <c r="N1087" i="13" l="1"/>
  <c r="V1087" i="13" s="1"/>
  <c r="D1087" i="13"/>
  <c r="C1087" i="13" s="1"/>
  <c r="V894" i="13" l="1"/>
  <c r="R894" i="13"/>
  <c r="J894" i="13"/>
  <c r="D894" i="13"/>
  <c r="C894" i="13" s="1"/>
  <c r="N1047" i="13" l="1"/>
  <c r="P843" i="13"/>
  <c r="U859" i="13" l="1"/>
  <c r="T859" i="13"/>
  <c r="S859" i="13"/>
  <c r="Q859" i="13"/>
  <c r="O859" i="13"/>
  <c r="M859" i="13"/>
  <c r="K859" i="13"/>
  <c r="N1004" i="13"/>
  <c r="V1004" i="13" s="1"/>
  <c r="D1004" i="13"/>
  <c r="N1005" i="13"/>
  <c r="V1005" i="13" s="1"/>
  <c r="D1005" i="13"/>
  <c r="N1003" i="13"/>
  <c r="V1003" i="13" s="1"/>
  <c r="D1003" i="13"/>
  <c r="C1004" i="13" l="1"/>
  <c r="C1005" i="13"/>
  <c r="C1003" i="13"/>
  <c r="R714" i="13" l="1"/>
  <c r="N714" i="13"/>
  <c r="E714" i="13"/>
  <c r="D714" i="13" s="1"/>
  <c r="C714" i="13" l="1"/>
  <c r="E858" i="13"/>
  <c r="N1040" i="13"/>
  <c r="E1062" i="13"/>
  <c r="I817" i="13" l="1"/>
  <c r="G817" i="13"/>
  <c r="F817" i="13"/>
  <c r="E817" i="13"/>
  <c r="F876" i="13"/>
  <c r="G876" i="13"/>
  <c r="U678" i="13"/>
  <c r="T678" i="13"/>
  <c r="T677" i="13" s="1"/>
  <c r="S678" i="13"/>
  <c r="Q678" i="13"/>
  <c r="P678" i="13"/>
  <c r="O678" i="13"/>
  <c r="O677" i="13" s="1"/>
  <c r="M678" i="13"/>
  <c r="L678" i="13"/>
  <c r="K678" i="13"/>
  <c r="U683" i="13"/>
  <c r="U677" i="13" s="1"/>
  <c r="T683" i="13"/>
  <c r="S683" i="13"/>
  <c r="Q683" i="13"/>
  <c r="P683" i="13"/>
  <c r="O683" i="13"/>
  <c r="M683" i="13"/>
  <c r="L683" i="13"/>
  <c r="K683" i="13"/>
  <c r="K677" i="13" s="1"/>
  <c r="U710" i="13"/>
  <c r="T710" i="13"/>
  <c r="S710" i="13"/>
  <c r="R710" i="13"/>
  <c r="Q710" i="13"/>
  <c r="P710" i="13"/>
  <c r="O710" i="13"/>
  <c r="M710" i="13"/>
  <c r="L710" i="13"/>
  <c r="K710" i="13"/>
  <c r="J710" i="13"/>
  <c r="I710" i="13"/>
  <c r="H710" i="13"/>
  <c r="G710" i="13"/>
  <c r="F710" i="13"/>
  <c r="E710" i="13"/>
  <c r="U712" i="13"/>
  <c r="T712" i="13"/>
  <c r="S712" i="13"/>
  <c r="Q712" i="13"/>
  <c r="P712" i="13"/>
  <c r="O712" i="13"/>
  <c r="M712" i="13"/>
  <c r="L712" i="13"/>
  <c r="K712" i="13"/>
  <c r="J712" i="13"/>
  <c r="I712" i="13"/>
  <c r="H712" i="13"/>
  <c r="G712" i="13"/>
  <c r="F712" i="13"/>
  <c r="U715" i="13"/>
  <c r="T715" i="13"/>
  <c r="S715" i="13"/>
  <c r="Q715" i="13"/>
  <c r="P715" i="13"/>
  <c r="O715" i="13"/>
  <c r="M715" i="13"/>
  <c r="L715" i="13"/>
  <c r="K715" i="13"/>
  <c r="J715" i="13"/>
  <c r="I715" i="13"/>
  <c r="H715" i="13"/>
  <c r="G715" i="13"/>
  <c r="F715" i="13"/>
  <c r="E715" i="13"/>
  <c r="U719" i="13"/>
  <c r="T719" i="13"/>
  <c r="S719" i="13"/>
  <c r="Q719" i="13"/>
  <c r="O719" i="13"/>
  <c r="N719" i="13"/>
  <c r="M719" i="13"/>
  <c r="L719" i="13"/>
  <c r="K719" i="13"/>
  <c r="J719" i="13"/>
  <c r="I719" i="13"/>
  <c r="H719" i="13"/>
  <c r="G719" i="13"/>
  <c r="F719" i="13"/>
  <c r="E719" i="13"/>
  <c r="U721" i="13"/>
  <c r="T721" i="13"/>
  <c r="S721" i="13"/>
  <c r="Q721" i="13"/>
  <c r="P721" i="13"/>
  <c r="O721" i="13"/>
  <c r="M721" i="13"/>
  <c r="L721" i="13"/>
  <c r="K721" i="13"/>
  <c r="U725" i="13"/>
  <c r="T725" i="13"/>
  <c r="S725" i="13"/>
  <c r="Q725" i="13"/>
  <c r="P725" i="13"/>
  <c r="O725" i="13"/>
  <c r="M725" i="13"/>
  <c r="L725" i="13"/>
  <c r="K725" i="13"/>
  <c r="I725" i="13"/>
  <c r="H725" i="13"/>
  <c r="G725" i="13"/>
  <c r="F725" i="13"/>
  <c r="U727" i="13"/>
  <c r="T727" i="13"/>
  <c r="S727" i="13"/>
  <c r="Q727" i="13"/>
  <c r="P727" i="13"/>
  <c r="O727" i="13"/>
  <c r="M727" i="13"/>
  <c r="L727" i="13"/>
  <c r="K727" i="13"/>
  <c r="H727" i="13"/>
  <c r="F727" i="13"/>
  <c r="U733" i="13"/>
  <c r="T733" i="13"/>
  <c r="S733" i="13"/>
  <c r="R733" i="13"/>
  <c r="Q733" i="13"/>
  <c r="P733" i="13"/>
  <c r="O733" i="13"/>
  <c r="M733" i="13"/>
  <c r="L733" i="13"/>
  <c r="K733" i="13"/>
  <c r="I733" i="13"/>
  <c r="G733" i="13"/>
  <c r="F733" i="13"/>
  <c r="U735" i="13"/>
  <c r="T735" i="13"/>
  <c r="S735" i="13"/>
  <c r="Q735" i="13"/>
  <c r="P735" i="13"/>
  <c r="O735" i="13"/>
  <c r="M735" i="13"/>
  <c r="L735" i="13"/>
  <c r="K735" i="13"/>
  <c r="J735" i="13"/>
  <c r="I735" i="13"/>
  <c r="H735" i="13"/>
  <c r="G735" i="13"/>
  <c r="F735" i="13"/>
  <c r="E735" i="13"/>
  <c r="U737" i="13"/>
  <c r="T737" i="13"/>
  <c r="S737" i="13"/>
  <c r="Q737" i="13"/>
  <c r="P737" i="13"/>
  <c r="O737" i="13"/>
  <c r="N737" i="13"/>
  <c r="M737" i="13"/>
  <c r="L737" i="13"/>
  <c r="K737" i="13"/>
  <c r="J737" i="13"/>
  <c r="I737" i="13"/>
  <c r="H737" i="13"/>
  <c r="G737" i="13"/>
  <c r="F737" i="13"/>
  <c r="E737" i="13"/>
  <c r="U741" i="13"/>
  <c r="T741" i="13"/>
  <c r="S741" i="13"/>
  <c r="Q741" i="13"/>
  <c r="P741" i="13"/>
  <c r="O741" i="13"/>
  <c r="M741" i="13"/>
  <c r="L741" i="13"/>
  <c r="K741" i="13"/>
  <c r="J741" i="13"/>
  <c r="I741" i="13"/>
  <c r="H741" i="13"/>
  <c r="G741" i="13"/>
  <c r="F741" i="13"/>
  <c r="E741" i="13"/>
  <c r="U746" i="13"/>
  <c r="T746" i="13"/>
  <c r="S746" i="13"/>
  <c r="Q746" i="13"/>
  <c r="P746" i="13"/>
  <c r="O746" i="13"/>
  <c r="M746" i="13"/>
  <c r="L746" i="13"/>
  <c r="K746" i="13"/>
  <c r="J746" i="13"/>
  <c r="I746" i="13"/>
  <c r="H746" i="13"/>
  <c r="G746" i="13"/>
  <c r="F746" i="13"/>
  <c r="E746" i="13"/>
  <c r="U748" i="13"/>
  <c r="T748" i="13"/>
  <c r="S748" i="13"/>
  <c r="Q748" i="13"/>
  <c r="P748" i="13"/>
  <c r="O748" i="13"/>
  <c r="M748" i="13"/>
  <c r="L748" i="13"/>
  <c r="K748" i="13"/>
  <c r="J748" i="13"/>
  <c r="U754" i="13"/>
  <c r="T754" i="13"/>
  <c r="S754" i="13"/>
  <c r="Q754" i="13"/>
  <c r="P754" i="13"/>
  <c r="O754" i="13"/>
  <c r="N754" i="13"/>
  <c r="M754" i="13"/>
  <c r="L754" i="13"/>
  <c r="K754" i="13"/>
  <c r="J754" i="13"/>
  <c r="H754" i="13"/>
  <c r="F754" i="13"/>
  <c r="U756" i="13"/>
  <c r="T756" i="13"/>
  <c r="S756" i="13"/>
  <c r="Q756" i="13"/>
  <c r="P756" i="13"/>
  <c r="O756" i="13"/>
  <c r="M756" i="13"/>
  <c r="L756" i="13"/>
  <c r="K756" i="13"/>
  <c r="J756" i="13"/>
  <c r="I756" i="13"/>
  <c r="H756" i="13"/>
  <c r="G756" i="13"/>
  <c r="F756" i="13"/>
  <c r="E756" i="13"/>
  <c r="U762" i="13"/>
  <c r="T762" i="13"/>
  <c r="S762" i="13"/>
  <c r="Q762" i="13"/>
  <c r="P762" i="13"/>
  <c r="O762" i="13"/>
  <c r="M762" i="13"/>
  <c r="L762" i="13"/>
  <c r="K762" i="13"/>
  <c r="J762" i="13"/>
  <c r="I762" i="13"/>
  <c r="H762" i="13"/>
  <c r="G762" i="13"/>
  <c r="F762" i="13"/>
  <c r="E762" i="13"/>
  <c r="U764" i="13"/>
  <c r="T764" i="13"/>
  <c r="S764" i="13"/>
  <c r="Q764" i="13"/>
  <c r="P764" i="13"/>
  <c r="O764" i="13"/>
  <c r="M764" i="13"/>
  <c r="L764" i="13"/>
  <c r="K764" i="13"/>
  <c r="J764" i="13"/>
  <c r="U766" i="13"/>
  <c r="T766" i="13"/>
  <c r="S766" i="13"/>
  <c r="Q766" i="13"/>
  <c r="P766" i="13"/>
  <c r="O766" i="13"/>
  <c r="M766" i="13"/>
  <c r="L766" i="13"/>
  <c r="K766" i="13"/>
  <c r="J766" i="13"/>
  <c r="I766" i="13"/>
  <c r="H766" i="13"/>
  <c r="G766" i="13"/>
  <c r="F766" i="13"/>
  <c r="E766" i="13"/>
  <c r="U768" i="13"/>
  <c r="T768" i="13"/>
  <c r="S768" i="13"/>
  <c r="Q768" i="13"/>
  <c r="P768" i="13"/>
  <c r="O768" i="13"/>
  <c r="M768" i="13"/>
  <c r="L768" i="13"/>
  <c r="K768" i="13"/>
  <c r="J768" i="13"/>
  <c r="I768" i="13"/>
  <c r="H768" i="13"/>
  <c r="G768" i="13"/>
  <c r="F768" i="13"/>
  <c r="E768" i="13"/>
  <c r="U770" i="13"/>
  <c r="T770" i="13"/>
  <c r="S770" i="13"/>
  <c r="Q770" i="13"/>
  <c r="P770" i="13"/>
  <c r="O770" i="13"/>
  <c r="N770" i="13"/>
  <c r="M770" i="13"/>
  <c r="L770" i="13"/>
  <c r="K770" i="13"/>
  <c r="J770" i="13"/>
  <c r="I770" i="13"/>
  <c r="H770" i="13"/>
  <c r="G770" i="13"/>
  <c r="F770" i="13"/>
  <c r="E770" i="13"/>
  <c r="U772" i="13"/>
  <c r="T772" i="13"/>
  <c r="S772" i="13"/>
  <c r="Q772" i="13"/>
  <c r="P772" i="13"/>
  <c r="O772" i="13"/>
  <c r="M772" i="13"/>
  <c r="L772" i="13"/>
  <c r="K772" i="13"/>
  <c r="J772" i="13"/>
  <c r="I772" i="13"/>
  <c r="H772" i="13"/>
  <c r="G772" i="13"/>
  <c r="F772" i="13"/>
  <c r="E772" i="13"/>
  <c r="U775" i="13"/>
  <c r="T775" i="13"/>
  <c r="S775" i="13"/>
  <c r="Q775" i="13"/>
  <c r="O775" i="13"/>
  <c r="M775" i="13"/>
  <c r="L775" i="13"/>
  <c r="K775" i="13"/>
  <c r="J775" i="13"/>
  <c r="I775" i="13"/>
  <c r="H775" i="13"/>
  <c r="G775" i="13"/>
  <c r="F775" i="13"/>
  <c r="U777" i="13"/>
  <c r="T777" i="13"/>
  <c r="S777" i="13"/>
  <c r="Q777" i="13"/>
  <c r="P777" i="13"/>
  <c r="O777" i="13"/>
  <c r="M777" i="13"/>
  <c r="L777" i="13"/>
  <c r="K777" i="13"/>
  <c r="J777" i="13"/>
  <c r="H777" i="13"/>
  <c r="U784" i="13"/>
  <c r="T784" i="13"/>
  <c r="S784" i="13"/>
  <c r="Q784" i="13"/>
  <c r="P784" i="13"/>
  <c r="O784" i="13"/>
  <c r="M784" i="13"/>
  <c r="L784" i="13"/>
  <c r="K784" i="13"/>
  <c r="J784" i="13"/>
  <c r="I784" i="13"/>
  <c r="H784" i="13"/>
  <c r="G784" i="13"/>
  <c r="F784" i="13"/>
  <c r="E784" i="13"/>
  <c r="U786" i="13"/>
  <c r="T786" i="13"/>
  <c r="S786" i="13"/>
  <c r="Q786" i="13"/>
  <c r="P786" i="13"/>
  <c r="O786" i="13"/>
  <c r="M786" i="13"/>
  <c r="L786" i="13"/>
  <c r="K786" i="13"/>
  <c r="J786" i="13"/>
  <c r="I786" i="13"/>
  <c r="H786" i="13"/>
  <c r="G786" i="13"/>
  <c r="F786" i="13"/>
  <c r="E786" i="13"/>
  <c r="U806" i="13"/>
  <c r="T806" i="13"/>
  <c r="S806" i="13"/>
  <c r="Q806" i="13"/>
  <c r="P806" i="13"/>
  <c r="O806" i="13"/>
  <c r="M806" i="13"/>
  <c r="L806" i="13"/>
  <c r="K806" i="13"/>
  <c r="U808" i="13"/>
  <c r="T808" i="13"/>
  <c r="S808" i="13"/>
  <c r="Q808" i="13"/>
  <c r="P808" i="13"/>
  <c r="O808" i="13"/>
  <c r="M808" i="13"/>
  <c r="L808" i="13"/>
  <c r="K808" i="13"/>
  <c r="U818" i="13"/>
  <c r="T818" i="13"/>
  <c r="S818" i="13"/>
  <c r="Q818" i="13"/>
  <c r="P818" i="13"/>
  <c r="O818" i="13"/>
  <c r="M818" i="13"/>
  <c r="L818" i="13"/>
  <c r="K818" i="13"/>
  <c r="U827" i="13"/>
  <c r="T827" i="13"/>
  <c r="S827" i="13"/>
  <c r="Q827" i="13"/>
  <c r="P827" i="13"/>
  <c r="O827" i="13"/>
  <c r="M827" i="13"/>
  <c r="L827" i="13"/>
  <c r="K827" i="13"/>
  <c r="H827" i="13"/>
  <c r="U831" i="13"/>
  <c r="T831" i="13"/>
  <c r="S831" i="13"/>
  <c r="Q831" i="13"/>
  <c r="Q677" i="13" s="1"/>
  <c r="O831" i="13"/>
  <c r="M831" i="13"/>
  <c r="L831" i="13"/>
  <c r="K831" i="13"/>
  <c r="U849" i="13"/>
  <c r="T849" i="13"/>
  <c r="S849" i="13"/>
  <c r="R849" i="13"/>
  <c r="Q849" i="13"/>
  <c r="P849" i="13"/>
  <c r="O849" i="13"/>
  <c r="M849" i="13"/>
  <c r="L849" i="13"/>
  <c r="K849" i="13"/>
  <c r="I849" i="13"/>
  <c r="H849" i="13"/>
  <c r="G849" i="13"/>
  <c r="F849" i="13"/>
  <c r="E849" i="13"/>
  <c r="U851" i="13"/>
  <c r="T851" i="13"/>
  <c r="S851" i="13"/>
  <c r="Q851" i="13"/>
  <c r="P851" i="13"/>
  <c r="O851" i="13"/>
  <c r="M851" i="13"/>
  <c r="L851" i="13"/>
  <c r="K851" i="13"/>
  <c r="I851" i="13"/>
  <c r="H851" i="13"/>
  <c r="U854" i="13"/>
  <c r="T854" i="13"/>
  <c r="S854" i="13"/>
  <c r="Q854" i="13"/>
  <c r="P854" i="13"/>
  <c r="O854" i="13"/>
  <c r="M854" i="13"/>
  <c r="L854" i="13"/>
  <c r="K854" i="13"/>
  <c r="J854" i="13"/>
  <c r="I854" i="13"/>
  <c r="H854" i="13"/>
  <c r="G854" i="13"/>
  <c r="F854" i="13"/>
  <c r="U857" i="13"/>
  <c r="T857" i="13"/>
  <c r="S857" i="13"/>
  <c r="R857" i="13"/>
  <c r="Q857" i="13"/>
  <c r="P857" i="13"/>
  <c r="O857" i="13"/>
  <c r="M857" i="13"/>
  <c r="L857" i="13"/>
  <c r="K857" i="13"/>
  <c r="I857" i="13"/>
  <c r="G857" i="13"/>
  <c r="E857" i="13"/>
  <c r="U1103" i="13"/>
  <c r="T1103" i="13"/>
  <c r="S1103" i="13"/>
  <c r="Q1103" i="13"/>
  <c r="P1103" i="13"/>
  <c r="O1103" i="13"/>
  <c r="N1103" i="13"/>
  <c r="M1103" i="13"/>
  <c r="L1103" i="13"/>
  <c r="K1103" i="13"/>
  <c r="H1103" i="13"/>
  <c r="U1105" i="13"/>
  <c r="T1105" i="13"/>
  <c r="S1105" i="13"/>
  <c r="Q1105" i="13"/>
  <c r="P1105" i="13"/>
  <c r="O1105" i="13"/>
  <c r="M1105" i="13"/>
  <c r="L1105" i="13"/>
  <c r="K1105" i="13"/>
  <c r="J1105" i="13"/>
  <c r="F1105" i="13"/>
  <c r="E1105" i="13"/>
  <c r="U1107" i="13"/>
  <c r="T1107" i="13"/>
  <c r="S1107" i="13"/>
  <c r="Q1107" i="13"/>
  <c r="P1107" i="13"/>
  <c r="O1107" i="13"/>
  <c r="M1107" i="13"/>
  <c r="L1107" i="13"/>
  <c r="K1107" i="13"/>
  <c r="U1110" i="13"/>
  <c r="T1110" i="13"/>
  <c r="S1110" i="13"/>
  <c r="Q1110" i="13"/>
  <c r="P1110" i="13"/>
  <c r="O1110" i="13"/>
  <c r="N1110" i="13"/>
  <c r="M1110" i="13"/>
  <c r="L1110" i="13"/>
  <c r="K1110" i="13"/>
  <c r="J1110" i="13"/>
  <c r="G1110" i="13"/>
  <c r="U1112" i="13"/>
  <c r="T1112" i="13"/>
  <c r="S1112" i="13"/>
  <c r="Q1112" i="13"/>
  <c r="P1112" i="13"/>
  <c r="O1112" i="13"/>
  <c r="M1112" i="13"/>
  <c r="L1112" i="13"/>
  <c r="K1112" i="13"/>
  <c r="J1112" i="13"/>
  <c r="I1112" i="13"/>
  <c r="H1112" i="13"/>
  <c r="G1112" i="13"/>
  <c r="F1112" i="13"/>
  <c r="E1112" i="13"/>
  <c r="U1115" i="13"/>
  <c r="T1115" i="13"/>
  <c r="S1115" i="13"/>
  <c r="Q1115" i="13"/>
  <c r="P1115" i="13"/>
  <c r="O1115" i="13"/>
  <c r="M1115" i="13"/>
  <c r="L1115" i="13"/>
  <c r="K1115" i="13"/>
  <c r="J1115" i="13"/>
  <c r="I1115" i="13"/>
  <c r="H1115" i="13"/>
  <c r="G1115" i="13"/>
  <c r="F1115" i="13"/>
  <c r="E1115" i="13"/>
  <c r="U1117" i="13"/>
  <c r="T1117" i="13"/>
  <c r="S1117" i="13"/>
  <c r="Q1117" i="13"/>
  <c r="P1117" i="13"/>
  <c r="O1117" i="13"/>
  <c r="M1117" i="13"/>
  <c r="L1117" i="13"/>
  <c r="K1117" i="13"/>
  <c r="J1117" i="13"/>
  <c r="H1117" i="13"/>
  <c r="F1117" i="13"/>
  <c r="U1121" i="13"/>
  <c r="T1121" i="13"/>
  <c r="S1121" i="13"/>
  <c r="Q1121" i="13"/>
  <c r="P1121" i="13"/>
  <c r="O1121" i="13"/>
  <c r="M1121" i="13"/>
  <c r="L1121" i="13"/>
  <c r="K1121" i="13"/>
  <c r="J1121" i="13"/>
  <c r="U1127" i="13"/>
  <c r="T1127" i="13"/>
  <c r="S1127" i="13"/>
  <c r="Q1127" i="13"/>
  <c r="P1127" i="13"/>
  <c r="O1127" i="13"/>
  <c r="M1127" i="13"/>
  <c r="L1127" i="13"/>
  <c r="K1127" i="13"/>
  <c r="J1127" i="13"/>
  <c r="I1127" i="13"/>
  <c r="H1127" i="13"/>
  <c r="G1127" i="13"/>
  <c r="F1127" i="13"/>
  <c r="U1129" i="13"/>
  <c r="T1129" i="13"/>
  <c r="S1129" i="13"/>
  <c r="Q1129" i="13"/>
  <c r="P1129" i="13"/>
  <c r="O1129" i="13"/>
  <c r="M1129" i="13"/>
  <c r="L1129" i="13"/>
  <c r="K1129" i="13"/>
  <c r="J1129" i="13"/>
  <c r="I1129" i="13"/>
  <c r="H1129" i="13"/>
  <c r="G1129" i="13"/>
  <c r="F1129" i="13"/>
  <c r="U1134" i="13"/>
  <c r="T1134" i="13"/>
  <c r="S1134" i="13"/>
  <c r="Q1134" i="13"/>
  <c r="P1134" i="13"/>
  <c r="O1134" i="13"/>
  <c r="M1134" i="13"/>
  <c r="L1134" i="13"/>
  <c r="K1134" i="13"/>
  <c r="J1134" i="13"/>
  <c r="I1134" i="13"/>
  <c r="H1134" i="13"/>
  <c r="G1134" i="13"/>
  <c r="F1134" i="13"/>
  <c r="E1134" i="13"/>
  <c r="U1136" i="13"/>
  <c r="T1136" i="13"/>
  <c r="S1136" i="13"/>
  <c r="Q1136" i="13"/>
  <c r="P1136" i="13"/>
  <c r="O1136" i="13"/>
  <c r="N1136" i="13"/>
  <c r="M1136" i="13"/>
  <c r="L1136" i="13"/>
  <c r="K1136" i="13"/>
  <c r="J1136" i="13"/>
  <c r="H1136" i="13"/>
  <c r="U1138" i="13"/>
  <c r="T1138" i="13"/>
  <c r="S1138" i="13"/>
  <c r="Q1138" i="13"/>
  <c r="P1138" i="13"/>
  <c r="O1138" i="13"/>
  <c r="M1138" i="13"/>
  <c r="L1138" i="13"/>
  <c r="K1138" i="13"/>
  <c r="J1138" i="13"/>
  <c r="I1138" i="13"/>
  <c r="H1138" i="13"/>
  <c r="G1138" i="13"/>
  <c r="U1141" i="13"/>
  <c r="T1141" i="13"/>
  <c r="S1141" i="13"/>
  <c r="Q1141" i="13"/>
  <c r="P1141" i="13"/>
  <c r="O1141" i="13"/>
  <c r="M1141" i="13"/>
  <c r="L1141" i="13"/>
  <c r="K1141" i="13"/>
  <c r="J1141" i="13"/>
  <c r="H1141" i="13"/>
  <c r="U1145" i="13"/>
  <c r="T1145" i="13"/>
  <c r="S1145" i="13"/>
  <c r="Q1145" i="13"/>
  <c r="P1145" i="13"/>
  <c r="O1145" i="13"/>
  <c r="M1145" i="13"/>
  <c r="L1145" i="13"/>
  <c r="K1145" i="13"/>
  <c r="J1145" i="13"/>
  <c r="I1145" i="13"/>
  <c r="H1145" i="13"/>
  <c r="G1145" i="13"/>
  <c r="F1145" i="13"/>
  <c r="E1145" i="13"/>
  <c r="U1147" i="13"/>
  <c r="T1147" i="13"/>
  <c r="S1147" i="13"/>
  <c r="Q1147" i="13"/>
  <c r="P1147" i="13"/>
  <c r="O1147" i="13"/>
  <c r="N1147" i="13"/>
  <c r="M1147" i="13"/>
  <c r="L1147" i="13"/>
  <c r="K1147" i="13"/>
  <c r="J1147" i="13"/>
  <c r="H1147" i="13"/>
  <c r="F1147" i="13"/>
  <c r="U1149" i="13"/>
  <c r="T1149" i="13"/>
  <c r="S1149" i="13"/>
  <c r="R1149" i="13"/>
  <c r="Q1149" i="13"/>
  <c r="P1149" i="13"/>
  <c r="O1149" i="13"/>
  <c r="M1149" i="13"/>
  <c r="L1149" i="13"/>
  <c r="K1149" i="13"/>
  <c r="I1149" i="13"/>
  <c r="H1149" i="13"/>
  <c r="G1149" i="13"/>
  <c r="F1149" i="13"/>
  <c r="E1149" i="13"/>
  <c r="U1151" i="13"/>
  <c r="T1151" i="13"/>
  <c r="S1151" i="13"/>
  <c r="Q1151" i="13"/>
  <c r="P1151" i="13"/>
  <c r="O1151" i="13"/>
  <c r="M1151" i="13"/>
  <c r="L1151" i="13"/>
  <c r="K1151" i="13"/>
  <c r="J1151" i="13"/>
  <c r="U1177" i="13"/>
  <c r="T1177" i="13"/>
  <c r="S1177" i="13"/>
  <c r="Q1177" i="13"/>
  <c r="P1177" i="13"/>
  <c r="O1177" i="13"/>
  <c r="M1177" i="13"/>
  <c r="L1177" i="13"/>
  <c r="K1177" i="13"/>
  <c r="J1177" i="13"/>
  <c r="I1177" i="13"/>
  <c r="H1177" i="13"/>
  <c r="G1177" i="13"/>
  <c r="F1177" i="13"/>
  <c r="E1177" i="13"/>
  <c r="U1181" i="13"/>
  <c r="T1181" i="13"/>
  <c r="S1181" i="13"/>
  <c r="Q1181" i="13"/>
  <c r="P1181" i="13"/>
  <c r="O1181" i="13"/>
  <c r="M1181" i="13"/>
  <c r="L1181" i="13"/>
  <c r="K1181" i="13"/>
  <c r="J1181" i="13"/>
  <c r="I1181" i="13"/>
  <c r="H1181" i="13"/>
  <c r="G1181" i="13"/>
  <c r="F1181" i="13"/>
  <c r="U1183" i="13"/>
  <c r="T1183" i="13"/>
  <c r="S1183" i="13"/>
  <c r="Q1183" i="13"/>
  <c r="P1183" i="13"/>
  <c r="O1183" i="13"/>
  <c r="M1183" i="13"/>
  <c r="L1183" i="13"/>
  <c r="K1183" i="13"/>
  <c r="J1183" i="13"/>
  <c r="I765" i="13"/>
  <c r="I764" i="13" s="1"/>
  <c r="H765" i="13"/>
  <c r="H764" i="13" s="1"/>
  <c r="G765" i="13"/>
  <c r="G764" i="13" s="1"/>
  <c r="F765" i="13"/>
  <c r="F764" i="13" s="1"/>
  <c r="E765" i="13"/>
  <c r="E764" i="13" s="1"/>
  <c r="I1137" i="13"/>
  <c r="I1136" i="13" s="1"/>
  <c r="G1137" i="13"/>
  <c r="G1136" i="13" s="1"/>
  <c r="F1137" i="13"/>
  <c r="F1136" i="13" s="1"/>
  <c r="E1137" i="13"/>
  <c r="E1136" i="13" l="1"/>
  <c r="D1137" i="13"/>
  <c r="M677" i="13"/>
  <c r="N1152" i="13"/>
  <c r="D1153" i="13"/>
  <c r="V1175" i="13"/>
  <c r="I1175" i="13"/>
  <c r="H1175" i="13"/>
  <c r="G1175" i="13"/>
  <c r="F1175" i="13"/>
  <c r="E1175" i="13"/>
  <c r="N1106" i="13"/>
  <c r="N1105" i="13" s="1"/>
  <c r="R1106" i="13"/>
  <c r="R1105" i="13" s="1"/>
  <c r="I1106" i="13"/>
  <c r="I1105" i="13" s="1"/>
  <c r="H1106" i="13"/>
  <c r="H1105" i="13" s="1"/>
  <c r="G1106" i="13"/>
  <c r="G1105" i="13" s="1"/>
  <c r="N906" i="13"/>
  <c r="N1143" i="13"/>
  <c r="N1159" i="13"/>
  <c r="E1159" i="13"/>
  <c r="I1159" i="13"/>
  <c r="G1159" i="13"/>
  <c r="D1152" i="13" l="1"/>
  <c r="D1175" i="13"/>
  <c r="C1175" i="13" s="1"/>
  <c r="D1106" i="13"/>
  <c r="D1105" i="13" s="1"/>
  <c r="V1106" i="13"/>
  <c r="I1061" i="13"/>
  <c r="F1061" i="13"/>
  <c r="G1061" i="13"/>
  <c r="C1152" i="13" l="1"/>
  <c r="C1106" i="13"/>
  <c r="C1105" i="13" s="1"/>
  <c r="I1111" i="13"/>
  <c r="I1110" i="13" s="1"/>
  <c r="H1111" i="13"/>
  <c r="H1110" i="13" s="1"/>
  <c r="F1111" i="13"/>
  <c r="F1110" i="13" s="1"/>
  <c r="E1111" i="13"/>
  <c r="E1110" i="13" s="1"/>
  <c r="I777" i="13"/>
  <c r="G777" i="13"/>
  <c r="F777" i="13"/>
  <c r="E777" i="13"/>
  <c r="I1142" i="13"/>
  <c r="I1141" i="13" s="1"/>
  <c r="G1142" i="13"/>
  <c r="G1141" i="13" s="1"/>
  <c r="F1142" i="13"/>
  <c r="F1141" i="13" s="1"/>
  <c r="E1142" i="13"/>
  <c r="E1141" i="13" s="1"/>
  <c r="I1109" i="13"/>
  <c r="G1109" i="13"/>
  <c r="F1109" i="13"/>
  <c r="E1109" i="13"/>
  <c r="I973" i="13"/>
  <c r="H973" i="13"/>
  <c r="G973" i="13"/>
  <c r="F973" i="13"/>
  <c r="E973" i="13"/>
  <c r="I1094" i="13"/>
  <c r="H1094" i="13"/>
  <c r="G1094" i="13"/>
  <c r="F1094" i="13"/>
  <c r="E1094" i="13"/>
  <c r="I1092" i="13"/>
  <c r="H1092" i="13"/>
  <c r="G1092" i="13"/>
  <c r="F1092" i="13"/>
  <c r="E1092" i="13"/>
  <c r="I1093" i="13"/>
  <c r="H1093" i="13"/>
  <c r="G1093" i="13"/>
  <c r="F1093" i="13"/>
  <c r="E1093" i="13"/>
  <c r="I1167" i="13"/>
  <c r="G1167" i="13"/>
  <c r="F1167" i="13"/>
  <c r="E1167" i="13"/>
  <c r="I1168" i="13"/>
  <c r="G1168" i="13"/>
  <c r="F1168" i="13"/>
  <c r="E1168" i="13"/>
  <c r="I1165" i="13"/>
  <c r="G1165" i="13"/>
  <c r="F1165" i="13"/>
  <c r="E1165" i="13"/>
  <c r="I1164" i="13"/>
  <c r="G1164" i="13"/>
  <c r="F1164" i="13"/>
  <c r="E1164" i="13"/>
  <c r="I751" i="13" l="1"/>
  <c r="I748" i="13" s="1"/>
  <c r="H751" i="13"/>
  <c r="H748" i="13" s="1"/>
  <c r="G751" i="13"/>
  <c r="G748" i="13" s="1"/>
  <c r="F751" i="13"/>
  <c r="F748" i="13" s="1"/>
  <c r="E751" i="13"/>
  <c r="E748" i="13" s="1"/>
  <c r="I876" i="13"/>
  <c r="E876" i="13"/>
  <c r="I1062" i="13"/>
  <c r="H1062" i="13"/>
  <c r="G1062" i="13"/>
  <c r="F1062" i="13"/>
  <c r="E1123" i="13" l="1"/>
  <c r="V1159" i="13" l="1"/>
  <c r="H1159" i="13"/>
  <c r="D1159" i="13" s="1"/>
  <c r="C1159" i="13" s="1"/>
  <c r="R1158" i="13"/>
  <c r="N1158" i="13"/>
  <c r="V1158" i="13" s="1"/>
  <c r="I1158" i="13"/>
  <c r="H1158" i="13"/>
  <c r="G1158" i="13"/>
  <c r="F1158" i="13"/>
  <c r="E1158" i="13"/>
  <c r="N1157" i="13"/>
  <c r="V1157" i="13" s="1"/>
  <c r="I1157" i="13"/>
  <c r="H1157" i="13"/>
  <c r="G1157" i="13"/>
  <c r="F1157" i="13"/>
  <c r="E1157" i="13"/>
  <c r="R1156" i="13"/>
  <c r="N1156" i="13"/>
  <c r="V1156" i="13" s="1"/>
  <c r="H1156" i="13"/>
  <c r="D1156" i="13" s="1"/>
  <c r="N1155" i="13"/>
  <c r="V1155" i="13" s="1"/>
  <c r="H1155" i="13"/>
  <c r="E1155" i="13"/>
  <c r="N1162" i="13"/>
  <c r="V1162" i="13" s="1"/>
  <c r="I1162" i="13"/>
  <c r="H1162" i="13"/>
  <c r="G1162" i="13"/>
  <c r="F1162" i="13"/>
  <c r="N1161" i="13"/>
  <c r="V1161" i="13" s="1"/>
  <c r="I1161" i="13"/>
  <c r="H1161" i="13"/>
  <c r="G1161" i="13"/>
  <c r="R837" i="13"/>
  <c r="V837" i="13"/>
  <c r="J837" i="13"/>
  <c r="I837" i="13"/>
  <c r="H837" i="13"/>
  <c r="G837" i="13"/>
  <c r="F837" i="13"/>
  <c r="D1155" i="13" l="1"/>
  <c r="C1155" i="13" s="1"/>
  <c r="D1162" i="13"/>
  <c r="C1162" i="13" s="1"/>
  <c r="D1161" i="13"/>
  <c r="C1161" i="13" s="1"/>
  <c r="D837" i="13"/>
  <c r="C837" i="13" s="1"/>
  <c r="D1157" i="13"/>
  <c r="C1157" i="13" s="1"/>
  <c r="D1158" i="13"/>
  <c r="C1158" i="13" s="1"/>
  <c r="C1156" i="13"/>
  <c r="I1104" i="13"/>
  <c r="I1103" i="13" s="1"/>
  <c r="G1104" i="13"/>
  <c r="G1103" i="13" s="1"/>
  <c r="F1104" i="13"/>
  <c r="F1103" i="13" s="1"/>
  <c r="E1104" i="13"/>
  <c r="E1103" i="13" s="1"/>
  <c r="I832" i="13"/>
  <c r="G832" i="13"/>
  <c r="F832" i="13"/>
  <c r="E832" i="13"/>
  <c r="I907" i="13"/>
  <c r="H907" i="13"/>
  <c r="G907" i="13"/>
  <c r="F907" i="13"/>
  <c r="E907" i="13"/>
  <c r="I822" i="13"/>
  <c r="G822" i="13"/>
  <c r="E822" i="13"/>
  <c r="I823" i="13"/>
  <c r="G823" i="13"/>
  <c r="E823" i="13"/>
  <c r="E826" i="13"/>
  <c r="I821" i="13"/>
  <c r="G821" i="13"/>
  <c r="E821" i="13"/>
  <c r="I830" i="13"/>
  <c r="G830" i="13"/>
  <c r="F830" i="13"/>
  <c r="F827" i="13" s="1"/>
  <c r="E830" i="13"/>
  <c r="I722" i="13"/>
  <c r="E722" i="13"/>
  <c r="U674" i="13"/>
  <c r="T674" i="13"/>
  <c r="S674" i="13"/>
  <c r="R674" i="13"/>
  <c r="Q674" i="13"/>
  <c r="P674" i="13"/>
  <c r="O674" i="13"/>
  <c r="M674" i="13"/>
  <c r="L674" i="13"/>
  <c r="K674" i="13"/>
  <c r="J674" i="13"/>
  <c r="E674" i="13"/>
  <c r="U672" i="13"/>
  <c r="T672" i="13"/>
  <c r="S672" i="13"/>
  <c r="R672" i="13"/>
  <c r="Q672" i="13"/>
  <c r="P672" i="13"/>
  <c r="O672" i="13"/>
  <c r="M672" i="13"/>
  <c r="L672" i="13"/>
  <c r="K672" i="13"/>
  <c r="J672" i="13"/>
  <c r="I672" i="13"/>
  <c r="H672" i="13"/>
  <c r="G672" i="13"/>
  <c r="F672" i="13"/>
  <c r="E672" i="13"/>
  <c r="U658" i="13"/>
  <c r="T658" i="13"/>
  <c r="S658" i="13"/>
  <c r="Q658" i="13"/>
  <c r="P658" i="13"/>
  <c r="O658" i="13"/>
  <c r="M658" i="13"/>
  <c r="L658" i="13"/>
  <c r="K658" i="13"/>
  <c r="J658" i="13"/>
  <c r="I658" i="13"/>
  <c r="G658" i="13"/>
  <c r="F658" i="13"/>
  <c r="U655" i="13"/>
  <c r="T655" i="13"/>
  <c r="S655" i="13"/>
  <c r="R655" i="13"/>
  <c r="Q655" i="13"/>
  <c r="P655" i="13"/>
  <c r="O655" i="13"/>
  <c r="N655" i="13"/>
  <c r="M655" i="13"/>
  <c r="L655" i="13"/>
  <c r="K655" i="13"/>
  <c r="I655" i="13"/>
  <c r="H655" i="13"/>
  <c r="G655" i="13"/>
  <c r="F655" i="13"/>
  <c r="E655" i="13"/>
  <c r="U653" i="13"/>
  <c r="T653" i="13"/>
  <c r="S653" i="13"/>
  <c r="R653" i="13"/>
  <c r="Q653" i="13"/>
  <c r="P653" i="13"/>
  <c r="O653" i="13"/>
  <c r="N653" i="13"/>
  <c r="M653" i="13"/>
  <c r="L653" i="13"/>
  <c r="K653" i="13"/>
  <c r="J653" i="13"/>
  <c r="I653" i="13"/>
  <c r="H653" i="13"/>
  <c r="G653" i="13"/>
  <c r="F653" i="13"/>
  <c r="E653" i="13"/>
  <c r="U651" i="13"/>
  <c r="T651" i="13"/>
  <c r="S651" i="13"/>
  <c r="Q651" i="13"/>
  <c r="P651" i="13"/>
  <c r="O651" i="13"/>
  <c r="M651" i="13"/>
  <c r="L651" i="13"/>
  <c r="K651" i="13"/>
  <c r="J651" i="13"/>
  <c r="I651" i="13"/>
  <c r="H651" i="13"/>
  <c r="G651" i="13"/>
  <c r="F651" i="13"/>
  <c r="E651" i="13"/>
  <c r="U647" i="13"/>
  <c r="T647" i="13"/>
  <c r="S647" i="13"/>
  <c r="Q647" i="13"/>
  <c r="P647" i="13"/>
  <c r="O647" i="13"/>
  <c r="N647" i="13"/>
  <c r="M647" i="13"/>
  <c r="L647" i="13"/>
  <c r="K647" i="13"/>
  <c r="J647" i="13"/>
  <c r="F647" i="13"/>
  <c r="E647" i="13"/>
  <c r="U645" i="13"/>
  <c r="T645" i="13"/>
  <c r="S645" i="13"/>
  <c r="R645" i="13"/>
  <c r="Q645" i="13"/>
  <c r="P645" i="13"/>
  <c r="O645" i="13"/>
  <c r="N645" i="13"/>
  <c r="M645" i="13"/>
  <c r="L645" i="13"/>
  <c r="K645" i="13"/>
  <c r="J645" i="13"/>
  <c r="I645" i="13"/>
  <c r="H645" i="13"/>
  <c r="G645" i="13"/>
  <c r="F645" i="13"/>
  <c r="E645" i="13"/>
  <c r="U635" i="13"/>
  <c r="T635" i="13"/>
  <c r="S635" i="13"/>
  <c r="Q635" i="13"/>
  <c r="P635" i="13"/>
  <c r="O635" i="13"/>
  <c r="M635" i="13"/>
  <c r="L635" i="13"/>
  <c r="K635" i="13"/>
  <c r="J635" i="13"/>
  <c r="I635" i="13"/>
  <c r="G635" i="13"/>
  <c r="F635" i="13"/>
  <c r="U632" i="13"/>
  <c r="T632" i="13"/>
  <c r="S632" i="13"/>
  <c r="Q632" i="13"/>
  <c r="P632" i="13"/>
  <c r="O632" i="13"/>
  <c r="M632" i="13"/>
  <c r="L632" i="13"/>
  <c r="K632" i="13"/>
  <c r="J632" i="13"/>
  <c r="I632" i="13"/>
  <c r="H632" i="13"/>
  <c r="G632" i="13"/>
  <c r="F632" i="13"/>
  <c r="U630" i="13"/>
  <c r="T630" i="13"/>
  <c r="S630" i="13"/>
  <c r="Q630" i="13"/>
  <c r="P630" i="13"/>
  <c r="O630" i="13"/>
  <c r="M630" i="13"/>
  <c r="L630" i="13"/>
  <c r="K630" i="13"/>
  <c r="J630" i="13"/>
  <c r="I630" i="13"/>
  <c r="H630" i="13"/>
  <c r="G630" i="13"/>
  <c r="U627" i="13"/>
  <c r="T627" i="13"/>
  <c r="S627" i="13"/>
  <c r="Q627" i="13"/>
  <c r="P627" i="13"/>
  <c r="O627" i="13"/>
  <c r="M627" i="13"/>
  <c r="L627" i="13"/>
  <c r="K627" i="13"/>
  <c r="J627" i="13"/>
  <c r="I627" i="13"/>
  <c r="H627" i="13"/>
  <c r="G627" i="13"/>
  <c r="F627" i="13"/>
  <c r="E627" i="13"/>
  <c r="U425" i="13"/>
  <c r="T425" i="13"/>
  <c r="S425" i="13"/>
  <c r="Q425" i="13"/>
  <c r="P425" i="13"/>
  <c r="O425" i="13"/>
  <c r="M425" i="13"/>
  <c r="L425" i="13"/>
  <c r="K425" i="13"/>
  <c r="I425" i="13"/>
  <c r="G425" i="13"/>
  <c r="F425" i="13"/>
  <c r="E425" i="13"/>
  <c r="U423" i="13"/>
  <c r="T423" i="13"/>
  <c r="S423" i="13"/>
  <c r="R423" i="13"/>
  <c r="Q423" i="13"/>
  <c r="P423" i="13"/>
  <c r="O423" i="13"/>
  <c r="N423" i="13"/>
  <c r="M423" i="13"/>
  <c r="L423" i="13"/>
  <c r="K423" i="13"/>
  <c r="I423" i="13"/>
  <c r="G423" i="13"/>
  <c r="E423" i="13"/>
  <c r="U420" i="13"/>
  <c r="T420" i="13"/>
  <c r="S420" i="13"/>
  <c r="Q420" i="13"/>
  <c r="P420" i="13"/>
  <c r="O420" i="13"/>
  <c r="N420" i="13"/>
  <c r="M420" i="13"/>
  <c r="L420" i="13"/>
  <c r="K420" i="13"/>
  <c r="J420" i="13"/>
  <c r="I420" i="13"/>
  <c r="H420" i="13"/>
  <c r="G420" i="13"/>
  <c r="F420" i="13"/>
  <c r="E420" i="13"/>
  <c r="U418" i="13"/>
  <c r="T418" i="13"/>
  <c r="S418" i="13"/>
  <c r="R418" i="13"/>
  <c r="Q418" i="13"/>
  <c r="P418" i="13"/>
  <c r="O418" i="13"/>
  <c r="N418" i="13"/>
  <c r="M418" i="13"/>
  <c r="L418" i="13"/>
  <c r="K418" i="13"/>
  <c r="I418" i="13"/>
  <c r="H418" i="13"/>
  <c r="G418" i="13"/>
  <c r="F418" i="13"/>
  <c r="E418" i="13"/>
  <c r="U416" i="13"/>
  <c r="T416" i="13"/>
  <c r="S416" i="13"/>
  <c r="Q416" i="13"/>
  <c r="P416" i="13"/>
  <c r="O416" i="13"/>
  <c r="N416" i="13"/>
  <c r="M416" i="13"/>
  <c r="L416" i="13"/>
  <c r="K416" i="13"/>
  <c r="J416" i="13"/>
  <c r="I416" i="13"/>
  <c r="H416" i="13"/>
  <c r="G416" i="13"/>
  <c r="F416" i="13"/>
  <c r="E416" i="13"/>
  <c r="U399" i="13"/>
  <c r="T399" i="13"/>
  <c r="S399" i="13"/>
  <c r="Q399" i="13"/>
  <c r="P399" i="13"/>
  <c r="O399" i="13"/>
  <c r="M399" i="13"/>
  <c r="L399" i="13"/>
  <c r="K399" i="13"/>
  <c r="I399" i="13"/>
  <c r="G399" i="13"/>
  <c r="E399" i="13"/>
  <c r="U397" i="13"/>
  <c r="T397" i="13"/>
  <c r="S397" i="13"/>
  <c r="R397" i="13"/>
  <c r="Q397" i="13"/>
  <c r="P397" i="13"/>
  <c r="O397" i="13"/>
  <c r="N397" i="13"/>
  <c r="M397" i="13"/>
  <c r="L397" i="13"/>
  <c r="K397" i="13"/>
  <c r="J397" i="13"/>
  <c r="I397" i="13"/>
  <c r="H397" i="13"/>
  <c r="G397" i="13"/>
  <c r="F397" i="13"/>
  <c r="E397" i="13"/>
  <c r="U389" i="13"/>
  <c r="T389" i="13"/>
  <c r="S389" i="13"/>
  <c r="Q389" i="13"/>
  <c r="P389" i="13"/>
  <c r="O389" i="13"/>
  <c r="M389" i="13"/>
  <c r="L389" i="13"/>
  <c r="K389" i="13"/>
  <c r="I389" i="13"/>
  <c r="G389" i="13"/>
  <c r="E389" i="13"/>
  <c r="U382" i="13"/>
  <c r="T382" i="13"/>
  <c r="S382" i="13"/>
  <c r="Q382" i="13"/>
  <c r="P382" i="13"/>
  <c r="O382" i="13"/>
  <c r="N382" i="13"/>
  <c r="M382" i="13"/>
  <c r="L382" i="13"/>
  <c r="K382" i="13"/>
  <c r="U362" i="13"/>
  <c r="T362" i="13"/>
  <c r="Q362" i="13"/>
  <c r="O362" i="13"/>
  <c r="M362" i="13"/>
  <c r="L362" i="13"/>
  <c r="K362" i="13"/>
  <c r="I362" i="13"/>
  <c r="G362" i="13"/>
  <c r="U356" i="13"/>
  <c r="T356" i="13"/>
  <c r="S356" i="13"/>
  <c r="R356" i="13"/>
  <c r="Q356" i="13"/>
  <c r="P356" i="13"/>
  <c r="O356" i="13"/>
  <c r="N356" i="13"/>
  <c r="M356" i="13"/>
  <c r="L356" i="13"/>
  <c r="K356" i="13"/>
  <c r="J356" i="13"/>
  <c r="I356" i="13"/>
  <c r="H356" i="13"/>
  <c r="G356" i="13"/>
  <c r="F356" i="13"/>
  <c r="E356" i="13"/>
  <c r="U352" i="13"/>
  <c r="T352" i="13"/>
  <c r="S352" i="13"/>
  <c r="R352" i="13"/>
  <c r="Q352" i="13"/>
  <c r="P352" i="13"/>
  <c r="O352" i="13"/>
  <c r="N352" i="13"/>
  <c r="M352" i="13"/>
  <c r="L352" i="13"/>
  <c r="K352" i="13"/>
  <c r="J352" i="13"/>
  <c r="I352" i="13"/>
  <c r="H352" i="13"/>
  <c r="G352" i="13"/>
  <c r="F352" i="13"/>
  <c r="E352" i="13"/>
  <c r="U348" i="13"/>
  <c r="T348" i="13"/>
  <c r="S348" i="13"/>
  <c r="R348" i="13"/>
  <c r="Q348" i="13"/>
  <c r="P348" i="13"/>
  <c r="O348" i="13"/>
  <c r="N348" i="13"/>
  <c r="M348" i="13"/>
  <c r="L348" i="13"/>
  <c r="K348" i="13"/>
  <c r="J348" i="13"/>
  <c r="I348" i="13"/>
  <c r="H348" i="13"/>
  <c r="G348" i="13"/>
  <c r="F348" i="13"/>
  <c r="E348" i="13"/>
  <c r="U346" i="13"/>
  <c r="T346" i="13"/>
  <c r="S346" i="13"/>
  <c r="R346" i="13"/>
  <c r="Q346" i="13"/>
  <c r="P346" i="13"/>
  <c r="O346" i="13"/>
  <c r="M346" i="13"/>
  <c r="L346" i="13"/>
  <c r="K346" i="13"/>
  <c r="J346" i="13"/>
  <c r="I346" i="13"/>
  <c r="H346" i="13"/>
  <c r="G346" i="13"/>
  <c r="F346" i="13"/>
  <c r="E346" i="13"/>
  <c r="U343" i="13"/>
  <c r="T343" i="13"/>
  <c r="S343" i="13"/>
  <c r="R343" i="13"/>
  <c r="Q343" i="13"/>
  <c r="P343" i="13"/>
  <c r="O343" i="13"/>
  <c r="N343" i="13"/>
  <c r="M343" i="13"/>
  <c r="L343" i="13"/>
  <c r="K343" i="13"/>
  <c r="J343" i="13"/>
  <c r="I343" i="13"/>
  <c r="H343" i="13"/>
  <c r="G343" i="13"/>
  <c r="F343" i="13"/>
  <c r="E343" i="13"/>
  <c r="U341" i="13"/>
  <c r="T341" i="13"/>
  <c r="S341" i="13"/>
  <c r="Q341" i="13"/>
  <c r="P341" i="13"/>
  <c r="O341" i="13"/>
  <c r="N341" i="13"/>
  <c r="M341" i="13"/>
  <c r="L341" i="13"/>
  <c r="K341" i="13"/>
  <c r="J341" i="13"/>
  <c r="U338" i="13"/>
  <c r="T338" i="13"/>
  <c r="S338" i="13"/>
  <c r="R338" i="13"/>
  <c r="Q338" i="13"/>
  <c r="P338" i="13"/>
  <c r="O338" i="13"/>
  <c r="N338" i="13"/>
  <c r="M338" i="13"/>
  <c r="L338" i="13"/>
  <c r="K338" i="13"/>
  <c r="J338" i="13"/>
  <c r="I338" i="13"/>
  <c r="H338" i="13"/>
  <c r="G338" i="13"/>
  <c r="F338" i="13"/>
  <c r="E338" i="13"/>
  <c r="U336" i="13"/>
  <c r="T336" i="13"/>
  <c r="S336" i="13"/>
  <c r="R336" i="13"/>
  <c r="Q336" i="13"/>
  <c r="P336" i="13"/>
  <c r="O336" i="13"/>
  <c r="N336" i="13"/>
  <c r="M336" i="13"/>
  <c r="L336" i="13"/>
  <c r="K336" i="13"/>
  <c r="J336" i="13"/>
  <c r="I336" i="13"/>
  <c r="H336" i="13"/>
  <c r="G336" i="13"/>
  <c r="F336" i="13"/>
  <c r="E336" i="13"/>
  <c r="U328" i="13"/>
  <c r="T328" i="13"/>
  <c r="S328" i="13"/>
  <c r="Q328" i="13"/>
  <c r="P328" i="13"/>
  <c r="O328" i="13"/>
  <c r="N328" i="13"/>
  <c r="M328" i="13"/>
  <c r="L328" i="13"/>
  <c r="K328" i="13"/>
  <c r="J328" i="13"/>
  <c r="U323" i="13"/>
  <c r="T323" i="13"/>
  <c r="S323" i="13"/>
  <c r="R323" i="13"/>
  <c r="Q323" i="13"/>
  <c r="P323" i="13"/>
  <c r="O323" i="13"/>
  <c r="N323" i="13"/>
  <c r="M323" i="13"/>
  <c r="L323" i="13"/>
  <c r="K323" i="13"/>
  <c r="I323" i="13"/>
  <c r="G323" i="13"/>
  <c r="E323" i="13"/>
  <c r="U320" i="13"/>
  <c r="T320" i="13"/>
  <c r="S320" i="13"/>
  <c r="R320" i="13"/>
  <c r="Q320" i="13"/>
  <c r="P320" i="13"/>
  <c r="O320" i="13"/>
  <c r="M320" i="13"/>
  <c r="L320" i="13"/>
  <c r="K320" i="13"/>
  <c r="J320" i="13"/>
  <c r="I320" i="13"/>
  <c r="H320" i="13"/>
  <c r="G320" i="13"/>
  <c r="F320" i="13"/>
  <c r="E320" i="13"/>
  <c r="U318" i="13"/>
  <c r="T318" i="13"/>
  <c r="S318" i="13"/>
  <c r="R318" i="13"/>
  <c r="Q318" i="13"/>
  <c r="P318" i="13"/>
  <c r="O318" i="13"/>
  <c r="N318" i="13"/>
  <c r="M318" i="13"/>
  <c r="L318" i="13"/>
  <c r="K318" i="13"/>
  <c r="I318" i="13"/>
  <c r="H318" i="13"/>
  <c r="G318" i="13"/>
  <c r="F318" i="13"/>
  <c r="E318" i="13"/>
  <c r="U315" i="13"/>
  <c r="T315" i="13"/>
  <c r="S315" i="13"/>
  <c r="R315" i="13"/>
  <c r="Q315" i="13"/>
  <c r="P315" i="13"/>
  <c r="O315" i="13"/>
  <c r="N315" i="13"/>
  <c r="M315" i="13"/>
  <c r="L315" i="13"/>
  <c r="K315" i="13"/>
  <c r="J315" i="13"/>
  <c r="I315" i="13"/>
  <c r="H315" i="13"/>
  <c r="G315" i="13"/>
  <c r="F315" i="13"/>
  <c r="E315" i="13"/>
  <c r="U311" i="13"/>
  <c r="T311" i="13"/>
  <c r="S311" i="13"/>
  <c r="R311" i="13"/>
  <c r="Q311" i="13"/>
  <c r="P311" i="13"/>
  <c r="O311" i="13"/>
  <c r="N311" i="13"/>
  <c r="M311" i="13"/>
  <c r="L311" i="13"/>
  <c r="K311" i="13"/>
  <c r="J311" i="13"/>
  <c r="I311" i="13"/>
  <c r="H311" i="13"/>
  <c r="G311" i="13"/>
  <c r="F311" i="13"/>
  <c r="E311" i="13"/>
  <c r="U309" i="13"/>
  <c r="T309" i="13"/>
  <c r="S309" i="13"/>
  <c r="R309" i="13"/>
  <c r="Q309" i="13"/>
  <c r="P309" i="13"/>
  <c r="O309" i="13"/>
  <c r="M309" i="13"/>
  <c r="L309" i="13"/>
  <c r="K309" i="13"/>
  <c r="J309" i="13"/>
  <c r="I309" i="13"/>
  <c r="H309" i="13"/>
  <c r="G309" i="13"/>
  <c r="F309" i="13"/>
  <c r="E309" i="13"/>
  <c r="U289" i="13"/>
  <c r="T289" i="13"/>
  <c r="S289" i="13"/>
  <c r="Q289" i="13"/>
  <c r="P289" i="13"/>
  <c r="O289" i="13"/>
  <c r="M289" i="13"/>
  <c r="L289" i="13"/>
  <c r="K289" i="13"/>
  <c r="I289" i="13"/>
  <c r="H289" i="13"/>
  <c r="G289" i="13"/>
  <c r="U286" i="13"/>
  <c r="T286" i="13"/>
  <c r="S286" i="13"/>
  <c r="Q286" i="13"/>
  <c r="P286" i="13"/>
  <c r="O286" i="13"/>
  <c r="M286" i="13"/>
  <c r="L286" i="13"/>
  <c r="K286" i="13"/>
  <c r="I286" i="13"/>
  <c r="G286" i="13"/>
  <c r="V1014" i="13"/>
  <c r="D1014" i="13"/>
  <c r="V965" i="13"/>
  <c r="D965" i="13"/>
  <c r="C1014" i="13" l="1"/>
  <c r="C965" i="13"/>
  <c r="N734" i="13"/>
  <c r="N733" i="13" s="1"/>
  <c r="E734" i="13"/>
  <c r="E733" i="13" s="1"/>
  <c r="R820" i="13" l="1"/>
  <c r="N820" i="13"/>
  <c r="V820" i="13" s="1"/>
  <c r="J820" i="13"/>
  <c r="I820" i="13"/>
  <c r="H820" i="13"/>
  <c r="G820" i="13"/>
  <c r="F820" i="13"/>
  <c r="F819" i="13"/>
  <c r="G819" i="13"/>
  <c r="R819" i="13"/>
  <c r="N819" i="13"/>
  <c r="J819" i="13"/>
  <c r="I819" i="13"/>
  <c r="H819" i="13"/>
  <c r="N931" i="13"/>
  <c r="V931" i="13" s="1"/>
  <c r="D931" i="13"/>
  <c r="R1184" i="13"/>
  <c r="R1183" i="13" s="1"/>
  <c r="N1184" i="13"/>
  <c r="N1183" i="13" s="1"/>
  <c r="E1183" i="13"/>
  <c r="R1130" i="13"/>
  <c r="N1130" i="13"/>
  <c r="E1126" i="13"/>
  <c r="E1121" i="13" s="1"/>
  <c r="F1126" i="13"/>
  <c r="F1121" i="13" s="1"/>
  <c r="I1126" i="13"/>
  <c r="I1121" i="13" s="1"/>
  <c r="V1126" i="13"/>
  <c r="H1126" i="13"/>
  <c r="H1121" i="13" s="1"/>
  <c r="G1126" i="13"/>
  <c r="G1121" i="13" s="1"/>
  <c r="N1125" i="13"/>
  <c r="V1125" i="13" s="1"/>
  <c r="R1125" i="13"/>
  <c r="D1125" i="13"/>
  <c r="R1124" i="13"/>
  <c r="N1124" i="13"/>
  <c r="R1066" i="13"/>
  <c r="N1066" i="13"/>
  <c r="I1066" i="13"/>
  <c r="F1066" i="13"/>
  <c r="E1066" i="13"/>
  <c r="N1065" i="13"/>
  <c r="D1061" i="13"/>
  <c r="V1061" i="13"/>
  <c r="R1061" i="13"/>
  <c r="I1060" i="13"/>
  <c r="F1060" i="13"/>
  <c r="V1060" i="13"/>
  <c r="R1060" i="13"/>
  <c r="H1060" i="13"/>
  <c r="G1060" i="13"/>
  <c r="F1059" i="13"/>
  <c r="I1059" i="13"/>
  <c r="V1059" i="13"/>
  <c r="R1059" i="13"/>
  <c r="H1059" i="13"/>
  <c r="G1059" i="13"/>
  <c r="E1053" i="13"/>
  <c r="F1053" i="13"/>
  <c r="I1053" i="13"/>
  <c r="V1053" i="13"/>
  <c r="H1053" i="13"/>
  <c r="G1053" i="13"/>
  <c r="R983" i="13"/>
  <c r="N983" i="13"/>
  <c r="I983" i="13"/>
  <c r="F983" i="13"/>
  <c r="E983" i="13"/>
  <c r="N951" i="13"/>
  <c r="E951" i="13"/>
  <c r="F945" i="13"/>
  <c r="I945" i="13"/>
  <c r="V945" i="13"/>
  <c r="R945" i="13"/>
  <c r="J945" i="13"/>
  <c r="H945" i="13"/>
  <c r="G945" i="13"/>
  <c r="I922" i="13"/>
  <c r="F922" i="13"/>
  <c r="N908" i="13"/>
  <c r="I893" i="13"/>
  <c r="G893" i="13"/>
  <c r="F893" i="13"/>
  <c r="I882" i="13"/>
  <c r="F882" i="13"/>
  <c r="R881" i="13"/>
  <c r="I881" i="13"/>
  <c r="F881" i="13"/>
  <c r="E881" i="13"/>
  <c r="R879" i="13"/>
  <c r="N879" i="13"/>
  <c r="I879" i="13"/>
  <c r="F879" i="13"/>
  <c r="E879" i="13"/>
  <c r="N878" i="13"/>
  <c r="R872" i="13"/>
  <c r="I872" i="13"/>
  <c r="F872" i="13"/>
  <c r="R861" i="13"/>
  <c r="I861" i="13"/>
  <c r="F861" i="13"/>
  <c r="E861" i="13"/>
  <c r="R840" i="13"/>
  <c r="N840" i="13"/>
  <c r="V840" i="13" s="1"/>
  <c r="J840" i="13"/>
  <c r="H840" i="13"/>
  <c r="R836" i="13"/>
  <c r="N836" i="13"/>
  <c r="V836" i="13" s="1"/>
  <c r="I836" i="13"/>
  <c r="J836" i="13"/>
  <c r="H836" i="13"/>
  <c r="G836" i="13"/>
  <c r="N835" i="13"/>
  <c r="F835" i="13"/>
  <c r="E835" i="13"/>
  <c r="R834" i="13"/>
  <c r="N825" i="13"/>
  <c r="V825" i="13" s="1"/>
  <c r="R825" i="13"/>
  <c r="H825" i="13"/>
  <c r="F825" i="13"/>
  <c r="R824" i="13"/>
  <c r="N824" i="13"/>
  <c r="V824" i="13" s="1"/>
  <c r="G824" i="13"/>
  <c r="J824" i="13"/>
  <c r="E789" i="13"/>
  <c r="V789" i="13"/>
  <c r="E725" i="13"/>
  <c r="R726" i="13"/>
  <c r="V726" i="13"/>
  <c r="J726" i="13"/>
  <c r="J725" i="13" s="1"/>
  <c r="R723" i="13"/>
  <c r="N723" i="13"/>
  <c r="S792" i="13"/>
  <c r="V792" i="13"/>
  <c r="J792" i="13"/>
  <c r="H792" i="13"/>
  <c r="F792" i="13"/>
  <c r="N1055" i="13"/>
  <c r="R839" i="13"/>
  <c r="P839" i="13"/>
  <c r="N839" i="13"/>
  <c r="V839" i="13" s="1"/>
  <c r="J839" i="13"/>
  <c r="H839" i="13"/>
  <c r="N933" i="13"/>
  <c r="G1154" i="13"/>
  <c r="R1140" i="13"/>
  <c r="N1140" i="13"/>
  <c r="E1140" i="13"/>
  <c r="R1132" i="13"/>
  <c r="N1132" i="13"/>
  <c r="E1132" i="13"/>
  <c r="I818" i="13" l="1"/>
  <c r="F818" i="13"/>
  <c r="H818" i="13"/>
  <c r="G818" i="13"/>
  <c r="E818" i="13"/>
  <c r="D789" i="13"/>
  <c r="V819" i="13"/>
  <c r="D819" i="13"/>
  <c r="C931" i="13"/>
  <c r="D820" i="13"/>
  <c r="C820" i="13" s="1"/>
  <c r="C1061" i="13"/>
  <c r="D1126" i="13"/>
  <c r="C1126" i="13" s="1"/>
  <c r="C1125" i="13"/>
  <c r="D945" i="13"/>
  <c r="C945" i="13" s="1"/>
  <c r="D1053" i="13"/>
  <c r="C1053" i="13" s="1"/>
  <c r="D1060" i="13"/>
  <c r="C1060" i="13" s="1"/>
  <c r="D1059" i="13"/>
  <c r="C1059" i="13" s="1"/>
  <c r="D840" i="13"/>
  <c r="C840" i="13" s="1"/>
  <c r="D824" i="13"/>
  <c r="C824" i="13" s="1"/>
  <c r="D825" i="13"/>
  <c r="C825" i="13" s="1"/>
  <c r="D726" i="13"/>
  <c r="C726" i="13" s="1"/>
  <c r="D792" i="13"/>
  <c r="C792" i="13" s="1"/>
  <c r="D839" i="13"/>
  <c r="C839" i="13" s="1"/>
  <c r="R813" i="13"/>
  <c r="R812" i="13"/>
  <c r="N812" i="13"/>
  <c r="N813" i="13"/>
  <c r="R807" i="13"/>
  <c r="R806" i="13" s="1"/>
  <c r="N807" i="13"/>
  <c r="N806" i="13" s="1"/>
  <c r="E806" i="13"/>
  <c r="R720" i="13"/>
  <c r="R719" i="13" s="1"/>
  <c r="C295" i="13"/>
  <c r="I1049" i="13"/>
  <c r="H1049" i="13"/>
  <c r="G1049" i="13"/>
  <c r="E1049" i="13"/>
  <c r="P921" i="13"/>
  <c r="V1174" i="13"/>
  <c r="R1174" i="13"/>
  <c r="D1174" i="13"/>
  <c r="N1054" i="13"/>
  <c r="V1054" i="13" s="1"/>
  <c r="D1054" i="13"/>
  <c r="R1050" i="13"/>
  <c r="N1050" i="13"/>
  <c r="V1050" i="13" s="1"/>
  <c r="D1050" i="13"/>
  <c r="R1049" i="13"/>
  <c r="N1049" i="13"/>
  <c r="V1049" i="13" s="1"/>
  <c r="J1049" i="13"/>
  <c r="R1048" i="13"/>
  <c r="N1048" i="13"/>
  <c r="V1048" i="13" s="1"/>
  <c r="D1048" i="13"/>
  <c r="N1038" i="13"/>
  <c r="V1038" i="13" s="1"/>
  <c r="D1038" i="13"/>
  <c r="N1032" i="13"/>
  <c r="V1032" i="13" s="1"/>
  <c r="D1032" i="13"/>
  <c r="N1007" i="13"/>
  <c r="V1007" i="13" s="1"/>
  <c r="D1007" i="13"/>
  <c r="V995" i="13"/>
  <c r="J995" i="13"/>
  <c r="I995" i="13"/>
  <c r="H995" i="13"/>
  <c r="G995" i="13"/>
  <c r="F995" i="13"/>
  <c r="E995" i="13"/>
  <c r="V993" i="13"/>
  <c r="D993" i="13"/>
  <c r="C993" i="13" s="1"/>
  <c r="R992" i="13"/>
  <c r="V992" i="13"/>
  <c r="D992" i="13"/>
  <c r="R991" i="13"/>
  <c r="N991" i="13"/>
  <c r="V991" i="13" s="1"/>
  <c r="D991" i="13"/>
  <c r="N953" i="13"/>
  <c r="V953" i="13" s="1"/>
  <c r="D953" i="13"/>
  <c r="C819" i="13" l="1"/>
  <c r="C789" i="13"/>
  <c r="C1174" i="13"/>
  <c r="C1054" i="13"/>
  <c r="C1032" i="13"/>
  <c r="C1038" i="13"/>
  <c r="C1048" i="13"/>
  <c r="D1049" i="13"/>
  <c r="C1049" i="13" s="1"/>
  <c r="C1050" i="13"/>
  <c r="C992" i="13"/>
  <c r="D995" i="13"/>
  <c r="C995" i="13" s="1"/>
  <c r="C1007" i="13"/>
  <c r="C991" i="13"/>
  <c r="C953" i="13"/>
  <c r="R950" i="13"/>
  <c r="N950" i="13"/>
  <c r="V950" i="13" s="1"/>
  <c r="D950" i="13"/>
  <c r="V921" i="13"/>
  <c r="D921" i="13"/>
  <c r="N693" i="13"/>
  <c r="C693" i="13" s="1"/>
  <c r="N692" i="13"/>
  <c r="C692" i="13" s="1"/>
  <c r="G834" i="13"/>
  <c r="E1119" i="13"/>
  <c r="E1117" i="13" s="1"/>
  <c r="G1119" i="13"/>
  <c r="G1117" i="13" s="1"/>
  <c r="I1119" i="13"/>
  <c r="I1117" i="13" s="1"/>
  <c r="N1120" i="13"/>
  <c r="N1039" i="13"/>
  <c r="N852" i="13"/>
  <c r="N851" i="13" s="1"/>
  <c r="G852" i="13"/>
  <c r="G851" i="13" s="1"/>
  <c r="F852" i="13"/>
  <c r="F851" i="13" s="1"/>
  <c r="E852" i="13"/>
  <c r="E851" i="13" s="1"/>
  <c r="I848" i="13"/>
  <c r="G848" i="13"/>
  <c r="F848" i="13"/>
  <c r="E848" i="13"/>
  <c r="I847" i="13"/>
  <c r="G847" i="13"/>
  <c r="F847" i="13"/>
  <c r="E847" i="13"/>
  <c r="I846" i="13"/>
  <c r="G846" i="13"/>
  <c r="F846" i="13"/>
  <c r="E846" i="13"/>
  <c r="I845" i="13"/>
  <c r="G845" i="13"/>
  <c r="F845" i="13"/>
  <c r="E845" i="13"/>
  <c r="I844" i="13"/>
  <c r="G844" i="13"/>
  <c r="F844" i="13"/>
  <c r="E844" i="13"/>
  <c r="I838" i="13"/>
  <c r="G838" i="13"/>
  <c r="F838" i="13"/>
  <c r="E838" i="13"/>
  <c r="I896" i="13"/>
  <c r="H896" i="13"/>
  <c r="G896" i="13"/>
  <c r="F896" i="13"/>
  <c r="E896" i="13"/>
  <c r="I1028" i="13"/>
  <c r="G1028" i="13"/>
  <c r="E1028" i="13"/>
  <c r="N722" i="13"/>
  <c r="N721" i="13" s="1"/>
  <c r="V867" i="13"/>
  <c r="R867" i="13"/>
  <c r="D867" i="13"/>
  <c r="N858" i="13"/>
  <c r="N857" i="13" s="1"/>
  <c r="J858" i="13"/>
  <c r="J857" i="13" s="1"/>
  <c r="H858" i="13"/>
  <c r="H857" i="13" s="1"/>
  <c r="F858" i="13"/>
  <c r="F857" i="13" s="1"/>
  <c r="N1150" i="13"/>
  <c r="N1149" i="13" s="1"/>
  <c r="J1150" i="13"/>
  <c r="J1149" i="13" s="1"/>
  <c r="N850" i="13"/>
  <c r="N849" i="13" s="1"/>
  <c r="J850" i="13"/>
  <c r="J849" i="13" s="1"/>
  <c r="R787" i="13"/>
  <c r="R786" i="13" s="1"/>
  <c r="N787" i="13"/>
  <c r="N786" i="13" s="1"/>
  <c r="D787" i="13"/>
  <c r="D786" i="13" s="1"/>
  <c r="D694" i="13"/>
  <c r="C694" i="13" s="1"/>
  <c r="D836" i="13"/>
  <c r="C836" i="13" s="1"/>
  <c r="N780" i="13"/>
  <c r="N779" i="13"/>
  <c r="N778" i="13"/>
  <c r="V787" i="13" l="1"/>
  <c r="D850" i="13"/>
  <c r="D849" i="13" s="1"/>
  <c r="V858" i="13"/>
  <c r="C1153" i="13"/>
  <c r="C921" i="13"/>
  <c r="C950" i="13"/>
  <c r="V692" i="13"/>
  <c r="V693" i="13"/>
  <c r="C867" i="13"/>
  <c r="D858" i="13"/>
  <c r="D857" i="13" s="1"/>
  <c r="V1150" i="13"/>
  <c r="D1150" i="13"/>
  <c r="D1149" i="13" s="1"/>
  <c r="V850" i="13"/>
  <c r="C850" i="13"/>
  <c r="C849" i="13" s="1"/>
  <c r="C787" i="13"/>
  <c r="C786" i="13" s="1"/>
  <c r="I966" i="13"/>
  <c r="H966" i="13"/>
  <c r="G966" i="13"/>
  <c r="F966" i="13"/>
  <c r="E966" i="13"/>
  <c r="I940" i="13"/>
  <c r="H940" i="13"/>
  <c r="G940" i="13"/>
  <c r="F940" i="13"/>
  <c r="E940" i="13"/>
  <c r="E1181" i="13"/>
  <c r="I1176" i="13"/>
  <c r="G1176" i="13"/>
  <c r="F1176" i="13"/>
  <c r="E1176" i="13"/>
  <c r="I1173" i="13"/>
  <c r="G1173" i="13"/>
  <c r="F1173" i="13"/>
  <c r="E1173" i="13"/>
  <c r="I1172" i="13"/>
  <c r="G1172" i="13"/>
  <c r="F1172" i="13"/>
  <c r="E1172" i="13"/>
  <c r="I1171" i="13"/>
  <c r="G1171" i="13"/>
  <c r="F1171" i="13"/>
  <c r="E1171" i="13"/>
  <c r="I1170" i="13"/>
  <c r="G1170" i="13"/>
  <c r="F1170" i="13"/>
  <c r="E1170" i="13"/>
  <c r="I1148" i="13"/>
  <c r="I1147" i="13" s="1"/>
  <c r="G1148" i="13"/>
  <c r="G1147" i="13" s="1"/>
  <c r="E1148" i="13"/>
  <c r="E1147" i="13" s="1"/>
  <c r="E794" i="13"/>
  <c r="I707" i="13"/>
  <c r="G707" i="13"/>
  <c r="E707" i="13"/>
  <c r="N698" i="13"/>
  <c r="G1010" i="13"/>
  <c r="I1010" i="13"/>
  <c r="H1010" i="13"/>
  <c r="F1010" i="13"/>
  <c r="E1010" i="13"/>
  <c r="I967" i="13"/>
  <c r="H967" i="13"/>
  <c r="G967" i="13"/>
  <c r="F967" i="13"/>
  <c r="E967" i="13"/>
  <c r="F834" i="13"/>
  <c r="V849" i="13" l="1"/>
  <c r="C858" i="13"/>
  <c r="C857" i="13" s="1"/>
  <c r="C1150" i="13"/>
  <c r="C1149" i="13" s="1"/>
  <c r="V857" i="13" l="1"/>
  <c r="R1154" i="13"/>
  <c r="N1154" i="13"/>
  <c r="I1154" i="13"/>
  <c r="F1154" i="13"/>
  <c r="E1154" i="13"/>
  <c r="R680" i="13"/>
  <c r="N680" i="13"/>
  <c r="I680" i="13"/>
  <c r="H680" i="13"/>
  <c r="F680" i="13"/>
  <c r="E680" i="13"/>
  <c r="R681" i="13"/>
  <c r="N681" i="13"/>
  <c r="I681" i="13"/>
  <c r="F681" i="13"/>
  <c r="E681" i="13"/>
  <c r="R687" i="13"/>
  <c r="N687" i="13"/>
  <c r="I687" i="13"/>
  <c r="E687" i="13"/>
  <c r="N731" i="13"/>
  <c r="N759" i="13"/>
  <c r="R771" i="13"/>
  <c r="R770" i="13" s="1"/>
  <c r="N862" i="13"/>
  <c r="N865" i="13"/>
  <c r="N866" i="13"/>
  <c r="F678" i="13" l="1"/>
  <c r="I678" i="13"/>
  <c r="E678" i="13"/>
  <c r="R429" i="13"/>
  <c r="N871" i="13"/>
  <c r="N502" i="13"/>
  <c r="I977" i="13"/>
  <c r="F977" i="13"/>
  <c r="E977" i="13"/>
  <c r="I978" i="13"/>
  <c r="F978" i="13"/>
  <c r="E978" i="13"/>
  <c r="R981" i="13"/>
  <c r="N981" i="13"/>
  <c r="N1008" i="13"/>
  <c r="N1031" i="13"/>
  <c r="I1051" i="13"/>
  <c r="F1051" i="13"/>
  <c r="E1051" i="13"/>
  <c r="I1052" i="13" l="1"/>
  <c r="F1052" i="13"/>
  <c r="E1052" i="13"/>
  <c r="N1077" i="13"/>
  <c r="N529" i="13"/>
  <c r="V529" i="13" s="1"/>
  <c r="D529" i="13"/>
  <c r="C529" i="13" l="1"/>
  <c r="L1089" i="13"/>
  <c r="R1182" i="13"/>
  <c r="R1181" i="13" s="1"/>
  <c r="R1180" i="13"/>
  <c r="R1179" i="13"/>
  <c r="R1178" i="13"/>
  <c r="R1176" i="13"/>
  <c r="R1173" i="13"/>
  <c r="R1172" i="13"/>
  <c r="R1171" i="13"/>
  <c r="R1170" i="13"/>
  <c r="R1169" i="13"/>
  <c r="R1168" i="13"/>
  <c r="R1167" i="13"/>
  <c r="R1166" i="13"/>
  <c r="R1165" i="13"/>
  <c r="R1164" i="13"/>
  <c r="R1163" i="13"/>
  <c r="R1148" i="13"/>
  <c r="R1147" i="13" s="1"/>
  <c r="R1146" i="13"/>
  <c r="R1145" i="13" s="1"/>
  <c r="R1144" i="13"/>
  <c r="R1143" i="13"/>
  <c r="R1142" i="13"/>
  <c r="R1139" i="13"/>
  <c r="R1138" i="13" s="1"/>
  <c r="R1137" i="13"/>
  <c r="R1136" i="13" s="1"/>
  <c r="R1135" i="13"/>
  <c r="R1134" i="13" s="1"/>
  <c r="R1131" i="13"/>
  <c r="R1129" i="13" s="1"/>
  <c r="R1128" i="13"/>
  <c r="R1127" i="13" s="1"/>
  <c r="R1123" i="13"/>
  <c r="R1122" i="13"/>
  <c r="R1120" i="13"/>
  <c r="R1119" i="13"/>
  <c r="R1118" i="13"/>
  <c r="R1116" i="13"/>
  <c r="R1115" i="13" s="1"/>
  <c r="R1111" i="13"/>
  <c r="R1110" i="13" s="1"/>
  <c r="R1109" i="13"/>
  <c r="R1104" i="13"/>
  <c r="R1103" i="13" s="1"/>
  <c r="R1102" i="13"/>
  <c r="R1101" i="13"/>
  <c r="R1100" i="13"/>
  <c r="R1099" i="13"/>
  <c r="R1098" i="13"/>
  <c r="R1097" i="13"/>
  <c r="R1096" i="13"/>
  <c r="R1095" i="13"/>
  <c r="R1094" i="13"/>
  <c r="R1093" i="13"/>
  <c r="R1092" i="13"/>
  <c r="R1091" i="13"/>
  <c r="R1090" i="13"/>
  <c r="R1089" i="13"/>
  <c r="R1088" i="13"/>
  <c r="R1086" i="13"/>
  <c r="R1085" i="13"/>
  <c r="R1084" i="13"/>
  <c r="R1083" i="13"/>
  <c r="R1082" i="13"/>
  <c r="R1081" i="13"/>
  <c r="R1080" i="13"/>
  <c r="R1079" i="13"/>
  <c r="R1078" i="13"/>
  <c r="R1076" i="13"/>
  <c r="R1075" i="13"/>
  <c r="R1074" i="13"/>
  <c r="R1073" i="13"/>
  <c r="R1072" i="13"/>
  <c r="R1071" i="13"/>
  <c r="R1070" i="13"/>
  <c r="R1069" i="13"/>
  <c r="R1068" i="13"/>
  <c r="R1067" i="13"/>
  <c r="R1064" i="13"/>
  <c r="R1063" i="13"/>
  <c r="R1062" i="13"/>
  <c r="R1058" i="13"/>
  <c r="R1057" i="13"/>
  <c r="R1056" i="13"/>
  <c r="R1047" i="13"/>
  <c r="R1046" i="13"/>
  <c r="R1045" i="13"/>
  <c r="R1044" i="13"/>
  <c r="R1043" i="13"/>
  <c r="R1042" i="13"/>
  <c r="R1041" i="13"/>
  <c r="R1040" i="13"/>
  <c r="R1039" i="13"/>
  <c r="R1037" i="13"/>
  <c r="R1036" i="13"/>
  <c r="R1035" i="13"/>
  <c r="R1034" i="13"/>
  <c r="R1033" i="13"/>
  <c r="R1030" i="13"/>
  <c r="R1029" i="13"/>
  <c r="R1028" i="13"/>
  <c r="R1027" i="13"/>
  <c r="R1026" i="13"/>
  <c r="R1025" i="13"/>
  <c r="R1024" i="13"/>
  <c r="R1023" i="13"/>
  <c r="R1022" i="13"/>
  <c r="R1021" i="13"/>
  <c r="R1020" i="13"/>
  <c r="R1019" i="13"/>
  <c r="R1018" i="13"/>
  <c r="R1017" i="13"/>
  <c r="R1016" i="13"/>
  <c r="R1013" i="13"/>
  <c r="R1012" i="13"/>
  <c r="R1010" i="13"/>
  <c r="R1009" i="13"/>
  <c r="R1006" i="13"/>
  <c r="R863" i="13"/>
  <c r="R1002" i="13"/>
  <c r="R1001" i="13"/>
  <c r="R1000" i="13"/>
  <c r="R999" i="13"/>
  <c r="R998" i="13"/>
  <c r="R997" i="13"/>
  <c r="R996" i="13"/>
  <c r="R994" i="13"/>
  <c r="R990" i="13"/>
  <c r="R989" i="13"/>
  <c r="R988" i="13"/>
  <c r="R987" i="13"/>
  <c r="R986" i="13"/>
  <c r="R985" i="13"/>
  <c r="R984" i="13"/>
  <c r="R982" i="13"/>
  <c r="R979" i="13"/>
  <c r="R976" i="13"/>
  <c r="R975" i="13"/>
  <c r="R974" i="13"/>
  <c r="R973" i="13"/>
  <c r="R972" i="13"/>
  <c r="R970" i="13"/>
  <c r="R969" i="13"/>
  <c r="R971" i="13"/>
  <c r="R968" i="13"/>
  <c r="R967" i="13"/>
  <c r="R966" i="13"/>
  <c r="R964" i="13"/>
  <c r="R963" i="13"/>
  <c r="R962" i="13"/>
  <c r="R961" i="13"/>
  <c r="R960" i="13"/>
  <c r="R959" i="13"/>
  <c r="R958" i="13"/>
  <c r="R957" i="13"/>
  <c r="R956" i="13"/>
  <c r="R955" i="13"/>
  <c r="R954" i="13"/>
  <c r="R952" i="13"/>
  <c r="R949" i="13"/>
  <c r="R948" i="13"/>
  <c r="R947" i="13"/>
  <c r="R946" i="13"/>
  <c r="R944" i="13"/>
  <c r="R943" i="13"/>
  <c r="R942" i="13"/>
  <c r="R941" i="13"/>
  <c r="R940" i="13"/>
  <c r="R939" i="13"/>
  <c r="R938" i="13"/>
  <c r="R937" i="13"/>
  <c r="R936" i="13"/>
  <c r="R935" i="13"/>
  <c r="R934" i="13"/>
  <c r="R932" i="13"/>
  <c r="R929" i="13"/>
  <c r="R928" i="13"/>
  <c r="R927" i="13"/>
  <c r="R926" i="13"/>
  <c r="R925" i="13"/>
  <c r="R924" i="13"/>
  <c r="R923" i="13"/>
  <c r="R920" i="13"/>
  <c r="R919" i="13"/>
  <c r="R918" i="13"/>
  <c r="R917" i="13"/>
  <c r="R916" i="13"/>
  <c r="R915" i="13"/>
  <c r="R914" i="13"/>
  <c r="R913" i="13"/>
  <c r="R912" i="13"/>
  <c r="R911" i="13"/>
  <c r="R910" i="13"/>
  <c r="R909" i="13"/>
  <c r="R907" i="13"/>
  <c r="R906" i="13"/>
  <c r="R905" i="13"/>
  <c r="R904" i="13"/>
  <c r="R903" i="13"/>
  <c r="R902" i="13"/>
  <c r="R901" i="13"/>
  <c r="R900" i="13"/>
  <c r="R899" i="13"/>
  <c r="R898" i="13"/>
  <c r="R897" i="13"/>
  <c r="R896" i="13"/>
  <c r="R892" i="13"/>
  <c r="R891" i="13"/>
  <c r="R890" i="13"/>
  <c r="R889" i="13"/>
  <c r="R888" i="13"/>
  <c r="R887" i="13"/>
  <c r="R1114" i="13"/>
  <c r="R1113" i="13"/>
  <c r="R886" i="13"/>
  <c r="R885" i="13"/>
  <c r="R884" i="13"/>
  <c r="R883" i="13"/>
  <c r="R880" i="13"/>
  <c r="R877" i="13"/>
  <c r="R876" i="13"/>
  <c r="R875" i="13"/>
  <c r="R874" i="13"/>
  <c r="R873" i="13"/>
  <c r="R870" i="13"/>
  <c r="R869" i="13"/>
  <c r="R868" i="13"/>
  <c r="R864" i="13"/>
  <c r="R860" i="13"/>
  <c r="R856" i="13"/>
  <c r="R855" i="13"/>
  <c r="R852" i="13"/>
  <c r="R851" i="13" s="1"/>
  <c r="R848" i="13"/>
  <c r="R847" i="13"/>
  <c r="R846" i="13"/>
  <c r="R845" i="13"/>
  <c r="R844" i="13"/>
  <c r="R843" i="13"/>
  <c r="R842" i="13"/>
  <c r="R841" i="13"/>
  <c r="R838" i="13"/>
  <c r="R835" i="13"/>
  <c r="R833" i="13"/>
  <c r="R832" i="13"/>
  <c r="R830" i="13"/>
  <c r="R829" i="13"/>
  <c r="R826" i="13"/>
  <c r="R823" i="13"/>
  <c r="R822" i="13"/>
  <c r="R821" i="13"/>
  <c r="R817" i="13"/>
  <c r="R816" i="13"/>
  <c r="R815" i="13"/>
  <c r="R814" i="13"/>
  <c r="R811" i="13"/>
  <c r="R810" i="13"/>
  <c r="R805" i="13"/>
  <c r="R804" i="13"/>
  <c r="R803" i="13"/>
  <c r="R802" i="13"/>
  <c r="R801" i="13"/>
  <c r="R800" i="13"/>
  <c r="R799" i="13"/>
  <c r="R798" i="13"/>
  <c r="R797" i="13"/>
  <c r="R795" i="13"/>
  <c r="R794" i="13"/>
  <c r="R793" i="13"/>
  <c r="R790" i="13"/>
  <c r="R785" i="13"/>
  <c r="R784" i="13" s="1"/>
  <c r="R783" i="13"/>
  <c r="R782" i="13"/>
  <c r="R781" i="13"/>
  <c r="R776" i="13"/>
  <c r="R775" i="13" s="1"/>
  <c r="R774" i="13"/>
  <c r="R773" i="13"/>
  <c r="R769" i="13"/>
  <c r="R768" i="13" s="1"/>
  <c r="R767" i="13"/>
  <c r="R766" i="13" s="1"/>
  <c r="R765" i="13"/>
  <c r="R764" i="13" s="1"/>
  <c r="R763" i="13"/>
  <c r="R762" i="13" s="1"/>
  <c r="R761" i="13"/>
  <c r="R760" i="13"/>
  <c r="R758" i="13"/>
  <c r="R757" i="13"/>
  <c r="R755" i="13"/>
  <c r="R754" i="13" s="1"/>
  <c r="R753" i="13"/>
  <c r="R752" i="13"/>
  <c r="R751" i="13"/>
  <c r="R750" i="13"/>
  <c r="R749" i="13"/>
  <c r="R747" i="13"/>
  <c r="R746" i="13" s="1"/>
  <c r="R744" i="13"/>
  <c r="R745" i="13"/>
  <c r="R743" i="13"/>
  <c r="R742" i="13"/>
  <c r="R740" i="13"/>
  <c r="R738" i="13"/>
  <c r="R736" i="13"/>
  <c r="R735" i="13" s="1"/>
  <c r="R732" i="13"/>
  <c r="R730" i="13"/>
  <c r="R729" i="13"/>
  <c r="R728" i="13"/>
  <c r="R724" i="13"/>
  <c r="R722" i="13"/>
  <c r="R718" i="13"/>
  <c r="R717" i="13"/>
  <c r="R716" i="13"/>
  <c r="R709" i="13"/>
  <c r="R708" i="13"/>
  <c r="R707" i="13"/>
  <c r="R706" i="13"/>
  <c r="R705" i="13"/>
  <c r="R704" i="13"/>
  <c r="R703" i="13"/>
  <c r="R702" i="13"/>
  <c r="R701" i="13"/>
  <c r="R700" i="13"/>
  <c r="R699" i="13"/>
  <c r="R698" i="13"/>
  <c r="R697" i="13"/>
  <c r="R696" i="13"/>
  <c r="R695" i="13"/>
  <c r="R691" i="13"/>
  <c r="R689" i="13"/>
  <c r="R688" i="13"/>
  <c r="P1010" i="13"/>
  <c r="P859" i="13" s="1"/>
  <c r="P845" i="13"/>
  <c r="P844" i="13"/>
  <c r="P838" i="13"/>
  <c r="P834" i="13"/>
  <c r="P776" i="13"/>
  <c r="P775" i="13" s="1"/>
  <c r="I1169" i="13"/>
  <c r="I1166" i="13"/>
  <c r="I1163" i="13"/>
  <c r="I1024" i="13"/>
  <c r="I1023" i="13"/>
  <c r="I1017" i="13"/>
  <c r="I1016" i="13"/>
  <c r="I936" i="13"/>
  <c r="I892" i="13"/>
  <c r="I843" i="13"/>
  <c r="I834" i="13"/>
  <c r="I816" i="13"/>
  <c r="I803" i="13"/>
  <c r="I801" i="13"/>
  <c r="I799" i="13"/>
  <c r="I798" i="13"/>
  <c r="I795" i="13"/>
  <c r="I793" i="13"/>
  <c r="I755" i="13"/>
  <c r="I754" i="13" s="1"/>
  <c r="I730" i="13"/>
  <c r="I729" i="13"/>
  <c r="I728" i="13"/>
  <c r="I706" i="13"/>
  <c r="I701" i="13"/>
  <c r="G755" i="13"/>
  <c r="G754" i="13" s="1"/>
  <c r="F1169" i="13"/>
  <c r="F1166" i="13"/>
  <c r="F1163" i="13"/>
  <c r="F1140" i="13"/>
  <c r="F1138" i="13" s="1"/>
  <c r="F1024" i="13"/>
  <c r="F1023" i="13"/>
  <c r="F1017" i="13"/>
  <c r="F1016" i="13"/>
  <c r="F936" i="13"/>
  <c r="F892" i="13"/>
  <c r="F843" i="13"/>
  <c r="F831" i="13" s="1"/>
  <c r="F816" i="13"/>
  <c r="F811" i="13"/>
  <c r="F810" i="13"/>
  <c r="F803" i="13"/>
  <c r="F801" i="13"/>
  <c r="F799" i="13"/>
  <c r="F798" i="13"/>
  <c r="F795" i="13"/>
  <c r="F793" i="13"/>
  <c r="F707" i="13"/>
  <c r="F706" i="13"/>
  <c r="F701" i="13"/>
  <c r="F687" i="13"/>
  <c r="E1169" i="13"/>
  <c r="E1166" i="13"/>
  <c r="E1163" i="13"/>
  <c r="I683" i="13" l="1"/>
  <c r="E1151" i="13"/>
  <c r="I1151" i="13"/>
  <c r="P831" i="13"/>
  <c r="R725" i="13"/>
  <c r="R772" i="13"/>
  <c r="R854" i="13"/>
  <c r="R1117" i="13"/>
  <c r="L859" i="13"/>
  <c r="L677" i="13" s="1"/>
  <c r="R721" i="13"/>
  <c r="R727" i="13"/>
  <c r="R748" i="13"/>
  <c r="R1141" i="13"/>
  <c r="R756" i="13"/>
  <c r="R808" i="13"/>
  <c r="F808" i="13"/>
  <c r="F1151" i="13"/>
  <c r="I727" i="13"/>
  <c r="R715" i="13"/>
  <c r="R737" i="13"/>
  <c r="R777" i="13"/>
  <c r="R831" i="13"/>
  <c r="R1112" i="13"/>
  <c r="R1121" i="13"/>
  <c r="R1177" i="13"/>
  <c r="F683" i="13"/>
  <c r="I831" i="13"/>
  <c r="R741" i="13"/>
  <c r="R818" i="13"/>
  <c r="E1139" i="13"/>
  <c r="E1138" i="13" s="1"/>
  <c r="E1131" i="13"/>
  <c r="E1129" i="13" s="1"/>
  <c r="E1128" i="13"/>
  <c r="E1127" i="13" s="1"/>
  <c r="E1024" i="13"/>
  <c r="E1023" i="13"/>
  <c r="E1017" i="13"/>
  <c r="E1016" i="13"/>
  <c r="E936" i="13"/>
  <c r="E892" i="13"/>
  <c r="E856" i="13"/>
  <c r="E855" i="13"/>
  <c r="E843" i="13"/>
  <c r="E834" i="13"/>
  <c r="E816" i="13"/>
  <c r="E815" i="13"/>
  <c r="E811" i="13"/>
  <c r="E810" i="13"/>
  <c r="E803" i="13"/>
  <c r="E801" i="13"/>
  <c r="E799" i="13"/>
  <c r="E798" i="13"/>
  <c r="E797" i="13"/>
  <c r="E795" i="13"/>
  <c r="E793" i="13"/>
  <c r="E776" i="13"/>
  <c r="E775" i="13" s="1"/>
  <c r="E755" i="13"/>
  <c r="E754" i="13" s="1"/>
  <c r="E730" i="13"/>
  <c r="E729" i="13"/>
  <c r="E728" i="13"/>
  <c r="E721" i="13"/>
  <c r="E713" i="13"/>
  <c r="E712" i="13" s="1"/>
  <c r="E706" i="13"/>
  <c r="E701" i="13"/>
  <c r="N1182" i="13"/>
  <c r="N1181" i="13" s="1"/>
  <c r="N1179" i="13"/>
  <c r="N1177" i="13" s="1"/>
  <c r="N1176" i="13"/>
  <c r="N1173" i="13"/>
  <c r="N1172" i="13"/>
  <c r="N1171" i="13"/>
  <c r="N1170" i="13"/>
  <c r="N1168" i="13"/>
  <c r="N1167" i="13"/>
  <c r="N1166" i="13"/>
  <c r="N1165" i="13"/>
  <c r="N1164" i="13"/>
  <c r="N1163" i="13"/>
  <c r="N1146" i="13"/>
  <c r="N1145" i="13" s="1"/>
  <c r="N1144" i="13"/>
  <c r="N1142" i="13"/>
  <c r="N1139" i="13"/>
  <c r="N1138" i="13" s="1"/>
  <c r="N1135" i="13"/>
  <c r="N1134" i="13" s="1"/>
  <c r="N1131" i="13"/>
  <c r="N1129" i="13" s="1"/>
  <c r="N1128" i="13"/>
  <c r="N1127" i="13" s="1"/>
  <c r="N1123" i="13"/>
  <c r="N1122" i="13"/>
  <c r="N1119" i="13"/>
  <c r="N1118" i="13"/>
  <c r="N1116" i="13"/>
  <c r="N1115" i="13" s="1"/>
  <c r="N1109" i="13"/>
  <c r="N1102" i="13"/>
  <c r="N1101" i="13"/>
  <c r="N1099" i="13"/>
  <c r="N1098" i="13"/>
  <c r="N1097" i="13"/>
  <c r="N1096" i="13"/>
  <c r="N1095" i="13"/>
  <c r="N1094" i="13"/>
  <c r="N1093" i="13"/>
  <c r="N1092" i="13"/>
  <c r="N1091" i="13"/>
  <c r="N1088" i="13"/>
  <c r="N1086" i="13"/>
  <c r="N1085" i="13"/>
  <c r="N1084" i="13"/>
  <c r="N1083" i="13"/>
  <c r="N1082" i="13"/>
  <c r="N1081" i="13"/>
  <c r="N1080" i="13"/>
  <c r="N1079" i="13"/>
  <c r="N1078" i="13"/>
  <c r="N1076" i="13"/>
  <c r="N1075" i="13"/>
  <c r="N1074" i="13"/>
  <c r="N1073" i="13"/>
  <c r="N1072" i="13"/>
  <c r="N1071" i="13"/>
  <c r="N1068" i="13"/>
  <c r="N1067" i="13"/>
  <c r="N1064" i="13"/>
  <c r="N1063" i="13"/>
  <c r="N1057" i="13"/>
  <c r="N1056" i="13"/>
  <c r="N1046" i="13"/>
  <c r="N1045" i="13"/>
  <c r="N1044" i="13"/>
  <c r="N1043" i="13"/>
  <c r="N1042" i="13"/>
  <c r="N1041" i="13"/>
  <c r="N1037" i="13"/>
  <c r="N1036" i="13"/>
  <c r="N1035" i="13"/>
  <c r="N1034" i="13"/>
  <c r="N1033" i="13"/>
  <c r="N1030" i="13"/>
  <c r="N1029" i="13"/>
  <c r="N1028" i="13"/>
  <c r="N1027" i="13"/>
  <c r="N1025" i="13"/>
  <c r="N1022" i="13"/>
  <c r="N1021" i="13"/>
  <c r="N1020" i="13"/>
  <c r="N1019" i="13"/>
  <c r="N1017" i="13"/>
  <c r="N1013" i="13"/>
  <c r="N1012" i="13"/>
  <c r="N1010" i="13"/>
  <c r="N1009" i="13"/>
  <c r="N1006" i="13"/>
  <c r="N863" i="13"/>
  <c r="N1002" i="13"/>
  <c r="N1001" i="13"/>
  <c r="N1000" i="13"/>
  <c r="N999" i="13"/>
  <c r="N998" i="13"/>
  <c r="N997" i="13"/>
  <c r="N996" i="13"/>
  <c r="N994" i="13"/>
  <c r="N990" i="13"/>
  <c r="N989" i="13"/>
  <c r="N988" i="13"/>
  <c r="N987" i="13"/>
  <c r="N986" i="13"/>
  <c r="N985" i="13"/>
  <c r="N984" i="13"/>
  <c r="N982" i="13"/>
  <c r="N979" i="13"/>
  <c r="N976" i="13"/>
  <c r="N975" i="13"/>
  <c r="N974" i="13"/>
  <c r="N973" i="13"/>
  <c r="N972" i="13"/>
  <c r="N970" i="13"/>
  <c r="N969" i="13"/>
  <c r="N971" i="13"/>
  <c r="N968" i="13"/>
  <c r="N964" i="13"/>
  <c r="N963" i="13"/>
  <c r="N962" i="13"/>
  <c r="N961" i="13"/>
  <c r="N960" i="13"/>
  <c r="N959" i="13"/>
  <c r="N958" i="13"/>
  <c r="N957" i="13"/>
  <c r="N956" i="13"/>
  <c r="N955" i="13"/>
  <c r="N954" i="13"/>
  <c r="N952" i="13"/>
  <c r="N949" i="13"/>
  <c r="N948" i="13"/>
  <c r="N947" i="13"/>
  <c r="N946" i="13"/>
  <c r="N944" i="13"/>
  <c r="N943" i="13"/>
  <c r="N942" i="13"/>
  <c r="N941" i="13"/>
  <c r="N940" i="13"/>
  <c r="N939" i="13"/>
  <c r="N938" i="13"/>
  <c r="N937" i="13"/>
  <c r="N936" i="13"/>
  <c r="N935" i="13"/>
  <c r="N934" i="13"/>
  <c r="N932" i="13"/>
  <c r="N929" i="13"/>
  <c r="N928" i="13"/>
  <c r="N927" i="13"/>
  <c r="N925" i="13"/>
  <c r="N924" i="13"/>
  <c r="N923" i="13"/>
  <c r="N920" i="13"/>
  <c r="N919" i="13"/>
  <c r="N918" i="13"/>
  <c r="N917" i="13"/>
  <c r="N916" i="13"/>
  <c r="N915" i="13"/>
  <c r="N914" i="13"/>
  <c r="N913" i="13"/>
  <c r="N912" i="13"/>
  <c r="N911" i="13"/>
  <c r="N910" i="13"/>
  <c r="N909" i="13"/>
  <c r="N907" i="13"/>
  <c r="N905" i="13"/>
  <c r="N904" i="13"/>
  <c r="N903" i="13"/>
  <c r="N902" i="13"/>
  <c r="N901" i="13"/>
  <c r="N900" i="13"/>
  <c r="N899" i="13"/>
  <c r="N898" i="13"/>
  <c r="N897" i="13"/>
  <c r="N896" i="13"/>
  <c r="N891" i="13"/>
  <c r="N890" i="13"/>
  <c r="N889" i="13"/>
  <c r="N888" i="13"/>
  <c r="N887" i="13"/>
  <c r="N1114" i="13"/>
  <c r="N1113" i="13"/>
  <c r="N886" i="13"/>
  <c r="N885" i="13"/>
  <c r="N884" i="13"/>
  <c r="N883" i="13"/>
  <c r="N880" i="13"/>
  <c r="N877" i="13"/>
  <c r="N875" i="13"/>
  <c r="N874" i="13"/>
  <c r="N873" i="13"/>
  <c r="N870" i="13"/>
  <c r="N869" i="13"/>
  <c r="N868" i="13"/>
  <c r="N860" i="13"/>
  <c r="N856" i="13"/>
  <c r="N855" i="13"/>
  <c r="N847" i="13"/>
  <c r="N846" i="13"/>
  <c r="N845" i="13"/>
  <c r="N844" i="13"/>
  <c r="N843" i="13"/>
  <c r="N842" i="13"/>
  <c r="N841" i="13"/>
  <c r="N838" i="13"/>
  <c r="N833" i="13"/>
  <c r="N830" i="13"/>
  <c r="N829" i="13"/>
  <c r="N826" i="13"/>
  <c r="N823" i="13"/>
  <c r="N822" i="13"/>
  <c r="N821" i="13"/>
  <c r="N817" i="13"/>
  <c r="N816" i="13"/>
  <c r="N814" i="13"/>
  <c r="N811" i="13"/>
  <c r="N810" i="13"/>
  <c r="N805" i="13"/>
  <c r="N804" i="13"/>
  <c r="N803" i="13"/>
  <c r="N802" i="13"/>
  <c r="N801" i="13"/>
  <c r="N800" i="13"/>
  <c r="N799" i="13"/>
  <c r="N798" i="13"/>
  <c r="N797" i="13"/>
  <c r="N795" i="13"/>
  <c r="N794" i="13"/>
  <c r="N793" i="13"/>
  <c r="N790" i="13"/>
  <c r="N785" i="13"/>
  <c r="N784" i="13" s="1"/>
  <c r="N783" i="13"/>
  <c r="N782" i="13"/>
  <c r="N781" i="13"/>
  <c r="N776" i="13"/>
  <c r="N775" i="13" s="1"/>
  <c r="N774" i="13"/>
  <c r="N773" i="13"/>
  <c r="N769" i="13"/>
  <c r="N768" i="13" s="1"/>
  <c r="N767" i="13"/>
  <c r="N766" i="13" s="1"/>
  <c r="N765" i="13"/>
  <c r="N764" i="13" s="1"/>
  <c r="N763" i="13"/>
  <c r="N762" i="13" s="1"/>
  <c r="N758" i="13"/>
  <c r="N757" i="13"/>
  <c r="N753" i="13"/>
  <c r="N752" i="13"/>
  <c r="N749" i="13"/>
  <c r="N747" i="13"/>
  <c r="N746" i="13" s="1"/>
  <c r="N745" i="13"/>
  <c r="N743" i="13"/>
  <c r="N742" i="13"/>
  <c r="N736" i="13"/>
  <c r="N735" i="13" s="1"/>
  <c r="N732" i="13"/>
  <c r="N730" i="13"/>
  <c r="N729" i="13"/>
  <c r="N728" i="13"/>
  <c r="N718" i="13"/>
  <c r="N717" i="13"/>
  <c r="N713" i="13"/>
  <c r="N711" i="13"/>
  <c r="N710" i="13" s="1"/>
  <c r="N709" i="13"/>
  <c r="N708" i="13"/>
  <c r="N707" i="13"/>
  <c r="N705" i="13"/>
  <c r="N704" i="13"/>
  <c r="N703" i="13"/>
  <c r="N702" i="13"/>
  <c r="N701" i="13"/>
  <c r="N700" i="13"/>
  <c r="N699" i="13"/>
  <c r="N697" i="13"/>
  <c r="N696" i="13"/>
  <c r="N691" i="13"/>
  <c r="N689" i="13"/>
  <c r="N685" i="13"/>
  <c r="N682" i="13"/>
  <c r="N679" i="13"/>
  <c r="E854" i="13" l="1"/>
  <c r="N725" i="13"/>
  <c r="N756" i="13"/>
  <c r="N1112" i="13"/>
  <c r="N1121" i="13"/>
  <c r="N748" i="13"/>
  <c r="N818" i="13"/>
  <c r="N712" i="13"/>
  <c r="N741" i="13"/>
  <c r="N854" i="13"/>
  <c r="E727" i="13"/>
  <c r="N715" i="13"/>
  <c r="N727" i="13"/>
  <c r="N772" i="13"/>
  <c r="N831" i="13"/>
  <c r="N1117" i="13"/>
  <c r="N1141" i="13"/>
  <c r="E683" i="13"/>
  <c r="E808" i="13"/>
  <c r="E831" i="13"/>
  <c r="N678" i="13"/>
  <c r="N777" i="13"/>
  <c r="N1151" i="13"/>
  <c r="F373" i="13"/>
  <c r="E373" i="13"/>
  <c r="D1128" i="13"/>
  <c r="D1127" i="13" s="1"/>
  <c r="V1116" i="13"/>
  <c r="D1116" i="13"/>
  <c r="D1115" i="13" s="1"/>
  <c r="V1067" i="13"/>
  <c r="D1067" i="13"/>
  <c r="C1067" i="13" s="1"/>
  <c r="C1116" i="13" l="1"/>
  <c r="C1115" i="13" s="1"/>
  <c r="C1128" i="13"/>
  <c r="C1127" i="13" s="1"/>
  <c r="V1128" i="13"/>
  <c r="V937" i="13"/>
  <c r="D937" i="13"/>
  <c r="C937" i="13" s="1"/>
  <c r="V1140" i="13" l="1"/>
  <c r="D684" i="13"/>
  <c r="D842" i="13"/>
  <c r="J829" i="13"/>
  <c r="D767" i="13"/>
  <c r="D766" i="13" s="1"/>
  <c r="D760" i="13"/>
  <c r="C760" i="13" s="1"/>
  <c r="V1016" i="13"/>
  <c r="H1016" i="13"/>
  <c r="G1016" i="13"/>
  <c r="G1169" i="13"/>
  <c r="E641" i="13"/>
  <c r="E635" i="13" s="1"/>
  <c r="E342" i="13"/>
  <c r="E341" i="13" s="1"/>
  <c r="E379" i="13"/>
  <c r="F372" i="13"/>
  <c r="E372" i="13"/>
  <c r="E371" i="13"/>
  <c r="E369" i="13"/>
  <c r="V843" i="13"/>
  <c r="J843" i="13"/>
  <c r="G843" i="13"/>
  <c r="G831" i="13" s="1"/>
  <c r="V1002" i="13"/>
  <c r="D1002" i="13"/>
  <c r="V1001" i="13"/>
  <c r="D1001" i="13"/>
  <c r="C684" i="13" l="1"/>
  <c r="D1140" i="13"/>
  <c r="C842" i="13"/>
  <c r="D829" i="13"/>
  <c r="V829" i="13"/>
  <c r="V767" i="13"/>
  <c r="C1001" i="13"/>
  <c r="C1002" i="13"/>
  <c r="D843" i="13"/>
  <c r="C843" i="13" s="1"/>
  <c r="C767" i="13"/>
  <c r="C766" i="13" s="1"/>
  <c r="D1016" i="13"/>
  <c r="C1016" i="13" s="1"/>
  <c r="D1011" i="13"/>
  <c r="N1011" i="13"/>
  <c r="R1011" i="13"/>
  <c r="V1146" i="13"/>
  <c r="D1146" i="13"/>
  <c r="D1145" i="13" s="1"/>
  <c r="V732" i="13"/>
  <c r="D732" i="13"/>
  <c r="V1021" i="13"/>
  <c r="D1021" i="13"/>
  <c r="H882" i="13"/>
  <c r="G882" i="13"/>
  <c r="V1011" i="13" l="1"/>
  <c r="C1140" i="13"/>
  <c r="C829" i="13"/>
  <c r="C1011" i="13"/>
  <c r="C732" i="13"/>
  <c r="C1146" i="13"/>
  <c r="C1145" i="13" s="1"/>
  <c r="C1021" i="13"/>
  <c r="D699" i="13"/>
  <c r="C699" i="13" s="1"/>
  <c r="G872" i="13"/>
  <c r="G922" i="13"/>
  <c r="F631" i="13"/>
  <c r="F630" i="13" s="1"/>
  <c r="E631" i="13"/>
  <c r="E630" i="13" s="1"/>
  <c r="H881" i="13"/>
  <c r="G881" i="13"/>
  <c r="V904" i="13"/>
  <c r="D904" i="13"/>
  <c r="N96" i="13"/>
  <c r="R96" i="13"/>
  <c r="U96" i="13"/>
  <c r="U68" i="13"/>
  <c r="V424" i="13"/>
  <c r="J424" i="13"/>
  <c r="J423" i="13" s="1"/>
  <c r="H424" i="13"/>
  <c r="H423" i="13" s="1"/>
  <c r="F424" i="13"/>
  <c r="F423" i="13" s="1"/>
  <c r="C904" i="13" l="1"/>
  <c r="D424" i="13"/>
  <c r="D773" i="13"/>
  <c r="C424" i="13" l="1"/>
  <c r="C423" i="13" s="1"/>
  <c r="V423" i="13" s="1"/>
  <c r="D423" i="13"/>
  <c r="V773" i="13"/>
  <c r="C773" i="13"/>
  <c r="D1142" i="13"/>
  <c r="V898" i="13"/>
  <c r="D898" i="13"/>
  <c r="V947" i="13"/>
  <c r="D947" i="13"/>
  <c r="V905" i="13"/>
  <c r="D905" i="13"/>
  <c r="V874" i="13"/>
  <c r="D874" i="13"/>
  <c r="V811" i="13"/>
  <c r="J811" i="13"/>
  <c r="V810" i="13"/>
  <c r="J810" i="13"/>
  <c r="G810" i="13"/>
  <c r="V711" i="13"/>
  <c r="D711" i="13"/>
  <c r="D710" i="13" s="1"/>
  <c r="V700" i="13"/>
  <c r="D700" i="13"/>
  <c r="V702" i="13"/>
  <c r="D702" i="13"/>
  <c r="V460" i="13"/>
  <c r="J460" i="13"/>
  <c r="H460" i="13"/>
  <c r="V927" i="13"/>
  <c r="D927" i="13"/>
  <c r="V1076" i="13"/>
  <c r="D1076" i="13"/>
  <c r="V1074" i="13"/>
  <c r="D1074" i="13"/>
  <c r="C1142" i="13" l="1"/>
  <c r="C905" i="13"/>
  <c r="D460" i="13"/>
  <c r="C460" i="13" s="1"/>
  <c r="C1076" i="13"/>
  <c r="C711" i="13"/>
  <c r="C710" i="13" s="1"/>
  <c r="D811" i="13"/>
  <c r="C811" i="13" s="1"/>
  <c r="C927" i="13"/>
  <c r="C898" i="13"/>
  <c r="C1074" i="13"/>
  <c r="C702" i="13"/>
  <c r="C700" i="13"/>
  <c r="D810" i="13"/>
  <c r="C810" i="13" s="1"/>
  <c r="C874" i="13"/>
  <c r="C947" i="13"/>
  <c r="V1046" i="13"/>
  <c r="D1046" i="13"/>
  <c r="V938" i="13"/>
  <c r="D938" i="13"/>
  <c r="V1071" i="13"/>
  <c r="D1071" i="13"/>
  <c r="V1075" i="13"/>
  <c r="D1075" i="13"/>
  <c r="V932" i="13"/>
  <c r="D932" i="13"/>
  <c r="V1064" i="13"/>
  <c r="D1064" i="13"/>
  <c r="V710" i="13" l="1"/>
  <c r="C1046" i="13"/>
  <c r="C938" i="13"/>
  <c r="C1064" i="13"/>
  <c r="C932" i="13"/>
  <c r="C1075" i="13"/>
  <c r="C1071" i="13"/>
  <c r="V1088" i="13"/>
  <c r="D1088" i="13"/>
  <c r="U360" i="13"/>
  <c r="U285" i="13" s="1"/>
  <c r="T360" i="13"/>
  <c r="T285" i="13" s="1"/>
  <c r="S360" i="13"/>
  <c r="R360" i="13"/>
  <c r="Q360" i="13"/>
  <c r="Q285" i="13" s="1"/>
  <c r="P360" i="13"/>
  <c r="O360" i="13"/>
  <c r="O285" i="13" s="1"/>
  <c r="M360" i="13"/>
  <c r="M285" i="13" s="1"/>
  <c r="L360" i="13"/>
  <c r="L285" i="13" s="1"/>
  <c r="K360" i="13"/>
  <c r="K285" i="13" s="1"/>
  <c r="J360" i="13"/>
  <c r="I360" i="13"/>
  <c r="H360" i="13"/>
  <c r="G360" i="13"/>
  <c r="F360" i="13"/>
  <c r="E360" i="13"/>
  <c r="C1088" i="13" l="1"/>
  <c r="V590" i="13" l="1"/>
  <c r="J590" i="13"/>
  <c r="D590" i="13" s="1"/>
  <c r="C590" i="13" s="1"/>
  <c r="V588" i="13"/>
  <c r="J588" i="13"/>
  <c r="D588" i="13" s="1"/>
  <c r="C588" i="13" s="1"/>
  <c r="V574" i="13"/>
  <c r="D574" i="13"/>
  <c r="C574" i="13" s="1"/>
  <c r="V496" i="13"/>
  <c r="J496" i="13"/>
  <c r="D496" i="13" s="1"/>
  <c r="C496" i="13" s="1"/>
  <c r="V458" i="13"/>
  <c r="J458" i="13"/>
  <c r="D458" i="13" s="1"/>
  <c r="C458" i="13" s="1"/>
  <c r="V457" i="13"/>
  <c r="J457" i="13"/>
  <c r="D457" i="13" s="1"/>
  <c r="C457" i="13" s="1"/>
  <c r="V456" i="13"/>
  <c r="J456" i="13"/>
  <c r="D456" i="13" s="1"/>
  <c r="C456" i="13" s="1"/>
  <c r="V459" i="13"/>
  <c r="J459" i="13"/>
  <c r="D459" i="13" s="1"/>
  <c r="C459" i="13" s="1"/>
  <c r="V419" i="13"/>
  <c r="J419" i="13"/>
  <c r="J418" i="13" s="1"/>
  <c r="V404" i="13"/>
  <c r="J404" i="13"/>
  <c r="H404" i="13"/>
  <c r="V401" i="13"/>
  <c r="J401" i="13"/>
  <c r="H401" i="13"/>
  <c r="D419" i="13" l="1"/>
  <c r="D418" i="13" s="1"/>
  <c r="D404" i="13"/>
  <c r="C404" i="13" s="1"/>
  <c r="D401" i="13"/>
  <c r="C401" i="13" s="1"/>
  <c r="C419" i="13" l="1"/>
  <c r="V601" i="13"/>
  <c r="D601" i="13"/>
  <c r="C601" i="13" s="1"/>
  <c r="C418" i="13" l="1"/>
  <c r="V418" i="13" s="1"/>
  <c r="E828" i="13"/>
  <c r="E827" i="13" s="1"/>
  <c r="G828" i="13"/>
  <c r="G827" i="13" s="1"/>
  <c r="I828" i="13"/>
  <c r="I827" i="13" s="1"/>
  <c r="E634" i="13"/>
  <c r="E633" i="13"/>
  <c r="V184" i="13"/>
  <c r="J184" i="13"/>
  <c r="D184" i="13" s="1"/>
  <c r="C184" i="13" s="1"/>
  <c r="E632" i="13" l="1"/>
  <c r="V197" i="13"/>
  <c r="J197" i="13"/>
  <c r="D197" i="13" s="1"/>
  <c r="C197" i="13" s="1"/>
  <c r="V1019" i="13" l="1"/>
  <c r="D1019" i="13"/>
  <c r="V505" i="13"/>
  <c r="J505" i="13"/>
  <c r="V504" i="13"/>
  <c r="J504" i="13"/>
  <c r="H504" i="13"/>
  <c r="V466" i="13"/>
  <c r="J466" i="13"/>
  <c r="V462" i="13"/>
  <c r="J462" i="13"/>
  <c r="V461" i="13"/>
  <c r="J461" i="13"/>
  <c r="S370" i="13"/>
  <c r="R370" i="13"/>
  <c r="V370" i="13"/>
  <c r="J370" i="13"/>
  <c r="H370" i="13"/>
  <c r="V659" i="13"/>
  <c r="D659" i="13"/>
  <c r="D370" i="13" l="1"/>
  <c r="C370" i="13" s="1"/>
  <c r="C1019" i="13"/>
  <c r="C659" i="13"/>
  <c r="D504" i="13"/>
  <c r="C504" i="13" s="1"/>
  <c r="D505" i="13"/>
  <c r="C505" i="13" s="1"/>
  <c r="D466" i="13"/>
  <c r="C466" i="13" s="1"/>
  <c r="D461" i="13"/>
  <c r="C461" i="13" s="1"/>
  <c r="D462" i="13"/>
  <c r="C462" i="13" s="1"/>
  <c r="V550" i="13"/>
  <c r="J550" i="13"/>
  <c r="R198" i="13"/>
  <c r="V198" i="13"/>
  <c r="D198" i="13"/>
  <c r="V187" i="13"/>
  <c r="J187" i="13"/>
  <c r="D187" i="13" s="1"/>
  <c r="C187" i="13" s="1"/>
  <c r="V130" i="13"/>
  <c r="D130" i="13"/>
  <c r="C130" i="13" s="1"/>
  <c r="V129" i="13"/>
  <c r="D129" i="13"/>
  <c r="C129" i="13" s="1"/>
  <c r="V128" i="13"/>
  <c r="D128" i="13"/>
  <c r="C128" i="13" s="1"/>
  <c r="V771" i="13"/>
  <c r="D771" i="13"/>
  <c r="D770" i="13" s="1"/>
  <c r="U24" i="13"/>
  <c r="T24" i="13"/>
  <c r="S24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F24" i="13"/>
  <c r="E24" i="13"/>
  <c r="U11" i="13"/>
  <c r="T11" i="13"/>
  <c r="S11" i="13"/>
  <c r="R11" i="13"/>
  <c r="Q11" i="13"/>
  <c r="P11" i="13"/>
  <c r="O11" i="13"/>
  <c r="N11" i="13"/>
  <c r="M11" i="13"/>
  <c r="L11" i="13"/>
  <c r="K11" i="13"/>
  <c r="I11" i="13"/>
  <c r="H11" i="13"/>
  <c r="G11" i="13"/>
  <c r="F11" i="13"/>
  <c r="E11" i="13"/>
  <c r="C771" i="13" l="1"/>
  <c r="C770" i="13" s="1"/>
  <c r="D550" i="13"/>
  <c r="C550" i="13" s="1"/>
  <c r="C198" i="13"/>
  <c r="V654" i="13"/>
  <c r="D353" i="13"/>
  <c r="I895" i="13"/>
  <c r="I859" i="13" s="1"/>
  <c r="F895" i="13"/>
  <c r="F859" i="13" s="1"/>
  <c r="U45" i="13"/>
  <c r="T45" i="13"/>
  <c r="S45" i="13"/>
  <c r="R45" i="13"/>
  <c r="Q45" i="13"/>
  <c r="P45" i="13"/>
  <c r="O45" i="13"/>
  <c r="N45" i="13"/>
  <c r="M45" i="13"/>
  <c r="L45" i="13"/>
  <c r="K45" i="13"/>
  <c r="J45" i="13"/>
  <c r="I45" i="13"/>
  <c r="H45" i="13"/>
  <c r="G45" i="13"/>
  <c r="F45" i="13"/>
  <c r="E45" i="13"/>
  <c r="U33" i="13"/>
  <c r="T33" i="13"/>
  <c r="S33" i="13"/>
  <c r="R33" i="13"/>
  <c r="Q33" i="13"/>
  <c r="P33" i="13"/>
  <c r="O33" i="13"/>
  <c r="N33" i="13"/>
  <c r="M33" i="13"/>
  <c r="L33" i="13"/>
  <c r="K33" i="13"/>
  <c r="J33" i="13"/>
  <c r="I33" i="13"/>
  <c r="H33" i="13"/>
  <c r="G33" i="13"/>
  <c r="F33" i="13"/>
  <c r="E33" i="13"/>
  <c r="V770" i="13" l="1"/>
  <c r="V353" i="13"/>
  <c r="D654" i="13"/>
  <c r="D653" i="13" s="1"/>
  <c r="C353" i="13"/>
  <c r="D402" i="13"/>
  <c r="V671" i="13"/>
  <c r="D671" i="13"/>
  <c r="C671" i="13" s="1"/>
  <c r="V544" i="13"/>
  <c r="D544" i="13"/>
  <c r="V525" i="13"/>
  <c r="D525" i="13"/>
  <c r="N1015" i="13"/>
  <c r="N859" i="13" s="1"/>
  <c r="N791" i="13"/>
  <c r="D281" i="13"/>
  <c r="C281" i="13" s="1"/>
  <c r="D1178" i="13"/>
  <c r="D1180" i="13"/>
  <c r="N788" i="13" l="1"/>
  <c r="C1178" i="13"/>
  <c r="C654" i="13"/>
  <c r="V402" i="13"/>
  <c r="C544" i="13"/>
  <c r="C525" i="13"/>
  <c r="C402" i="13"/>
  <c r="C1180" i="13"/>
  <c r="V447" i="13"/>
  <c r="J447" i="13"/>
  <c r="H447" i="13"/>
  <c r="V519" i="13"/>
  <c r="J519" i="13"/>
  <c r="H519" i="13"/>
  <c r="D761" i="13"/>
  <c r="C761" i="13" s="1"/>
  <c r="V299" i="13"/>
  <c r="D299" i="13"/>
  <c r="D815" i="13"/>
  <c r="V815" i="13"/>
  <c r="H861" i="13"/>
  <c r="G861" i="13"/>
  <c r="H983" i="13"/>
  <c r="G983" i="13"/>
  <c r="C653" i="13" l="1"/>
  <c r="V653" i="13" s="1"/>
  <c r="D447" i="13"/>
  <c r="C447" i="13" s="1"/>
  <c r="D519" i="13"/>
  <c r="C519" i="13" s="1"/>
  <c r="C299" i="13"/>
  <c r="C815" i="13"/>
  <c r="I723" i="13" l="1"/>
  <c r="I721" i="13" s="1"/>
  <c r="I388" i="13"/>
  <c r="E388" i="13"/>
  <c r="I387" i="13"/>
  <c r="H387" i="13"/>
  <c r="G387" i="13"/>
  <c r="G382" i="13" s="1"/>
  <c r="F387" i="13"/>
  <c r="E387" i="13"/>
  <c r="F408" i="13"/>
  <c r="F399" i="13" s="1"/>
  <c r="E287" i="13"/>
  <c r="E286" i="13" s="1"/>
  <c r="D750" i="13" l="1"/>
  <c r="I675" i="13"/>
  <c r="I674" i="13" s="1"/>
  <c r="I1184" i="13"/>
  <c r="I1183" i="13" s="1"/>
  <c r="I648" i="13"/>
  <c r="I647" i="13" s="1"/>
  <c r="I1108" i="13"/>
  <c r="I1107" i="13" s="1"/>
  <c r="I385" i="13"/>
  <c r="I384" i="13"/>
  <c r="I383" i="13"/>
  <c r="I809" i="13"/>
  <c r="I808" i="13" s="1"/>
  <c r="I807" i="13"/>
  <c r="I806" i="13" s="1"/>
  <c r="I791" i="13"/>
  <c r="I788" i="13" s="1"/>
  <c r="I342" i="13"/>
  <c r="I341" i="13" s="1"/>
  <c r="I331" i="13"/>
  <c r="I328" i="13" s="1"/>
  <c r="H1166" i="13"/>
  <c r="H1017" i="13"/>
  <c r="H936" i="13"/>
  <c r="H701" i="13"/>
  <c r="H690" i="13"/>
  <c r="H675" i="13"/>
  <c r="H674" i="13" s="1"/>
  <c r="H1184" i="13"/>
  <c r="H1183" i="13" s="1"/>
  <c r="H669" i="13"/>
  <c r="H666" i="13"/>
  <c r="H665" i="13"/>
  <c r="H664" i="13"/>
  <c r="H663" i="13"/>
  <c r="H662" i="13"/>
  <c r="H661" i="13"/>
  <c r="H660" i="13"/>
  <c r="H1154" i="13"/>
  <c r="H1151" i="13" s="1"/>
  <c r="H648" i="13"/>
  <c r="H647" i="13" s="1"/>
  <c r="H641" i="13"/>
  <c r="H642" i="13"/>
  <c r="H639" i="13"/>
  <c r="H1108" i="13"/>
  <c r="H1107" i="13" s="1"/>
  <c r="H1052" i="13"/>
  <c r="H1051" i="13"/>
  <c r="H1024" i="13"/>
  <c r="H1023" i="13"/>
  <c r="H978" i="13"/>
  <c r="H977" i="13"/>
  <c r="H892" i="13"/>
  <c r="H437" i="13"/>
  <c r="I677" i="13" l="1"/>
  <c r="H658" i="13"/>
  <c r="H635" i="13"/>
  <c r="I382" i="13"/>
  <c r="I285" i="13" s="1"/>
  <c r="C750" i="13"/>
  <c r="D751" i="13"/>
  <c r="H412" i="13"/>
  <c r="H411" i="13"/>
  <c r="H410" i="13"/>
  <c r="H408" i="13"/>
  <c r="H406" i="13"/>
  <c r="H405" i="13"/>
  <c r="H409" i="13"/>
  <c r="H403" i="13"/>
  <c r="H835" i="13"/>
  <c r="H831" i="13" s="1"/>
  <c r="H394" i="13"/>
  <c r="H389" i="13" s="1"/>
  <c r="H385" i="13"/>
  <c r="H384" i="13"/>
  <c r="H383" i="13"/>
  <c r="H809" i="13"/>
  <c r="H808" i="13" s="1"/>
  <c r="H807" i="13"/>
  <c r="H806" i="13" s="1"/>
  <c r="H379" i="13"/>
  <c r="H376" i="13"/>
  <c r="H375" i="13"/>
  <c r="H791" i="13"/>
  <c r="H373" i="13"/>
  <c r="H374" i="13"/>
  <c r="H372" i="13"/>
  <c r="H371" i="13"/>
  <c r="H369" i="13"/>
  <c r="H367" i="13"/>
  <c r="H342" i="13"/>
  <c r="H341" i="13" s="1"/>
  <c r="H331" i="13"/>
  <c r="H328" i="13" s="1"/>
  <c r="H734" i="13"/>
  <c r="H733" i="13" s="1"/>
  <c r="H723" i="13"/>
  <c r="H721" i="13" s="1"/>
  <c r="H687" i="13"/>
  <c r="H683" i="13" s="1"/>
  <c r="H288" i="13"/>
  <c r="H287" i="13"/>
  <c r="F675" i="13"/>
  <c r="F674" i="13" s="1"/>
  <c r="F1184" i="13"/>
  <c r="F1183" i="13" s="1"/>
  <c r="F1108" i="13"/>
  <c r="F1107" i="13" s="1"/>
  <c r="F385" i="13"/>
  <c r="F382" i="13" s="1"/>
  <c r="F807" i="13"/>
  <c r="F806" i="13" s="1"/>
  <c r="F791" i="13"/>
  <c r="F332" i="13"/>
  <c r="F292" i="13"/>
  <c r="F289" i="13" s="1"/>
  <c r="F788" i="13" l="1"/>
  <c r="H788" i="13"/>
  <c r="H382" i="13"/>
  <c r="H362" i="13"/>
  <c r="H286" i="13"/>
  <c r="H399" i="13"/>
  <c r="C751" i="13"/>
  <c r="G1163" i="13"/>
  <c r="G1166" i="13"/>
  <c r="G1017" i="13"/>
  <c r="G936" i="13"/>
  <c r="G816" i="13"/>
  <c r="G808" i="13" s="1"/>
  <c r="G803" i="13"/>
  <c r="G801" i="13"/>
  <c r="G799" i="13"/>
  <c r="G798" i="13"/>
  <c r="G793" i="13"/>
  <c r="G730" i="13"/>
  <c r="G706" i="13"/>
  <c r="G701" i="13"/>
  <c r="G1151" i="13" l="1"/>
  <c r="G1108" i="13"/>
  <c r="G1107" i="13" s="1"/>
  <c r="G1066" i="13"/>
  <c r="G1024" i="13"/>
  <c r="G1023" i="13"/>
  <c r="E292" i="13"/>
  <c r="E289" i="13" s="1"/>
  <c r="G687" i="13"/>
  <c r="G683" i="13" s="1"/>
  <c r="G892" i="13"/>
  <c r="V1090" i="13" l="1"/>
  <c r="D1090" i="13"/>
  <c r="U237" i="13"/>
  <c r="T237" i="13"/>
  <c r="S237" i="13"/>
  <c r="R237" i="13"/>
  <c r="Q237" i="13"/>
  <c r="P237" i="13"/>
  <c r="O237" i="13"/>
  <c r="N237" i="13"/>
  <c r="M237" i="13"/>
  <c r="L237" i="13"/>
  <c r="K237" i="13"/>
  <c r="H237" i="13"/>
  <c r="U120" i="13"/>
  <c r="T120" i="13"/>
  <c r="S120" i="13"/>
  <c r="Q120" i="13"/>
  <c r="O120" i="13"/>
  <c r="M120" i="13"/>
  <c r="K120" i="13"/>
  <c r="U118" i="13"/>
  <c r="T118" i="13"/>
  <c r="S118" i="13"/>
  <c r="R118" i="13"/>
  <c r="Q118" i="13"/>
  <c r="P118" i="13"/>
  <c r="O118" i="13"/>
  <c r="N118" i="13"/>
  <c r="M118" i="13"/>
  <c r="L118" i="13"/>
  <c r="K118" i="13"/>
  <c r="I118" i="13"/>
  <c r="G118" i="13"/>
  <c r="E118" i="13"/>
  <c r="U116" i="13"/>
  <c r="T116" i="13"/>
  <c r="S116" i="13"/>
  <c r="Q116" i="13"/>
  <c r="P116" i="13"/>
  <c r="O116" i="13"/>
  <c r="M116" i="13"/>
  <c r="L116" i="13"/>
  <c r="K116" i="13"/>
  <c r="U114" i="13"/>
  <c r="T114" i="13"/>
  <c r="S114" i="13"/>
  <c r="R114" i="13"/>
  <c r="Q114" i="13"/>
  <c r="P114" i="13"/>
  <c r="O114" i="13"/>
  <c r="N114" i="13"/>
  <c r="M114" i="13"/>
  <c r="L114" i="13"/>
  <c r="K114" i="13"/>
  <c r="J114" i="13"/>
  <c r="I114" i="13"/>
  <c r="H114" i="13"/>
  <c r="G114" i="13"/>
  <c r="F114" i="13"/>
  <c r="E114" i="13"/>
  <c r="U104" i="13"/>
  <c r="T104" i="13"/>
  <c r="S104" i="13"/>
  <c r="Q104" i="13"/>
  <c r="P104" i="13"/>
  <c r="O104" i="13"/>
  <c r="M104" i="13"/>
  <c r="L104" i="13"/>
  <c r="K104" i="13"/>
  <c r="T96" i="13"/>
  <c r="S96" i="13"/>
  <c r="Q96" i="13"/>
  <c r="P96" i="13"/>
  <c r="O96" i="13"/>
  <c r="M96" i="13"/>
  <c r="L96" i="13"/>
  <c r="K96" i="13"/>
  <c r="U89" i="13"/>
  <c r="T89" i="13"/>
  <c r="S89" i="13"/>
  <c r="R89" i="13"/>
  <c r="Q89" i="13"/>
  <c r="P89" i="13"/>
  <c r="O89" i="13"/>
  <c r="N89" i="13"/>
  <c r="M89" i="13"/>
  <c r="L89" i="13"/>
  <c r="K89" i="13"/>
  <c r="E89" i="13"/>
  <c r="U86" i="13"/>
  <c r="T86" i="13"/>
  <c r="S86" i="13"/>
  <c r="R86" i="13"/>
  <c r="Q86" i="13"/>
  <c r="P86" i="13"/>
  <c r="O86" i="13"/>
  <c r="N86" i="13"/>
  <c r="M86" i="13"/>
  <c r="L86" i="13"/>
  <c r="K86" i="13"/>
  <c r="I86" i="13"/>
  <c r="G86" i="13"/>
  <c r="F86" i="13"/>
  <c r="E86" i="13"/>
  <c r="T68" i="13"/>
  <c r="Q68" i="13"/>
  <c r="O68" i="13"/>
  <c r="M68" i="13"/>
  <c r="L68" i="13"/>
  <c r="K68" i="13"/>
  <c r="U66" i="13"/>
  <c r="T66" i="13"/>
  <c r="S66" i="13"/>
  <c r="R66" i="13"/>
  <c r="Q66" i="13"/>
  <c r="P66" i="13"/>
  <c r="O66" i="13"/>
  <c r="M66" i="13"/>
  <c r="L66" i="13"/>
  <c r="K66" i="13"/>
  <c r="J66" i="13"/>
  <c r="I66" i="13"/>
  <c r="H66" i="13"/>
  <c r="G66" i="13"/>
  <c r="F66" i="13"/>
  <c r="E66" i="13"/>
  <c r="U64" i="13"/>
  <c r="T64" i="13"/>
  <c r="S64" i="13"/>
  <c r="R64" i="13"/>
  <c r="Q64" i="13"/>
  <c r="P64" i="13"/>
  <c r="O64" i="13"/>
  <c r="N64" i="13"/>
  <c r="M64" i="13"/>
  <c r="L64" i="13"/>
  <c r="K64" i="13"/>
  <c r="J64" i="13"/>
  <c r="I64" i="13"/>
  <c r="H64" i="13"/>
  <c r="G64" i="13"/>
  <c r="F64" i="13"/>
  <c r="E64" i="13"/>
  <c r="U61" i="13"/>
  <c r="T61" i="13"/>
  <c r="S61" i="13"/>
  <c r="R61" i="13"/>
  <c r="Q61" i="13"/>
  <c r="P61" i="13"/>
  <c r="O61" i="13"/>
  <c r="N61" i="13"/>
  <c r="M61" i="13"/>
  <c r="L61" i="13"/>
  <c r="K61" i="13"/>
  <c r="J61" i="13"/>
  <c r="I61" i="13"/>
  <c r="H61" i="13"/>
  <c r="G61" i="13"/>
  <c r="F61" i="13"/>
  <c r="E61" i="13"/>
  <c r="U59" i="13"/>
  <c r="T59" i="13"/>
  <c r="S59" i="13"/>
  <c r="R59" i="13"/>
  <c r="Q59" i="13"/>
  <c r="P59" i="13"/>
  <c r="O59" i="13"/>
  <c r="N59" i="13"/>
  <c r="M59" i="13"/>
  <c r="L59" i="13"/>
  <c r="K59" i="13"/>
  <c r="I59" i="13"/>
  <c r="G59" i="13"/>
  <c r="F59" i="13"/>
  <c r="U57" i="13"/>
  <c r="T57" i="13"/>
  <c r="S57" i="13"/>
  <c r="R57" i="13"/>
  <c r="Q57" i="13"/>
  <c r="P57" i="13"/>
  <c r="O57" i="13"/>
  <c r="M57" i="13"/>
  <c r="L57" i="13"/>
  <c r="K57" i="13"/>
  <c r="J57" i="13"/>
  <c r="I57" i="13"/>
  <c r="H57" i="13"/>
  <c r="G57" i="13"/>
  <c r="F57" i="13"/>
  <c r="E57" i="13"/>
  <c r="U55" i="13"/>
  <c r="T55" i="13"/>
  <c r="S55" i="13"/>
  <c r="R55" i="13"/>
  <c r="Q55" i="13"/>
  <c r="P55" i="13"/>
  <c r="O55" i="13"/>
  <c r="N55" i="13"/>
  <c r="M55" i="13"/>
  <c r="L55" i="13"/>
  <c r="K55" i="13"/>
  <c r="J55" i="13"/>
  <c r="I55" i="13"/>
  <c r="H55" i="13"/>
  <c r="G55" i="13"/>
  <c r="F55" i="13"/>
  <c r="E55" i="13"/>
  <c r="U53" i="13"/>
  <c r="T53" i="13"/>
  <c r="S53" i="13"/>
  <c r="R53" i="13"/>
  <c r="Q53" i="13"/>
  <c r="P53" i="13"/>
  <c r="O53" i="13"/>
  <c r="N53" i="13"/>
  <c r="M53" i="13"/>
  <c r="L53" i="13"/>
  <c r="K53" i="13"/>
  <c r="J53" i="13"/>
  <c r="I53" i="13"/>
  <c r="H53" i="13"/>
  <c r="G53" i="13"/>
  <c r="F53" i="13"/>
  <c r="E53" i="13"/>
  <c r="U49" i="13"/>
  <c r="T49" i="13"/>
  <c r="S49" i="13"/>
  <c r="Q49" i="13"/>
  <c r="P49" i="13"/>
  <c r="O49" i="13"/>
  <c r="M49" i="13"/>
  <c r="L49" i="13"/>
  <c r="K49" i="13"/>
  <c r="J49" i="13"/>
  <c r="I49" i="13"/>
  <c r="H49" i="13"/>
  <c r="G49" i="13"/>
  <c r="F49" i="13"/>
  <c r="E49" i="13"/>
  <c r="U47" i="13"/>
  <c r="T47" i="13"/>
  <c r="S47" i="13"/>
  <c r="R47" i="13"/>
  <c r="Q47" i="13"/>
  <c r="P47" i="13"/>
  <c r="O47" i="13"/>
  <c r="N47" i="13"/>
  <c r="M47" i="13"/>
  <c r="L47" i="13"/>
  <c r="K47" i="13"/>
  <c r="J47" i="13"/>
  <c r="I47" i="13"/>
  <c r="H47" i="13"/>
  <c r="G47" i="13"/>
  <c r="F47" i="13"/>
  <c r="E47" i="13"/>
  <c r="U43" i="13"/>
  <c r="T43" i="13"/>
  <c r="S43" i="13"/>
  <c r="R43" i="13"/>
  <c r="Q43" i="13"/>
  <c r="P43" i="13"/>
  <c r="O43" i="13"/>
  <c r="N43" i="13"/>
  <c r="M43" i="13"/>
  <c r="L43" i="13"/>
  <c r="K43" i="13"/>
  <c r="J43" i="13"/>
  <c r="I43" i="13"/>
  <c r="H43" i="13"/>
  <c r="G43" i="13"/>
  <c r="F43" i="13"/>
  <c r="E43" i="13"/>
  <c r="U38" i="13"/>
  <c r="T38" i="13"/>
  <c r="S38" i="13"/>
  <c r="R38" i="13"/>
  <c r="Q38" i="13"/>
  <c r="P38" i="13"/>
  <c r="O38" i="13"/>
  <c r="M38" i="13"/>
  <c r="L38" i="13"/>
  <c r="K38" i="13"/>
  <c r="J38" i="13"/>
  <c r="I38" i="13"/>
  <c r="H38" i="13"/>
  <c r="G38" i="13"/>
  <c r="F38" i="13"/>
  <c r="E38" i="13"/>
  <c r="U35" i="13"/>
  <c r="T35" i="13"/>
  <c r="S35" i="13"/>
  <c r="R35" i="13"/>
  <c r="Q35" i="13"/>
  <c r="P35" i="13"/>
  <c r="O35" i="13"/>
  <c r="N35" i="13"/>
  <c r="M35" i="13"/>
  <c r="L35" i="13"/>
  <c r="K35" i="13"/>
  <c r="U30" i="13"/>
  <c r="T30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E30" i="13"/>
  <c r="U28" i="13"/>
  <c r="T28" i="13"/>
  <c r="S28" i="13"/>
  <c r="R28" i="13"/>
  <c r="Q28" i="13"/>
  <c r="P28" i="13"/>
  <c r="O28" i="13"/>
  <c r="N28" i="13"/>
  <c r="M28" i="13"/>
  <c r="L28" i="13"/>
  <c r="K28" i="13"/>
  <c r="E28" i="13"/>
  <c r="U26" i="13"/>
  <c r="T26" i="13"/>
  <c r="S26" i="13"/>
  <c r="R26" i="13"/>
  <c r="Q26" i="13"/>
  <c r="P26" i="13"/>
  <c r="O26" i="13"/>
  <c r="M26" i="13"/>
  <c r="L26" i="13"/>
  <c r="K26" i="13"/>
  <c r="J26" i="13"/>
  <c r="I26" i="13"/>
  <c r="H26" i="13"/>
  <c r="G26" i="13"/>
  <c r="F26" i="13"/>
  <c r="E26" i="13"/>
  <c r="U242" i="13"/>
  <c r="T242" i="13"/>
  <c r="S242" i="13"/>
  <c r="R242" i="13"/>
  <c r="Q242" i="13"/>
  <c r="P242" i="13"/>
  <c r="O242" i="13"/>
  <c r="N242" i="13"/>
  <c r="M242" i="13"/>
  <c r="L242" i="13"/>
  <c r="K242" i="13"/>
  <c r="J242" i="13"/>
  <c r="I242" i="13"/>
  <c r="H242" i="13"/>
  <c r="G242" i="13"/>
  <c r="F242" i="13"/>
  <c r="E242" i="13"/>
  <c r="U244" i="13"/>
  <c r="T244" i="13"/>
  <c r="S244" i="13"/>
  <c r="Q244" i="13"/>
  <c r="P244" i="13"/>
  <c r="O244" i="13"/>
  <c r="M244" i="13"/>
  <c r="L244" i="13"/>
  <c r="K244" i="13"/>
  <c r="U247" i="13"/>
  <c r="T247" i="13"/>
  <c r="S247" i="13"/>
  <c r="R247" i="13"/>
  <c r="Q247" i="13"/>
  <c r="P247" i="13"/>
  <c r="O247" i="13"/>
  <c r="N247" i="13"/>
  <c r="M247" i="13"/>
  <c r="L247" i="13"/>
  <c r="K247" i="13"/>
  <c r="J247" i="13"/>
  <c r="I247" i="13"/>
  <c r="H247" i="13"/>
  <c r="G247" i="13"/>
  <c r="F247" i="13"/>
  <c r="E247" i="13"/>
  <c r="U251" i="13"/>
  <c r="T251" i="13"/>
  <c r="S251" i="13"/>
  <c r="Q251" i="13"/>
  <c r="P251" i="13"/>
  <c r="O251" i="13"/>
  <c r="M251" i="13"/>
  <c r="L251" i="13"/>
  <c r="K251" i="13"/>
  <c r="U255" i="13"/>
  <c r="T255" i="13"/>
  <c r="S255" i="13"/>
  <c r="R255" i="13"/>
  <c r="Q255" i="13"/>
  <c r="P255" i="13"/>
  <c r="O255" i="13"/>
  <c r="N255" i="13"/>
  <c r="M255" i="13"/>
  <c r="L255" i="13"/>
  <c r="K255" i="13"/>
  <c r="J255" i="13"/>
  <c r="I255" i="13"/>
  <c r="H255" i="13"/>
  <c r="G255" i="13"/>
  <c r="F255" i="13"/>
  <c r="E255" i="13"/>
  <c r="U257" i="13"/>
  <c r="T257" i="13"/>
  <c r="S257" i="13"/>
  <c r="Q257" i="13"/>
  <c r="P257" i="13"/>
  <c r="O257" i="13"/>
  <c r="M257" i="13"/>
  <c r="L257" i="13"/>
  <c r="K257" i="13"/>
  <c r="J257" i="13"/>
  <c r="I257" i="13"/>
  <c r="H257" i="13"/>
  <c r="G257" i="13"/>
  <c r="F257" i="13"/>
  <c r="U259" i="13"/>
  <c r="T259" i="13"/>
  <c r="S259" i="13"/>
  <c r="R259" i="13"/>
  <c r="Q259" i="13"/>
  <c r="P259" i="13"/>
  <c r="O259" i="13"/>
  <c r="N259" i="13"/>
  <c r="M259" i="13"/>
  <c r="L259" i="13"/>
  <c r="K259" i="13"/>
  <c r="J259" i="13"/>
  <c r="I259" i="13"/>
  <c r="H259" i="13"/>
  <c r="G259" i="13"/>
  <c r="F259" i="13"/>
  <c r="E259" i="13"/>
  <c r="U262" i="13"/>
  <c r="T262" i="13"/>
  <c r="S262" i="13"/>
  <c r="R262" i="13"/>
  <c r="Q262" i="13"/>
  <c r="P262" i="13"/>
  <c r="O262" i="13"/>
  <c r="N262" i="13"/>
  <c r="M262" i="13"/>
  <c r="L262" i="13"/>
  <c r="K262" i="13"/>
  <c r="J262" i="13"/>
  <c r="I262" i="13"/>
  <c r="H262" i="13"/>
  <c r="G262" i="13"/>
  <c r="F262" i="13"/>
  <c r="E262" i="13"/>
  <c r="U264" i="13"/>
  <c r="T264" i="13"/>
  <c r="S264" i="13"/>
  <c r="R264" i="13"/>
  <c r="Q264" i="13"/>
  <c r="P264" i="13"/>
  <c r="O264" i="13"/>
  <c r="M264" i="13"/>
  <c r="L264" i="13"/>
  <c r="K264" i="13"/>
  <c r="J264" i="13"/>
  <c r="I264" i="13"/>
  <c r="H264" i="13"/>
  <c r="G264" i="13"/>
  <c r="F264" i="13"/>
  <c r="E264" i="13"/>
  <c r="U266" i="13"/>
  <c r="T266" i="13"/>
  <c r="S266" i="13"/>
  <c r="R266" i="13"/>
  <c r="Q266" i="13"/>
  <c r="P266" i="13"/>
  <c r="O266" i="13"/>
  <c r="N266" i="13"/>
  <c r="M266" i="13"/>
  <c r="L266" i="13"/>
  <c r="K266" i="13"/>
  <c r="J266" i="13"/>
  <c r="I266" i="13"/>
  <c r="H266" i="13"/>
  <c r="G266" i="13"/>
  <c r="U268" i="13"/>
  <c r="T268" i="13"/>
  <c r="S268" i="13"/>
  <c r="R268" i="13"/>
  <c r="Q268" i="13"/>
  <c r="P268" i="13"/>
  <c r="O268" i="13"/>
  <c r="M268" i="13"/>
  <c r="L268" i="13"/>
  <c r="K268" i="13"/>
  <c r="J268" i="13"/>
  <c r="I268" i="13"/>
  <c r="H268" i="13"/>
  <c r="G268" i="13"/>
  <c r="F268" i="13"/>
  <c r="E268" i="13"/>
  <c r="U270" i="13"/>
  <c r="T270" i="13"/>
  <c r="S270" i="13"/>
  <c r="Q270" i="13"/>
  <c r="P270" i="13"/>
  <c r="O270" i="13"/>
  <c r="M270" i="13"/>
  <c r="L270" i="13"/>
  <c r="K270" i="13"/>
  <c r="J270" i="13"/>
  <c r="I270" i="13"/>
  <c r="H270" i="13"/>
  <c r="G270" i="13"/>
  <c r="F270" i="13"/>
  <c r="E270" i="13"/>
  <c r="M10" i="13" l="1"/>
  <c r="M8" i="13" s="1"/>
  <c r="Q10" i="13"/>
  <c r="Q8" i="13" s="1"/>
  <c r="U10" i="13"/>
  <c r="U8" i="13" s="1"/>
  <c r="K10" i="13"/>
  <c r="K8" i="13" s="1"/>
  <c r="T10" i="13"/>
  <c r="T8" i="13" s="1"/>
  <c r="O10" i="13"/>
  <c r="O8" i="13" s="1"/>
  <c r="C1090" i="13"/>
  <c r="V463" i="13"/>
  <c r="J463" i="13"/>
  <c r="N368" i="13"/>
  <c r="D463" i="13" l="1"/>
  <c r="N674" i="13"/>
  <c r="G675" i="13"/>
  <c r="G674" i="13" s="1"/>
  <c r="C463" i="13" l="1"/>
  <c r="V1179" i="13"/>
  <c r="V675" i="13"/>
  <c r="D675" i="13"/>
  <c r="D674" i="13" s="1"/>
  <c r="D1179" i="13"/>
  <c r="D1177" i="13" s="1"/>
  <c r="D673" i="13"/>
  <c r="D672" i="13" s="1"/>
  <c r="D13" i="13"/>
  <c r="C13" i="13" s="1"/>
  <c r="V13" i="13"/>
  <c r="N57" i="13"/>
  <c r="V673" i="13" l="1"/>
  <c r="N672" i="13"/>
  <c r="C675" i="13"/>
  <c r="C674" i="13" s="1"/>
  <c r="C1179" i="13"/>
  <c r="C1177" i="13" s="1"/>
  <c r="C673" i="13"/>
  <c r="C672" i="13" s="1"/>
  <c r="V759" i="13"/>
  <c r="P720" i="13"/>
  <c r="P719" i="13" s="1"/>
  <c r="V295" i="13"/>
  <c r="V294" i="13"/>
  <c r="V681" i="13"/>
  <c r="V670" i="13"/>
  <c r="V281" i="13"/>
  <c r="V278" i="13"/>
  <c r="V277" i="13"/>
  <c r="V276" i="13"/>
  <c r="V279" i="13"/>
  <c r="V275" i="13"/>
  <c r="V274" i="13"/>
  <c r="V273" i="13"/>
  <c r="V272" i="13"/>
  <c r="V271" i="13"/>
  <c r="V656" i="13"/>
  <c r="V263" i="13"/>
  <c r="V261" i="13"/>
  <c r="V260" i="13"/>
  <c r="V256" i="13"/>
  <c r="V250" i="13"/>
  <c r="V249" i="13"/>
  <c r="V248" i="13"/>
  <c r="V243" i="13"/>
  <c r="V241" i="13"/>
  <c r="V240" i="13"/>
  <c r="V239" i="13"/>
  <c r="V238" i="13"/>
  <c r="V236" i="13"/>
  <c r="V235" i="13"/>
  <c r="V234" i="13"/>
  <c r="V232" i="13"/>
  <c r="V604" i="13"/>
  <c r="V231" i="13"/>
  <c r="V603" i="13"/>
  <c r="V229" i="13"/>
  <c r="V227" i="13"/>
  <c r="V226" i="13"/>
  <c r="V224" i="13"/>
  <c r="V223" i="13"/>
  <c r="V222" i="13"/>
  <c r="V591" i="13"/>
  <c r="V219" i="13"/>
  <c r="V218" i="13"/>
  <c r="V1052" i="13"/>
  <c r="V1051" i="13"/>
  <c r="V587" i="13"/>
  <c r="V586" i="13"/>
  <c r="V585" i="13"/>
  <c r="V217" i="13"/>
  <c r="V216" i="13"/>
  <c r="V215" i="13"/>
  <c r="V575" i="13"/>
  <c r="V212" i="13"/>
  <c r="V569" i="13"/>
  <c r="V211" i="13"/>
  <c r="V210" i="13"/>
  <c r="V209" i="13"/>
  <c r="V1015" i="13"/>
  <c r="V208" i="13"/>
  <c r="V207" i="13"/>
  <c r="V205" i="13"/>
  <c r="V204" i="13"/>
  <c r="V547" i="13"/>
  <c r="V545" i="13"/>
  <c r="V203" i="13"/>
  <c r="V202" i="13"/>
  <c r="V201" i="13"/>
  <c r="V540" i="13"/>
  <c r="V200" i="13"/>
  <c r="V539" i="13"/>
  <c r="V538" i="13"/>
  <c r="V981" i="13"/>
  <c r="V980" i="13"/>
  <c r="V530" i="13"/>
  <c r="V978" i="13"/>
  <c r="V977" i="13"/>
  <c r="V528" i="13"/>
  <c r="V196" i="13"/>
  <c r="V195" i="13"/>
  <c r="V194" i="13"/>
  <c r="V193" i="13"/>
  <c r="V192" i="13"/>
  <c r="V191" i="13"/>
  <c r="V190" i="13"/>
  <c r="V189" i="13"/>
  <c r="V188" i="13"/>
  <c r="V503" i="13"/>
  <c r="V502" i="13"/>
  <c r="V186" i="13"/>
  <c r="V185" i="13"/>
  <c r="V500" i="13"/>
  <c r="V183" i="13"/>
  <c r="V182" i="13"/>
  <c r="V181" i="13"/>
  <c r="V180" i="13"/>
  <c r="V179" i="13"/>
  <c r="V178" i="13"/>
  <c r="V177" i="13"/>
  <c r="V176" i="13"/>
  <c r="V467" i="13"/>
  <c r="V175" i="13"/>
  <c r="V465" i="13"/>
  <c r="V464" i="13"/>
  <c r="V174" i="13"/>
  <c r="V173" i="13"/>
  <c r="V172" i="13"/>
  <c r="V171" i="13"/>
  <c r="V170" i="13"/>
  <c r="V169" i="13"/>
  <c r="V168" i="13"/>
  <c r="V455" i="13"/>
  <c r="V167" i="13"/>
  <c r="V166" i="13"/>
  <c r="V163" i="13"/>
  <c r="V162" i="13"/>
  <c r="V161" i="13"/>
  <c r="V160" i="13"/>
  <c r="V159" i="13"/>
  <c r="V158" i="13"/>
  <c r="V157" i="13"/>
  <c r="V895" i="13"/>
  <c r="V155" i="13"/>
  <c r="V154" i="13"/>
  <c r="V153" i="13"/>
  <c r="V152" i="13"/>
  <c r="V151" i="13"/>
  <c r="V150" i="13"/>
  <c r="V149" i="13"/>
  <c r="V148" i="13"/>
  <c r="V147" i="13"/>
  <c r="V142" i="13"/>
  <c r="V141" i="13"/>
  <c r="V879" i="13"/>
  <c r="V878" i="13"/>
  <c r="V140" i="13"/>
  <c r="V139" i="13"/>
  <c r="V138" i="13"/>
  <c r="V137" i="13"/>
  <c r="V136" i="13"/>
  <c r="V135" i="13"/>
  <c r="V134" i="13"/>
  <c r="V133" i="13"/>
  <c r="V132" i="13"/>
  <c r="V131" i="13"/>
  <c r="V866" i="13"/>
  <c r="V428" i="13"/>
  <c r="V865" i="13"/>
  <c r="V127" i="13"/>
  <c r="V126" i="13"/>
  <c r="V125" i="13"/>
  <c r="V124" i="13"/>
  <c r="V122" i="13"/>
  <c r="V121" i="13"/>
  <c r="V119" i="13"/>
  <c r="V113" i="13"/>
  <c r="V112" i="13"/>
  <c r="V111" i="13"/>
  <c r="V110" i="13"/>
  <c r="V109" i="13"/>
  <c r="V108" i="13"/>
  <c r="V103" i="13"/>
  <c r="V101" i="13"/>
  <c r="V97" i="13"/>
  <c r="V100" i="13"/>
  <c r="V98" i="13"/>
  <c r="V95" i="13"/>
  <c r="V94" i="13"/>
  <c r="V93" i="13"/>
  <c r="V92" i="13"/>
  <c r="V91" i="13"/>
  <c r="V90" i="13"/>
  <c r="V88" i="13"/>
  <c r="V87" i="13"/>
  <c r="V85" i="13"/>
  <c r="V80" i="13"/>
  <c r="V365" i="13"/>
  <c r="V363" i="13"/>
  <c r="V63" i="13"/>
  <c r="V62" i="13"/>
  <c r="V58" i="13"/>
  <c r="V56" i="13"/>
  <c r="V52" i="13"/>
  <c r="V50" i="13"/>
  <c r="V48" i="13"/>
  <c r="V44" i="13"/>
  <c r="V39" i="13"/>
  <c r="V739" i="13"/>
  <c r="V37" i="13"/>
  <c r="V36" i="13"/>
  <c r="V325" i="13"/>
  <c r="V731" i="13"/>
  <c r="V34" i="13"/>
  <c r="V32" i="13"/>
  <c r="V31" i="13"/>
  <c r="V720" i="13"/>
  <c r="V29" i="13"/>
  <c r="V20" i="13"/>
  <c r="V19" i="13"/>
  <c r="V18" i="13"/>
  <c r="V15" i="13"/>
  <c r="V14" i="13"/>
  <c r="V17" i="13"/>
  <c r="V12" i="13"/>
  <c r="V674" i="13" l="1"/>
  <c r="V1177" i="13"/>
  <c r="V680" i="13"/>
  <c r="V1094" i="13"/>
  <c r="V1093" i="13"/>
  <c r="V1092" i="13"/>
  <c r="V1091" i="13"/>
  <c r="V998" i="13"/>
  <c r="V985" i="13"/>
  <c r="V906" i="13"/>
  <c r="V845" i="13"/>
  <c r="V844" i="13"/>
  <c r="V800" i="13"/>
  <c r="V745" i="13"/>
  <c r="V704" i="13"/>
  <c r="V698" i="13"/>
  <c r="V696" i="13"/>
  <c r="V685" i="13"/>
  <c r="V1077" i="13"/>
  <c r="V546" i="13"/>
  <c r="V537" i="13"/>
  <c r="V415" i="13"/>
  <c r="V414" i="13"/>
  <c r="V411" i="13"/>
  <c r="V406" i="13"/>
  <c r="V395" i="13"/>
  <c r="V351" i="13"/>
  <c r="V350" i="13"/>
  <c r="V308" i="13"/>
  <c r="V305" i="13"/>
  <c r="V304" i="13"/>
  <c r="N303" i="13"/>
  <c r="V303" i="13" s="1"/>
  <c r="V300" i="13"/>
  <c r="V298" i="13"/>
  <c r="V687" i="13"/>
  <c r="V290" i="13"/>
  <c r="N686" i="13"/>
  <c r="N683" i="13" s="1"/>
  <c r="V297" i="13"/>
  <c r="V296" i="13"/>
  <c r="V292" i="13"/>
  <c r="V291" i="13"/>
  <c r="N301" i="13"/>
  <c r="V301" i="13" s="1"/>
  <c r="N302" i="13"/>
  <c r="V302" i="13" s="1"/>
  <c r="N310" i="13"/>
  <c r="N309" i="13" s="1"/>
  <c r="V314" i="13"/>
  <c r="V317" i="13"/>
  <c r="V316" i="13"/>
  <c r="V322" i="13"/>
  <c r="N321" i="13"/>
  <c r="N320" i="13" s="1"/>
  <c r="V330" i="13"/>
  <c r="V335" i="13"/>
  <c r="V334" i="13"/>
  <c r="V333" i="13"/>
  <c r="V340" i="13"/>
  <c r="V345" i="13"/>
  <c r="N347" i="13"/>
  <c r="N346" i="13" s="1"/>
  <c r="V355" i="13"/>
  <c r="V780" i="13"/>
  <c r="V779" i="13"/>
  <c r="V358" i="13"/>
  <c r="N360" i="13"/>
  <c r="V374" i="13"/>
  <c r="V372" i="13"/>
  <c r="V371" i="13"/>
  <c r="V369" i="13"/>
  <c r="V368" i="13"/>
  <c r="V377" i="13"/>
  <c r="V381" i="13"/>
  <c r="V380" i="13"/>
  <c r="V379" i="13"/>
  <c r="V378" i="13"/>
  <c r="V376" i="13"/>
  <c r="V375" i="13"/>
  <c r="V386" i="13"/>
  <c r="V813" i="13"/>
  <c r="V812" i="13"/>
  <c r="V385" i="13"/>
  <c r="V384" i="13"/>
  <c r="V383" i="13"/>
  <c r="N809" i="13"/>
  <c r="N808" i="13" s="1"/>
  <c r="V392" i="13"/>
  <c r="N393" i="13"/>
  <c r="N394" i="13"/>
  <c r="V394" i="13" s="1"/>
  <c r="V396" i="13"/>
  <c r="N828" i="13"/>
  <c r="N827" i="13" s="1"/>
  <c r="N403" i="13"/>
  <c r="V403" i="13" s="1"/>
  <c r="V408" i="13"/>
  <c r="V407" i="13"/>
  <c r="V413" i="13"/>
  <c r="V412" i="13"/>
  <c r="V422" i="13"/>
  <c r="N431" i="13"/>
  <c r="V431" i="13" s="1"/>
  <c r="V871" i="13"/>
  <c r="V430" i="13"/>
  <c r="V429" i="13"/>
  <c r="N427" i="13"/>
  <c r="V427" i="13" s="1"/>
  <c r="N426" i="13"/>
  <c r="V426" i="13" s="1"/>
  <c r="N438" i="13"/>
  <c r="V438" i="13" s="1"/>
  <c r="V437" i="13"/>
  <c r="V436" i="13"/>
  <c r="V435" i="13"/>
  <c r="V434" i="13"/>
  <c r="V433" i="13"/>
  <c r="V432" i="13"/>
  <c r="V446" i="13"/>
  <c r="V445" i="13"/>
  <c r="N444" i="13"/>
  <c r="V444" i="13" s="1"/>
  <c r="V443" i="13"/>
  <c r="V442" i="13"/>
  <c r="V441" i="13"/>
  <c r="V440" i="13"/>
  <c r="V450" i="13"/>
  <c r="N449" i="13"/>
  <c r="V449" i="13" s="1"/>
  <c r="N448" i="13"/>
  <c r="V448" i="13" s="1"/>
  <c r="V454" i="13"/>
  <c r="V453" i="13"/>
  <c r="V908" i="13"/>
  <c r="N452" i="13"/>
  <c r="V452" i="13" s="1"/>
  <c r="N451" i="13"/>
  <c r="V451" i="13" s="1"/>
  <c r="V469" i="13"/>
  <c r="N468" i="13"/>
  <c r="V468" i="13" s="1"/>
  <c r="V485" i="13"/>
  <c r="V484" i="13"/>
  <c r="V483" i="13"/>
  <c r="V482" i="13"/>
  <c r="V481" i="13"/>
  <c r="V480" i="13"/>
  <c r="V479" i="13"/>
  <c r="V478" i="13"/>
  <c r="V477" i="13"/>
  <c r="V476" i="13"/>
  <c r="V475" i="13"/>
  <c r="V474" i="13"/>
  <c r="V473" i="13"/>
  <c r="V472" i="13"/>
  <c r="V471" i="13"/>
  <c r="V495" i="13"/>
  <c r="V490" i="13"/>
  <c r="V489" i="13"/>
  <c r="N488" i="13"/>
  <c r="V488" i="13" s="1"/>
  <c r="V494" i="13"/>
  <c r="V493" i="13"/>
  <c r="V492" i="13"/>
  <c r="V491" i="13"/>
  <c r="V933" i="13"/>
  <c r="N487" i="13"/>
  <c r="V487" i="13" s="1"/>
  <c r="V486" i="13"/>
  <c r="V470" i="13"/>
  <c r="V506" i="13"/>
  <c r="V510" i="13"/>
  <c r="V509" i="13"/>
  <c r="V501" i="13"/>
  <c r="V951" i="13"/>
  <c r="N499" i="13"/>
  <c r="V499" i="13" s="1"/>
  <c r="V498" i="13"/>
  <c r="V524" i="13"/>
  <c r="V523" i="13"/>
  <c r="V522" i="13"/>
  <c r="V520" i="13"/>
  <c r="N518" i="13"/>
  <c r="V518" i="13" s="1"/>
  <c r="V517" i="13"/>
  <c r="V516" i="13"/>
  <c r="V515" i="13"/>
  <c r="V514" i="13"/>
  <c r="V513" i="13"/>
  <c r="V512" i="13"/>
  <c r="V511" i="13"/>
  <c r="V508" i="13"/>
  <c r="V507" i="13"/>
  <c r="V536" i="13"/>
  <c r="V535" i="13"/>
  <c r="V534" i="13"/>
  <c r="V533" i="13"/>
  <c r="V532" i="13"/>
  <c r="V531" i="13"/>
  <c r="V983" i="13"/>
  <c r="V527" i="13"/>
  <c r="V526" i="13"/>
  <c r="N543" i="13"/>
  <c r="V543" i="13" s="1"/>
  <c r="N542" i="13"/>
  <c r="V542" i="13" s="1"/>
  <c r="V541" i="13"/>
  <c r="V554" i="13"/>
  <c r="V552" i="13"/>
  <c r="V551" i="13"/>
  <c r="V548" i="13"/>
  <c r="V1008" i="13"/>
  <c r="N556" i="13"/>
  <c r="V556" i="13" s="1"/>
  <c r="V555" i="13"/>
  <c r="V564" i="13"/>
  <c r="V563" i="13"/>
  <c r="V562" i="13"/>
  <c r="V561" i="13"/>
  <c r="V560" i="13"/>
  <c r="V559" i="13"/>
  <c r="V558" i="13"/>
  <c r="V557" i="13"/>
  <c r="V566" i="13"/>
  <c r="V584" i="13"/>
  <c r="V583" i="13"/>
  <c r="N582" i="13"/>
  <c r="V582" i="13" s="1"/>
  <c r="N581" i="13"/>
  <c r="V581" i="13" s="1"/>
  <c r="V580" i="13"/>
  <c r="N576" i="13"/>
  <c r="V576" i="13" s="1"/>
  <c r="V579" i="13"/>
  <c r="V578" i="13"/>
  <c r="V577" i="13"/>
  <c r="V573" i="13"/>
  <c r="V572" i="13"/>
  <c r="V571" i="13"/>
  <c r="V570" i="13"/>
  <c r="V1031" i="13"/>
  <c r="V568" i="13"/>
  <c r="V567" i="13"/>
  <c r="V593" i="13"/>
  <c r="V1055" i="13"/>
  <c r="V592" i="13"/>
  <c r="N598" i="13"/>
  <c r="V598" i="13" s="1"/>
  <c r="N614" i="13"/>
  <c r="V614" i="13" s="1"/>
  <c r="N613" i="13"/>
  <c r="V613" i="13" s="1"/>
  <c r="N612" i="13"/>
  <c r="V612" i="13" s="1"/>
  <c r="V611" i="13"/>
  <c r="V605" i="13"/>
  <c r="V608" i="13"/>
  <c r="V607" i="13"/>
  <c r="V606" i="13"/>
  <c r="V602" i="13"/>
  <c r="V1066" i="13"/>
  <c r="V600" i="13"/>
  <c r="V1065" i="13"/>
  <c r="V599" i="13"/>
  <c r="V626" i="13"/>
  <c r="V625" i="13"/>
  <c r="N624" i="13"/>
  <c r="V623" i="13"/>
  <c r="V622" i="13"/>
  <c r="V610" i="13"/>
  <c r="V609" i="13"/>
  <c r="V621" i="13"/>
  <c r="V620" i="13"/>
  <c r="V619" i="13"/>
  <c r="V618" i="13"/>
  <c r="V617" i="13"/>
  <c r="V616" i="13"/>
  <c r="V615" i="13"/>
  <c r="N1108" i="13"/>
  <c r="N1107" i="13" s="1"/>
  <c r="V629" i="13"/>
  <c r="V634" i="13"/>
  <c r="N632" i="13"/>
  <c r="V640" i="13"/>
  <c r="V638" i="13"/>
  <c r="V1124" i="13"/>
  <c r="V637" i="13"/>
  <c r="V644" i="13"/>
  <c r="V1132" i="13"/>
  <c r="V646" i="13"/>
  <c r="V649" i="13"/>
  <c r="V650" i="13"/>
  <c r="N652" i="13"/>
  <c r="N651" i="13" s="1"/>
  <c r="V1160" i="13"/>
  <c r="N664" i="13"/>
  <c r="V664" i="13" s="1"/>
  <c r="N663" i="13"/>
  <c r="V663" i="13" s="1"/>
  <c r="N662" i="13"/>
  <c r="V662" i="13" s="1"/>
  <c r="V661" i="13"/>
  <c r="V660" i="13"/>
  <c r="V669" i="13"/>
  <c r="V668" i="13"/>
  <c r="V667" i="13"/>
  <c r="V666" i="13"/>
  <c r="V682" i="13"/>
  <c r="V689" i="13"/>
  <c r="V691" i="13"/>
  <c r="V697" i="13"/>
  <c r="V703" i="13"/>
  <c r="V701" i="13"/>
  <c r="V709" i="13"/>
  <c r="V708" i="13"/>
  <c r="V705" i="13"/>
  <c r="V707" i="13"/>
  <c r="V714" i="13"/>
  <c r="V718" i="13"/>
  <c r="V730" i="13"/>
  <c r="V729" i="13"/>
  <c r="V743" i="13"/>
  <c r="V744" i="13"/>
  <c r="V758" i="13"/>
  <c r="V782" i="13"/>
  <c r="V783" i="13"/>
  <c r="V799" i="13"/>
  <c r="V798" i="13"/>
  <c r="V797" i="13"/>
  <c r="V795" i="13"/>
  <c r="V794" i="13"/>
  <c r="V793" i="13"/>
  <c r="V805" i="13"/>
  <c r="V804" i="13"/>
  <c r="V803" i="13"/>
  <c r="V802" i="13"/>
  <c r="V801" i="13"/>
  <c r="V817" i="13"/>
  <c r="V816" i="13"/>
  <c r="V826" i="13"/>
  <c r="V822" i="13"/>
  <c r="V823" i="13"/>
  <c r="V838" i="13"/>
  <c r="V841" i="13"/>
  <c r="V847" i="13"/>
  <c r="V846" i="13"/>
  <c r="V853" i="13"/>
  <c r="V856" i="13"/>
  <c r="V875" i="13"/>
  <c r="V873" i="13"/>
  <c r="V870" i="13"/>
  <c r="V869" i="13"/>
  <c r="V868" i="13"/>
  <c r="V884" i="13"/>
  <c r="V883" i="13"/>
  <c r="V880" i="13"/>
  <c r="V877" i="13"/>
  <c r="V891" i="13"/>
  <c r="V890" i="13"/>
  <c r="V889" i="13"/>
  <c r="V888" i="13"/>
  <c r="V887" i="13"/>
  <c r="V1114" i="13"/>
  <c r="V1113" i="13"/>
  <c r="V886" i="13"/>
  <c r="V885" i="13"/>
  <c r="V903" i="13"/>
  <c r="V902" i="13"/>
  <c r="V901" i="13"/>
  <c r="V900" i="13"/>
  <c r="V899" i="13"/>
  <c r="V897" i="13"/>
  <c r="V896" i="13"/>
  <c r="V910" i="13"/>
  <c r="V909" i="13"/>
  <c r="V920" i="13"/>
  <c r="V907" i="13"/>
  <c r="V925" i="13"/>
  <c r="V924" i="13"/>
  <c r="V923" i="13"/>
  <c r="V919" i="13"/>
  <c r="V918" i="13"/>
  <c r="V917" i="13"/>
  <c r="V916" i="13"/>
  <c r="V915" i="13"/>
  <c r="V914" i="13"/>
  <c r="V913" i="13"/>
  <c r="V912" i="13"/>
  <c r="V911" i="13"/>
  <c r="V934" i="13"/>
  <c r="V930" i="13"/>
  <c r="V929" i="13"/>
  <c r="V928" i="13"/>
  <c r="V943" i="13"/>
  <c r="V942" i="13"/>
  <c r="V941" i="13"/>
  <c r="V940" i="13"/>
  <c r="V939" i="13"/>
  <c r="V936" i="13"/>
  <c r="V935" i="13"/>
  <c r="V955" i="13"/>
  <c r="V956" i="13"/>
  <c r="V954" i="13"/>
  <c r="V952" i="13"/>
  <c r="V949" i="13"/>
  <c r="V946" i="13"/>
  <c r="V948" i="13"/>
  <c r="V944" i="13"/>
  <c r="V964" i="13"/>
  <c r="V961" i="13"/>
  <c r="V960" i="13"/>
  <c r="V959" i="13"/>
  <c r="V958" i="13"/>
  <c r="V963" i="13"/>
  <c r="V962" i="13"/>
  <c r="V957" i="13"/>
  <c r="V972" i="13"/>
  <c r="V970" i="13"/>
  <c r="V969" i="13"/>
  <c r="V971" i="13"/>
  <c r="V968" i="13"/>
  <c r="V984" i="13"/>
  <c r="V982" i="13"/>
  <c r="V979" i="13"/>
  <c r="V976" i="13"/>
  <c r="V975" i="13"/>
  <c r="V974" i="13"/>
  <c r="V973" i="13"/>
  <c r="V987" i="13"/>
  <c r="V997" i="13"/>
  <c r="V996" i="13"/>
  <c r="V994" i="13"/>
  <c r="V990" i="13"/>
  <c r="V989" i="13"/>
  <c r="V988" i="13"/>
  <c r="V1009" i="13"/>
  <c r="V1013" i="13"/>
  <c r="V1012" i="13"/>
  <c r="V1010" i="13"/>
  <c r="V1006" i="13"/>
  <c r="V863" i="13"/>
  <c r="V1000" i="13"/>
  <c r="V999" i="13"/>
  <c r="V1020" i="13"/>
  <c r="V1017" i="13"/>
  <c r="V1022" i="13"/>
  <c r="V1027" i="13"/>
  <c r="V1026" i="13"/>
  <c r="V1025" i="13"/>
  <c r="V1028" i="13"/>
  <c r="V1037" i="13"/>
  <c r="V1036" i="13"/>
  <c r="V1035" i="13"/>
  <c r="V1034" i="13"/>
  <c r="V1033" i="13"/>
  <c r="V1030" i="13"/>
  <c r="V1029" i="13"/>
  <c r="V1057" i="13"/>
  <c r="V1056" i="13"/>
  <c r="V1058" i="13"/>
  <c r="V1047" i="13"/>
  <c r="V1045" i="13"/>
  <c r="V1040" i="13"/>
  <c r="V1039" i="13"/>
  <c r="V1044" i="13"/>
  <c r="V1043" i="13"/>
  <c r="V1042" i="13"/>
  <c r="V1041" i="13"/>
  <c r="V1068" i="13"/>
  <c r="V1073" i="13"/>
  <c r="V1072" i="13"/>
  <c r="V1063" i="13"/>
  <c r="V1086" i="13"/>
  <c r="V1085" i="13"/>
  <c r="V1084" i="13"/>
  <c r="V1083" i="13"/>
  <c r="V1082" i="13"/>
  <c r="V1081" i="13"/>
  <c r="V1080" i="13"/>
  <c r="V1079" i="13"/>
  <c r="V1078" i="13"/>
  <c r="V1102" i="13"/>
  <c r="V1101" i="13"/>
  <c r="V1100" i="13"/>
  <c r="V1099" i="13"/>
  <c r="V1098" i="13"/>
  <c r="V1097" i="13"/>
  <c r="V1096" i="13"/>
  <c r="V1095" i="13"/>
  <c r="V1120" i="13"/>
  <c r="V1119" i="13"/>
  <c r="V641" i="13"/>
  <c r="V1123" i="13"/>
  <c r="V1133" i="13"/>
  <c r="V1144" i="13"/>
  <c r="V1168" i="13"/>
  <c r="V1167" i="13"/>
  <c r="V1176" i="13"/>
  <c r="V1173" i="13"/>
  <c r="V1172" i="13"/>
  <c r="V1171" i="13"/>
  <c r="V1170" i="13"/>
  <c r="V1165" i="13"/>
  <c r="V1164" i="13"/>
  <c r="V1182" i="13"/>
  <c r="V1169" i="13"/>
  <c r="V1148" i="13"/>
  <c r="V1137" i="13"/>
  <c r="V1111" i="13"/>
  <c r="V1104" i="13"/>
  <c r="V1089" i="13"/>
  <c r="V1070" i="13"/>
  <c r="V1069" i="13"/>
  <c r="V1062" i="13"/>
  <c r="V1018" i="13"/>
  <c r="V967" i="13"/>
  <c r="V966" i="13"/>
  <c r="V926" i="13"/>
  <c r="V876" i="13"/>
  <c r="V864" i="13"/>
  <c r="V848" i="13"/>
  <c r="V834" i="13"/>
  <c r="V832" i="13"/>
  <c r="V755" i="13"/>
  <c r="V740" i="13"/>
  <c r="V738" i="13"/>
  <c r="V724" i="13"/>
  <c r="V722" i="13"/>
  <c r="V716" i="13"/>
  <c r="V706" i="13"/>
  <c r="V695" i="13"/>
  <c r="V690" i="13"/>
  <c r="V688" i="13"/>
  <c r="V643" i="13"/>
  <c r="V642" i="13"/>
  <c r="V597" i="13"/>
  <c r="V596" i="13"/>
  <c r="V595" i="13"/>
  <c r="V594" i="13"/>
  <c r="V589" i="13"/>
  <c r="V565" i="13"/>
  <c r="V1024" i="13"/>
  <c r="V1023" i="13"/>
  <c r="V553" i="13"/>
  <c r="V497" i="13"/>
  <c r="V922" i="13"/>
  <c r="V892" i="13"/>
  <c r="V893" i="13"/>
  <c r="V882" i="13"/>
  <c r="V881" i="13"/>
  <c r="V872" i="13"/>
  <c r="V861" i="13"/>
  <c r="V417" i="13"/>
  <c r="V410" i="13"/>
  <c r="V405" i="13"/>
  <c r="V400" i="13"/>
  <c r="V388" i="13"/>
  <c r="V387" i="13"/>
  <c r="V366" i="13"/>
  <c r="V359" i="13"/>
  <c r="V357" i="13"/>
  <c r="V332" i="13"/>
  <c r="V327" i="13"/>
  <c r="V326" i="13"/>
  <c r="V319" i="13"/>
  <c r="V312" i="13"/>
  <c r="V307" i="13"/>
  <c r="V306" i="13"/>
  <c r="R713" i="13"/>
  <c r="R712" i="13" s="1"/>
  <c r="R685" i="13"/>
  <c r="R683" i="13" s="1"/>
  <c r="R682" i="13"/>
  <c r="R679" i="13"/>
  <c r="R1160" i="13"/>
  <c r="R1151" i="13" s="1"/>
  <c r="R652" i="13"/>
  <c r="R651" i="13" s="1"/>
  <c r="R650" i="13"/>
  <c r="R649" i="13"/>
  <c r="R644" i="13"/>
  <c r="R640" i="13"/>
  <c r="R637" i="13"/>
  <c r="R636" i="13"/>
  <c r="R632" i="13"/>
  <c r="R630" i="13"/>
  <c r="R1108" i="13"/>
  <c r="R1107" i="13" s="1"/>
  <c r="R627" i="13"/>
  <c r="R626" i="13"/>
  <c r="R625" i="13"/>
  <c r="R624" i="13"/>
  <c r="R623" i="13"/>
  <c r="R622" i="13"/>
  <c r="R610" i="13"/>
  <c r="R609" i="13"/>
  <c r="R621" i="13"/>
  <c r="R620" i="13"/>
  <c r="R619" i="13"/>
  <c r="R618" i="13"/>
  <c r="R617" i="13"/>
  <c r="R616" i="13"/>
  <c r="R615" i="13"/>
  <c r="R1077" i="13"/>
  <c r="R614" i="13"/>
  <c r="R613" i="13"/>
  <c r="R612" i="13"/>
  <c r="R611" i="13"/>
  <c r="R605" i="13"/>
  <c r="R608" i="13"/>
  <c r="R607" i="13"/>
  <c r="R606" i="13"/>
  <c r="R602" i="13"/>
  <c r="R600" i="13"/>
  <c r="R1065" i="13"/>
  <c r="R599" i="13"/>
  <c r="R598" i="13"/>
  <c r="R597" i="13"/>
  <c r="R596" i="13"/>
  <c r="R595" i="13"/>
  <c r="R594" i="13"/>
  <c r="R593" i="13"/>
  <c r="R1055" i="13"/>
  <c r="R592" i="13"/>
  <c r="R584" i="13"/>
  <c r="R583" i="13"/>
  <c r="R582" i="13"/>
  <c r="R581" i="13"/>
  <c r="R580" i="13"/>
  <c r="R576" i="13"/>
  <c r="R579" i="13"/>
  <c r="R578" i="13"/>
  <c r="R577" i="13"/>
  <c r="R573" i="13"/>
  <c r="R572" i="13"/>
  <c r="R571" i="13"/>
  <c r="R570" i="13"/>
  <c r="R1031" i="13"/>
  <c r="R568" i="13"/>
  <c r="R567" i="13"/>
  <c r="R566" i="13"/>
  <c r="R565" i="13"/>
  <c r="R564" i="13"/>
  <c r="R563" i="13"/>
  <c r="R562" i="13"/>
  <c r="R561" i="13"/>
  <c r="R559" i="13"/>
  <c r="R558" i="13"/>
  <c r="R557" i="13"/>
  <c r="R556" i="13"/>
  <c r="R555" i="13"/>
  <c r="R553" i="13"/>
  <c r="R554" i="13"/>
  <c r="R552" i="13"/>
  <c r="R548" i="13"/>
  <c r="R549" i="13"/>
  <c r="R1008" i="13"/>
  <c r="R543" i="13"/>
  <c r="R542" i="13"/>
  <c r="R541" i="13"/>
  <c r="R537" i="13"/>
  <c r="R536" i="13"/>
  <c r="R535" i="13"/>
  <c r="R534" i="13"/>
  <c r="R533" i="13"/>
  <c r="R532" i="13"/>
  <c r="R531" i="13"/>
  <c r="R527" i="13"/>
  <c r="R526" i="13"/>
  <c r="R524" i="13"/>
  <c r="R523" i="13"/>
  <c r="R522" i="13"/>
  <c r="R521" i="13"/>
  <c r="R520" i="13"/>
  <c r="R518" i="13"/>
  <c r="R517" i="13"/>
  <c r="R516" i="13"/>
  <c r="R515" i="13"/>
  <c r="R514" i="13"/>
  <c r="R513" i="13"/>
  <c r="R512" i="13"/>
  <c r="R511" i="13"/>
  <c r="R508" i="13"/>
  <c r="R507" i="13"/>
  <c r="R506" i="13"/>
  <c r="R510" i="13"/>
  <c r="R509" i="13"/>
  <c r="R501" i="13"/>
  <c r="R951" i="13"/>
  <c r="R499" i="13"/>
  <c r="R498" i="13"/>
  <c r="R497" i="13"/>
  <c r="R495" i="13"/>
  <c r="R490" i="13"/>
  <c r="R489" i="13"/>
  <c r="R488" i="13"/>
  <c r="R494" i="13"/>
  <c r="R493" i="13"/>
  <c r="R492" i="13"/>
  <c r="R491" i="13"/>
  <c r="R933" i="13"/>
  <c r="R487" i="13"/>
  <c r="R470" i="13"/>
  <c r="R484" i="13"/>
  <c r="R483" i="13"/>
  <c r="R482" i="13"/>
  <c r="R481" i="13"/>
  <c r="R480" i="13"/>
  <c r="R479" i="13"/>
  <c r="R478" i="13"/>
  <c r="R477" i="13"/>
  <c r="R476" i="13"/>
  <c r="R475" i="13"/>
  <c r="R474" i="13"/>
  <c r="R473" i="13"/>
  <c r="R472" i="13"/>
  <c r="R471" i="13"/>
  <c r="R469" i="13"/>
  <c r="R468" i="13"/>
  <c r="R922" i="13"/>
  <c r="R454" i="13"/>
  <c r="R453" i="13"/>
  <c r="R908" i="13"/>
  <c r="R452" i="13"/>
  <c r="R451" i="13"/>
  <c r="R450" i="13"/>
  <c r="R449" i="13"/>
  <c r="R448" i="13"/>
  <c r="R893" i="13"/>
  <c r="R446" i="13"/>
  <c r="R445" i="13"/>
  <c r="R444" i="13"/>
  <c r="R443" i="13"/>
  <c r="R441" i="13"/>
  <c r="R440" i="13"/>
  <c r="R882" i="13"/>
  <c r="R438" i="13"/>
  <c r="R436" i="13"/>
  <c r="R435" i="13"/>
  <c r="R434" i="13"/>
  <c r="R432" i="13"/>
  <c r="R431" i="13"/>
  <c r="R871" i="13"/>
  <c r="R427" i="13"/>
  <c r="R426" i="13"/>
  <c r="R862" i="13"/>
  <c r="R422" i="13"/>
  <c r="R421" i="13"/>
  <c r="R417" i="13"/>
  <c r="R416" i="13" s="1"/>
  <c r="R415" i="13"/>
  <c r="R414" i="13"/>
  <c r="R413" i="13"/>
  <c r="R410" i="13"/>
  <c r="R403" i="13"/>
  <c r="R400" i="13"/>
  <c r="R828" i="13"/>
  <c r="R827" i="13" s="1"/>
  <c r="R394" i="13"/>
  <c r="R393" i="13"/>
  <c r="R388" i="13"/>
  <c r="R387" i="13"/>
  <c r="R384" i="13"/>
  <c r="R383" i="13"/>
  <c r="R381" i="13"/>
  <c r="R380" i="13"/>
  <c r="R378" i="13"/>
  <c r="R791" i="13"/>
  <c r="R788" i="13" s="1"/>
  <c r="R342" i="13"/>
  <c r="R341" i="13" s="1"/>
  <c r="R303" i="13"/>
  <c r="R289" i="13" s="1"/>
  <c r="R286" i="13"/>
  <c r="D926" i="13"/>
  <c r="N677" i="13" l="1"/>
  <c r="R859" i="13"/>
  <c r="R678" i="13"/>
  <c r="R677" i="13" s="1"/>
  <c r="R635" i="13"/>
  <c r="R362" i="13"/>
  <c r="V1108" i="13"/>
  <c r="R399" i="13"/>
  <c r="R420" i="13"/>
  <c r="R647" i="13"/>
  <c r="V393" i="13"/>
  <c r="N389" i="13"/>
  <c r="R382" i="13"/>
  <c r="R389" i="13"/>
  <c r="R425" i="13"/>
  <c r="R658" i="13"/>
  <c r="V665" i="13"/>
  <c r="N658" i="13"/>
  <c r="V639" i="13"/>
  <c r="N635" i="13"/>
  <c r="N627" i="13"/>
  <c r="V521" i="13"/>
  <c r="V409" i="13"/>
  <c r="N399" i="13"/>
  <c r="V367" i="13"/>
  <c r="V293" i="13"/>
  <c r="N289" i="13"/>
  <c r="V288" i="13"/>
  <c r="N286" i="13"/>
  <c r="V549" i="13"/>
  <c r="V774" i="13"/>
  <c r="V337" i="13"/>
  <c r="V624" i="13"/>
  <c r="V1163" i="13"/>
  <c r="V398" i="13"/>
  <c r="V807" i="13"/>
  <c r="V361" i="13"/>
  <c r="V339" i="13"/>
  <c r="V734" i="13"/>
  <c r="V310" i="13"/>
  <c r="V686" i="13"/>
  <c r="V349" i="13"/>
  <c r="V1166" i="13"/>
  <c r="V1118" i="13"/>
  <c r="V1109" i="13"/>
  <c r="V821" i="13"/>
  <c r="V814" i="13"/>
  <c r="V790" i="13"/>
  <c r="V785" i="13"/>
  <c r="V776" i="13"/>
  <c r="V757" i="13"/>
  <c r="V742" i="13"/>
  <c r="V1184" i="13"/>
  <c r="V648" i="13"/>
  <c r="V628" i="13"/>
  <c r="V421" i="13"/>
  <c r="V828" i="13"/>
  <c r="V354" i="13"/>
  <c r="V342" i="13"/>
  <c r="V723" i="13"/>
  <c r="V287" i="13"/>
  <c r="V364" i="13"/>
  <c r="V736" i="13"/>
  <c r="V1139" i="13"/>
  <c r="V769" i="13"/>
  <c r="V1143" i="13"/>
  <c r="V1131" i="13"/>
  <c r="V855" i="13"/>
  <c r="V830" i="13"/>
  <c r="V763" i="13"/>
  <c r="V717" i="13"/>
  <c r="V1130" i="13"/>
  <c r="V862" i="13"/>
  <c r="V778" i="13"/>
  <c r="V329" i="13"/>
  <c r="V313" i="13"/>
  <c r="V1122" i="13"/>
  <c r="V852" i="13"/>
  <c r="V713" i="13"/>
  <c r="V657" i="13"/>
  <c r="V1135" i="13"/>
  <c r="V860" i="13"/>
  <c r="V781" i="13"/>
  <c r="V765" i="13"/>
  <c r="V747" i="13"/>
  <c r="V728" i="13"/>
  <c r="V679" i="13"/>
  <c r="V1154" i="13"/>
  <c r="V652" i="13"/>
  <c r="V633" i="13"/>
  <c r="V835" i="13"/>
  <c r="V809" i="13"/>
  <c r="V347" i="13"/>
  <c r="V321" i="13"/>
  <c r="V324" i="13"/>
  <c r="V636" i="13"/>
  <c r="C926" i="13"/>
  <c r="V391" i="13"/>
  <c r="V282" i="13"/>
  <c r="V283" i="13"/>
  <c r="N264" i="13"/>
  <c r="D265" i="13"/>
  <c r="D264" i="13" s="1"/>
  <c r="V390" i="13" l="1"/>
  <c r="V280" i="13"/>
  <c r="N270" i="13"/>
  <c r="V27" i="13"/>
  <c r="N26" i="13"/>
  <c r="R270" i="13"/>
  <c r="V265" i="13"/>
  <c r="C265" i="13"/>
  <c r="C264" i="13" s="1"/>
  <c r="C20" i="13" l="1"/>
  <c r="C19" i="13"/>
  <c r="C294" i="13"/>
  <c r="C18" i="13"/>
  <c r="C15" i="13"/>
  <c r="C14" i="13"/>
  <c r="C17" i="13"/>
  <c r="D1144" i="13"/>
  <c r="C1144" i="13" s="1"/>
  <c r="D1143" i="13"/>
  <c r="D1135" i="13"/>
  <c r="D1134" i="13" s="1"/>
  <c r="D1122" i="13"/>
  <c r="D1120" i="13"/>
  <c r="C1120" i="13" s="1"/>
  <c r="D1118" i="13"/>
  <c r="D1102" i="13"/>
  <c r="C1102" i="13" s="1"/>
  <c r="D1101" i="13"/>
  <c r="C1101" i="13" s="1"/>
  <c r="D1100" i="13"/>
  <c r="C1100" i="13" s="1"/>
  <c r="D1099" i="13"/>
  <c r="C1099" i="13" s="1"/>
  <c r="D1098" i="13"/>
  <c r="C1098" i="13" s="1"/>
  <c r="D1097" i="13"/>
  <c r="C1097" i="13" s="1"/>
  <c r="D1096" i="13"/>
  <c r="C1096" i="13" s="1"/>
  <c r="D1095" i="13"/>
  <c r="C1095" i="13" s="1"/>
  <c r="D1091" i="13"/>
  <c r="C1091" i="13" s="1"/>
  <c r="D1089" i="13"/>
  <c r="D1086" i="13"/>
  <c r="C1086" i="13" s="1"/>
  <c r="D1085" i="13"/>
  <c r="C1085" i="13" s="1"/>
  <c r="D1084" i="13"/>
  <c r="C1084" i="13" s="1"/>
  <c r="D1083" i="13"/>
  <c r="C1083" i="13" s="1"/>
  <c r="D1082" i="13"/>
  <c r="C1082" i="13" s="1"/>
  <c r="D1081" i="13"/>
  <c r="C1081" i="13" s="1"/>
  <c r="D1080" i="13"/>
  <c r="C1080" i="13" s="1"/>
  <c r="D1079" i="13"/>
  <c r="C1079" i="13" s="1"/>
  <c r="D1078" i="13"/>
  <c r="C1078" i="13" s="1"/>
  <c r="D1070" i="13"/>
  <c r="C1070" i="13" s="1"/>
  <c r="D1069" i="13"/>
  <c r="C1069" i="13" s="1"/>
  <c r="D1068" i="13"/>
  <c r="C1068" i="13" s="1"/>
  <c r="D1073" i="13"/>
  <c r="C1073" i="13" s="1"/>
  <c r="D1072" i="13"/>
  <c r="C1072" i="13" s="1"/>
  <c r="D1063" i="13"/>
  <c r="C1063" i="13" s="1"/>
  <c r="D1057" i="13"/>
  <c r="C1057" i="13" s="1"/>
  <c r="D1056" i="13"/>
  <c r="C1056" i="13" s="1"/>
  <c r="D1058" i="13"/>
  <c r="C1058" i="13" s="1"/>
  <c r="D1047" i="13"/>
  <c r="C1047" i="13" s="1"/>
  <c r="D1045" i="13"/>
  <c r="C1045" i="13" s="1"/>
  <c r="D1040" i="13"/>
  <c r="C1040" i="13" s="1"/>
  <c r="D1039" i="13"/>
  <c r="C1039" i="13" s="1"/>
  <c r="D1044" i="13"/>
  <c r="C1044" i="13" s="1"/>
  <c r="D1043" i="13"/>
  <c r="C1043" i="13" s="1"/>
  <c r="D1042" i="13"/>
  <c r="C1042" i="13" s="1"/>
  <c r="D1041" i="13"/>
  <c r="C1041" i="13" s="1"/>
  <c r="D1037" i="13"/>
  <c r="C1037" i="13" s="1"/>
  <c r="D1036" i="13"/>
  <c r="C1036" i="13" s="1"/>
  <c r="D1035" i="13"/>
  <c r="C1035" i="13" s="1"/>
  <c r="D1034" i="13"/>
  <c r="C1034" i="13" s="1"/>
  <c r="D1033" i="13"/>
  <c r="C1033" i="13" s="1"/>
  <c r="D1030" i="13"/>
  <c r="C1030" i="13" s="1"/>
  <c r="D1029" i="13"/>
  <c r="C1029" i="13" s="1"/>
  <c r="D1027" i="13"/>
  <c r="C1027" i="13" s="1"/>
  <c r="D1026" i="13"/>
  <c r="C1026" i="13" s="1"/>
  <c r="D1025" i="13"/>
  <c r="C1025" i="13" s="1"/>
  <c r="D1022" i="13"/>
  <c r="C1022" i="13" s="1"/>
  <c r="D1020" i="13"/>
  <c r="C1020" i="13" s="1"/>
  <c r="D1018" i="13"/>
  <c r="C1018" i="13" s="1"/>
  <c r="D1009" i="13"/>
  <c r="C1009" i="13" s="1"/>
  <c r="D1013" i="13"/>
  <c r="C1013" i="13" s="1"/>
  <c r="D1012" i="13"/>
  <c r="C1012" i="13" s="1"/>
  <c r="D1006" i="13"/>
  <c r="C1006" i="13" s="1"/>
  <c r="D863" i="13"/>
  <c r="C863" i="13" s="1"/>
  <c r="D1000" i="13"/>
  <c r="C1000" i="13" s="1"/>
  <c r="D999" i="13"/>
  <c r="C999" i="13" s="1"/>
  <c r="D998" i="13"/>
  <c r="C998" i="13" s="1"/>
  <c r="D997" i="13"/>
  <c r="C997" i="13" s="1"/>
  <c r="D996" i="13"/>
  <c r="C996" i="13" s="1"/>
  <c r="D994" i="13"/>
  <c r="C994" i="13" s="1"/>
  <c r="D990" i="13"/>
  <c r="C990" i="13" s="1"/>
  <c r="D989" i="13"/>
  <c r="C989" i="13" s="1"/>
  <c r="D988" i="13"/>
  <c r="C988" i="13" s="1"/>
  <c r="D987" i="13"/>
  <c r="C987" i="13" s="1"/>
  <c r="D985" i="13"/>
  <c r="C985" i="13" s="1"/>
  <c r="D984" i="13"/>
  <c r="C984" i="13" s="1"/>
  <c r="D982" i="13"/>
  <c r="C982" i="13" s="1"/>
  <c r="D979" i="13"/>
  <c r="C979" i="13" s="1"/>
  <c r="D976" i="13"/>
  <c r="C976" i="13" s="1"/>
  <c r="D975" i="13"/>
  <c r="C975" i="13" s="1"/>
  <c r="D974" i="13"/>
  <c r="C974" i="13" s="1"/>
  <c r="D972" i="13"/>
  <c r="C972" i="13" s="1"/>
  <c r="D970" i="13"/>
  <c r="C970" i="13" s="1"/>
  <c r="D969" i="13"/>
  <c r="C969" i="13" s="1"/>
  <c r="D971" i="13"/>
  <c r="C971" i="13" s="1"/>
  <c r="D968" i="13"/>
  <c r="C968" i="13" s="1"/>
  <c r="D964" i="13"/>
  <c r="C964" i="13" s="1"/>
  <c r="D961" i="13"/>
  <c r="C961" i="13" s="1"/>
  <c r="D960" i="13"/>
  <c r="C960" i="13" s="1"/>
  <c r="D959" i="13"/>
  <c r="C959" i="13" s="1"/>
  <c r="D958" i="13"/>
  <c r="C958" i="13" s="1"/>
  <c r="D963" i="13"/>
  <c r="C963" i="13" s="1"/>
  <c r="D962" i="13"/>
  <c r="C962" i="13" s="1"/>
  <c r="D957" i="13"/>
  <c r="C957" i="13" s="1"/>
  <c r="D955" i="13"/>
  <c r="C955" i="13" s="1"/>
  <c r="D956" i="13"/>
  <c r="C956" i="13" s="1"/>
  <c r="D954" i="13"/>
  <c r="C954" i="13" s="1"/>
  <c r="D952" i="13"/>
  <c r="C952" i="13" s="1"/>
  <c r="D949" i="13"/>
  <c r="D946" i="13"/>
  <c r="C946" i="13" s="1"/>
  <c r="D948" i="13"/>
  <c r="C948" i="13" s="1"/>
  <c r="D944" i="13"/>
  <c r="C944" i="13" s="1"/>
  <c r="D943" i="13"/>
  <c r="C943" i="13" s="1"/>
  <c r="D942" i="13"/>
  <c r="C942" i="13" s="1"/>
  <c r="D941" i="13"/>
  <c r="C941" i="13" s="1"/>
  <c r="D940" i="13"/>
  <c r="C940" i="13" s="1"/>
  <c r="D939" i="13"/>
  <c r="C939" i="13" s="1"/>
  <c r="D935" i="13"/>
  <c r="C935" i="13" s="1"/>
  <c r="D934" i="13"/>
  <c r="C934" i="13" s="1"/>
  <c r="D929" i="13"/>
  <c r="C929" i="13" s="1"/>
  <c r="D928" i="13"/>
  <c r="C928" i="13" s="1"/>
  <c r="D925" i="13"/>
  <c r="C925" i="13" s="1"/>
  <c r="D924" i="13"/>
  <c r="C924" i="13" s="1"/>
  <c r="D923" i="13"/>
  <c r="C923" i="13" s="1"/>
  <c r="D919" i="13"/>
  <c r="C919" i="13" s="1"/>
  <c r="D918" i="13"/>
  <c r="C918" i="13" s="1"/>
  <c r="D917" i="13"/>
  <c r="C917" i="13" s="1"/>
  <c r="D916" i="13"/>
  <c r="C916" i="13" s="1"/>
  <c r="D915" i="13"/>
  <c r="C915" i="13" s="1"/>
  <c r="D914" i="13"/>
  <c r="C914" i="13" s="1"/>
  <c r="D913" i="13"/>
  <c r="C913" i="13" s="1"/>
  <c r="D912" i="13"/>
  <c r="C912" i="13" s="1"/>
  <c r="D911" i="13"/>
  <c r="C911" i="13" s="1"/>
  <c r="D910" i="13"/>
  <c r="C910" i="13" s="1"/>
  <c r="D909" i="13"/>
  <c r="C909" i="13" s="1"/>
  <c r="D920" i="13"/>
  <c r="C920" i="13" s="1"/>
  <c r="D906" i="13"/>
  <c r="C906" i="13" s="1"/>
  <c r="D903" i="13"/>
  <c r="C903" i="13" s="1"/>
  <c r="D902" i="13"/>
  <c r="C902" i="13" s="1"/>
  <c r="D901" i="13"/>
  <c r="C901" i="13" s="1"/>
  <c r="D900" i="13"/>
  <c r="C900" i="13" s="1"/>
  <c r="D899" i="13"/>
  <c r="C899" i="13" s="1"/>
  <c r="D897" i="13"/>
  <c r="C897" i="13" s="1"/>
  <c r="D891" i="13"/>
  <c r="C891" i="13" s="1"/>
  <c r="D890" i="13"/>
  <c r="C890" i="13" s="1"/>
  <c r="D889" i="13"/>
  <c r="C889" i="13" s="1"/>
  <c r="D888" i="13"/>
  <c r="C888" i="13" s="1"/>
  <c r="D887" i="13"/>
  <c r="C887" i="13" s="1"/>
  <c r="D1114" i="13"/>
  <c r="C1114" i="13" s="1"/>
  <c r="D1113" i="13"/>
  <c r="D886" i="13"/>
  <c r="D885" i="13"/>
  <c r="C885" i="13" s="1"/>
  <c r="D884" i="13"/>
  <c r="C884" i="13" s="1"/>
  <c r="D883" i="13"/>
  <c r="C883" i="13" s="1"/>
  <c r="D880" i="13"/>
  <c r="C880" i="13" s="1"/>
  <c r="D877" i="13"/>
  <c r="C877" i="13" s="1"/>
  <c r="D875" i="13"/>
  <c r="C875" i="13" s="1"/>
  <c r="D873" i="13"/>
  <c r="C873" i="13" s="1"/>
  <c r="D870" i="13"/>
  <c r="C870" i="13" s="1"/>
  <c r="D869" i="13"/>
  <c r="C869" i="13" s="1"/>
  <c r="D868" i="13"/>
  <c r="C868" i="13" s="1"/>
  <c r="D864" i="13"/>
  <c r="D860" i="13"/>
  <c r="D841" i="13"/>
  <c r="C841" i="13" s="1"/>
  <c r="D833" i="13"/>
  <c r="D802" i="13"/>
  <c r="D800" i="13"/>
  <c r="D790" i="13"/>
  <c r="D785" i="13"/>
  <c r="D784" i="13" s="1"/>
  <c r="D783" i="13"/>
  <c r="C783" i="13" s="1"/>
  <c r="D782" i="13"/>
  <c r="C782" i="13" s="1"/>
  <c r="D781" i="13"/>
  <c r="D769" i="13"/>
  <c r="D768" i="13" s="1"/>
  <c r="D763" i="13"/>
  <c r="D762" i="13" s="1"/>
  <c r="D758" i="13"/>
  <c r="C758" i="13" s="1"/>
  <c r="D757" i="13"/>
  <c r="D753" i="13"/>
  <c r="D752" i="13"/>
  <c r="D749" i="13"/>
  <c r="D747" i="13"/>
  <c r="D746" i="13" s="1"/>
  <c r="D744" i="13"/>
  <c r="C744" i="13" s="1"/>
  <c r="D745" i="13"/>
  <c r="C745" i="13" s="1"/>
  <c r="D743" i="13"/>
  <c r="C743" i="13" s="1"/>
  <c r="D742" i="13"/>
  <c r="D740" i="13"/>
  <c r="C740" i="13" s="1"/>
  <c r="D738" i="13"/>
  <c r="D736" i="13"/>
  <c r="D735" i="13" s="1"/>
  <c r="D718" i="13"/>
  <c r="D717" i="13"/>
  <c r="C717" i="13" s="1"/>
  <c r="D716" i="13"/>
  <c r="D709" i="13"/>
  <c r="C709" i="13" s="1"/>
  <c r="D708" i="13"/>
  <c r="C708" i="13" s="1"/>
  <c r="D705" i="13"/>
  <c r="C705" i="13" s="1"/>
  <c r="D704" i="13"/>
  <c r="C704" i="13" s="1"/>
  <c r="D703" i="13"/>
  <c r="C703" i="13" s="1"/>
  <c r="D698" i="13"/>
  <c r="C698" i="13" s="1"/>
  <c r="D697" i="13"/>
  <c r="C697" i="13" s="1"/>
  <c r="D696" i="13"/>
  <c r="C696" i="13" s="1"/>
  <c r="D695" i="13"/>
  <c r="C695" i="13" s="1"/>
  <c r="D691" i="13"/>
  <c r="D689" i="13"/>
  <c r="C689" i="13" s="1"/>
  <c r="D688" i="13"/>
  <c r="C688" i="13" s="1"/>
  <c r="D685" i="13"/>
  <c r="D682" i="13"/>
  <c r="C682" i="13" s="1"/>
  <c r="D679" i="13"/>
  <c r="D1160" i="13"/>
  <c r="D657" i="13"/>
  <c r="D652" i="13"/>
  <c r="D651" i="13" s="1"/>
  <c r="D650" i="13"/>
  <c r="D649" i="13"/>
  <c r="D644" i="13"/>
  <c r="C644" i="13" s="1"/>
  <c r="D640" i="13"/>
  <c r="D638" i="13"/>
  <c r="D1124" i="13"/>
  <c r="D637" i="13"/>
  <c r="C637" i="13" s="1"/>
  <c r="D636" i="13"/>
  <c r="D626" i="13"/>
  <c r="C626" i="13" s="1"/>
  <c r="D625" i="13"/>
  <c r="C625" i="13" s="1"/>
  <c r="D624" i="13"/>
  <c r="C624" i="13" s="1"/>
  <c r="D623" i="13"/>
  <c r="C623" i="13" s="1"/>
  <c r="D622" i="13"/>
  <c r="C622" i="13" s="1"/>
  <c r="D610" i="13"/>
  <c r="C610" i="13" s="1"/>
  <c r="D609" i="13"/>
  <c r="C609" i="13" s="1"/>
  <c r="D621" i="13"/>
  <c r="C621" i="13" s="1"/>
  <c r="D620" i="13"/>
  <c r="C620" i="13" s="1"/>
  <c r="D619" i="13"/>
  <c r="C619" i="13" s="1"/>
  <c r="D618" i="13"/>
  <c r="C618" i="13" s="1"/>
  <c r="D617" i="13"/>
  <c r="C617" i="13" s="1"/>
  <c r="D616" i="13"/>
  <c r="C616" i="13" s="1"/>
  <c r="D615" i="13"/>
  <c r="C615" i="13" s="1"/>
  <c r="D1077" i="13"/>
  <c r="D614" i="13"/>
  <c r="C614" i="13" s="1"/>
  <c r="D613" i="13"/>
  <c r="C613" i="13" s="1"/>
  <c r="D612" i="13"/>
  <c r="C612" i="13" s="1"/>
  <c r="D611" i="13"/>
  <c r="C611" i="13" s="1"/>
  <c r="D605" i="13"/>
  <c r="C605" i="13" s="1"/>
  <c r="D608" i="13"/>
  <c r="C608" i="13" s="1"/>
  <c r="D607" i="13"/>
  <c r="C607" i="13" s="1"/>
  <c r="D606" i="13"/>
  <c r="C606" i="13" s="1"/>
  <c r="D602" i="13"/>
  <c r="C602" i="13" s="1"/>
  <c r="D600" i="13"/>
  <c r="C600" i="13" s="1"/>
  <c r="D1065" i="13"/>
  <c r="C1065" i="13" s="1"/>
  <c r="D599" i="13"/>
  <c r="C599" i="13" s="1"/>
  <c r="D598" i="13"/>
  <c r="C598" i="13" s="1"/>
  <c r="D593" i="13"/>
  <c r="C593" i="13" s="1"/>
  <c r="D1055" i="13"/>
  <c r="C1055" i="13" s="1"/>
  <c r="D592" i="13"/>
  <c r="C592" i="13" s="1"/>
  <c r="D584" i="13"/>
  <c r="C584" i="13" s="1"/>
  <c r="D583" i="13"/>
  <c r="C583" i="13" s="1"/>
  <c r="D582" i="13"/>
  <c r="C582" i="13" s="1"/>
  <c r="D581" i="13"/>
  <c r="C581" i="13" s="1"/>
  <c r="D580" i="13"/>
  <c r="C580" i="13" s="1"/>
  <c r="D576" i="13"/>
  <c r="C576" i="13" s="1"/>
  <c r="D579" i="13"/>
  <c r="C579" i="13" s="1"/>
  <c r="D578" i="13"/>
  <c r="C578" i="13" s="1"/>
  <c r="D577" i="13"/>
  <c r="C577" i="13" s="1"/>
  <c r="D573" i="13"/>
  <c r="C573" i="13" s="1"/>
  <c r="D572" i="13"/>
  <c r="C572" i="13" s="1"/>
  <c r="D571" i="13"/>
  <c r="C571" i="13" s="1"/>
  <c r="D570" i="13"/>
  <c r="C570" i="13" s="1"/>
  <c r="D1031" i="13"/>
  <c r="C1031" i="13" s="1"/>
  <c r="D568" i="13"/>
  <c r="C568" i="13" s="1"/>
  <c r="D567" i="13"/>
  <c r="C567" i="13" s="1"/>
  <c r="D566" i="13"/>
  <c r="C566" i="13" s="1"/>
  <c r="D564" i="13"/>
  <c r="C564" i="13" s="1"/>
  <c r="D563" i="13"/>
  <c r="C563" i="13" s="1"/>
  <c r="D562" i="13"/>
  <c r="C562" i="13" s="1"/>
  <c r="D561" i="13"/>
  <c r="C561" i="13" s="1"/>
  <c r="D559" i="13"/>
  <c r="C559" i="13" s="1"/>
  <c r="D558" i="13"/>
  <c r="C558" i="13" s="1"/>
  <c r="D557" i="13"/>
  <c r="C557" i="13" s="1"/>
  <c r="D556" i="13"/>
  <c r="C556" i="13" s="1"/>
  <c r="D555" i="13"/>
  <c r="C555" i="13" s="1"/>
  <c r="D553" i="13"/>
  <c r="D554" i="13"/>
  <c r="C554" i="13" s="1"/>
  <c r="D552" i="13"/>
  <c r="C552" i="13" s="1"/>
  <c r="D551" i="13"/>
  <c r="C551" i="13" s="1"/>
  <c r="D548" i="13"/>
  <c r="C548" i="13" s="1"/>
  <c r="D549" i="13"/>
  <c r="C549" i="13" s="1"/>
  <c r="D1008" i="13"/>
  <c r="C1008" i="13" s="1"/>
  <c r="D543" i="13"/>
  <c r="C543" i="13" s="1"/>
  <c r="D542" i="13"/>
  <c r="C542" i="13" s="1"/>
  <c r="D541" i="13"/>
  <c r="C541" i="13" s="1"/>
  <c r="D537" i="13"/>
  <c r="C537" i="13" s="1"/>
  <c r="D536" i="13"/>
  <c r="C536" i="13" s="1"/>
  <c r="D535" i="13"/>
  <c r="C535" i="13" s="1"/>
  <c r="D534" i="13"/>
  <c r="C534" i="13" s="1"/>
  <c r="D533" i="13"/>
  <c r="C533" i="13" s="1"/>
  <c r="D532" i="13"/>
  <c r="C532" i="13" s="1"/>
  <c r="D531" i="13"/>
  <c r="C531" i="13" s="1"/>
  <c r="D527" i="13"/>
  <c r="C527" i="13" s="1"/>
  <c r="D526" i="13"/>
  <c r="C526" i="13" s="1"/>
  <c r="D524" i="13"/>
  <c r="C524" i="13" s="1"/>
  <c r="D523" i="13"/>
  <c r="C523" i="13" s="1"/>
  <c r="D522" i="13"/>
  <c r="C522" i="13" s="1"/>
  <c r="D521" i="13"/>
  <c r="C521" i="13" s="1"/>
  <c r="D520" i="13"/>
  <c r="C520" i="13" s="1"/>
  <c r="D518" i="13"/>
  <c r="C518" i="13" s="1"/>
  <c r="D517" i="13"/>
  <c r="C517" i="13" s="1"/>
  <c r="D516" i="13"/>
  <c r="C516" i="13" s="1"/>
  <c r="D515" i="13"/>
  <c r="C515" i="13" s="1"/>
  <c r="D514" i="13"/>
  <c r="C514" i="13" s="1"/>
  <c r="D513" i="13"/>
  <c r="C513" i="13" s="1"/>
  <c r="D512" i="13"/>
  <c r="C512" i="13" s="1"/>
  <c r="D511" i="13"/>
  <c r="C511" i="13" s="1"/>
  <c r="D508" i="13"/>
  <c r="C508" i="13" s="1"/>
  <c r="D507" i="13"/>
  <c r="C507" i="13" s="1"/>
  <c r="D506" i="13"/>
  <c r="C506" i="13" s="1"/>
  <c r="D510" i="13"/>
  <c r="C510" i="13" s="1"/>
  <c r="D509" i="13"/>
  <c r="C509" i="13" s="1"/>
  <c r="D501" i="13"/>
  <c r="C501" i="13" s="1"/>
  <c r="D499" i="13"/>
  <c r="C499" i="13" s="1"/>
  <c r="D498" i="13"/>
  <c r="C498" i="13" s="1"/>
  <c r="D495" i="13"/>
  <c r="C495" i="13" s="1"/>
  <c r="D490" i="13"/>
  <c r="C490" i="13" s="1"/>
  <c r="D489" i="13"/>
  <c r="C489" i="13" s="1"/>
  <c r="D488" i="13"/>
  <c r="C488" i="13" s="1"/>
  <c r="D494" i="13"/>
  <c r="C494" i="13" s="1"/>
  <c r="D493" i="13"/>
  <c r="C493" i="13" s="1"/>
  <c r="D492" i="13"/>
  <c r="C492" i="13" s="1"/>
  <c r="D491" i="13"/>
  <c r="C491" i="13" s="1"/>
  <c r="D933" i="13"/>
  <c r="C933" i="13" s="1"/>
  <c r="D487" i="13"/>
  <c r="C487" i="13" s="1"/>
  <c r="D486" i="13"/>
  <c r="C486" i="13" s="1"/>
  <c r="D470" i="13"/>
  <c r="C470" i="13" s="1"/>
  <c r="D484" i="13"/>
  <c r="C484" i="13" s="1"/>
  <c r="D483" i="13"/>
  <c r="C483" i="13" s="1"/>
  <c r="D482" i="13"/>
  <c r="C482" i="13" s="1"/>
  <c r="D481" i="13"/>
  <c r="C481" i="13" s="1"/>
  <c r="D480" i="13"/>
  <c r="C480" i="13" s="1"/>
  <c r="D479" i="13"/>
  <c r="C479" i="13" s="1"/>
  <c r="D478" i="13"/>
  <c r="C478" i="13" s="1"/>
  <c r="D477" i="13"/>
  <c r="C477" i="13" s="1"/>
  <c r="D476" i="13"/>
  <c r="C476" i="13" s="1"/>
  <c r="D475" i="13"/>
  <c r="C475" i="13" s="1"/>
  <c r="D474" i="13"/>
  <c r="C474" i="13" s="1"/>
  <c r="D473" i="13"/>
  <c r="C473" i="13" s="1"/>
  <c r="D472" i="13"/>
  <c r="C472" i="13" s="1"/>
  <c r="D471" i="13"/>
  <c r="C471" i="13" s="1"/>
  <c r="D469" i="13"/>
  <c r="C469" i="13" s="1"/>
  <c r="D468" i="13"/>
  <c r="C468" i="13" s="1"/>
  <c r="D454" i="13"/>
  <c r="C454" i="13" s="1"/>
  <c r="D453" i="13"/>
  <c r="C453" i="13" s="1"/>
  <c r="D908" i="13"/>
  <c r="C908" i="13" s="1"/>
  <c r="D452" i="13"/>
  <c r="C452" i="13" s="1"/>
  <c r="D451" i="13"/>
  <c r="C451" i="13" s="1"/>
  <c r="D450" i="13"/>
  <c r="C450" i="13" s="1"/>
  <c r="D449" i="13"/>
  <c r="C449" i="13" s="1"/>
  <c r="D448" i="13"/>
  <c r="D446" i="13"/>
  <c r="C446" i="13" s="1"/>
  <c r="D445" i="13"/>
  <c r="C445" i="13" s="1"/>
  <c r="D444" i="13"/>
  <c r="C444" i="13" s="1"/>
  <c r="D443" i="13"/>
  <c r="C443" i="13" s="1"/>
  <c r="D442" i="13"/>
  <c r="C442" i="13" s="1"/>
  <c r="D441" i="13"/>
  <c r="D440" i="13"/>
  <c r="C440" i="13" s="1"/>
  <c r="D438" i="13"/>
  <c r="C438" i="13" s="1"/>
  <c r="D436" i="13"/>
  <c r="C436" i="13" s="1"/>
  <c r="D435" i="13"/>
  <c r="C435" i="13" s="1"/>
  <c r="D434" i="13"/>
  <c r="C434" i="13" s="1"/>
  <c r="D433" i="13"/>
  <c r="C433" i="13" s="1"/>
  <c r="D432" i="13"/>
  <c r="C432" i="13" s="1"/>
  <c r="D431" i="13"/>
  <c r="D871" i="13"/>
  <c r="C871" i="13" s="1"/>
  <c r="D430" i="13"/>
  <c r="C430" i="13" s="1"/>
  <c r="D429" i="13"/>
  <c r="C429" i="13" s="1"/>
  <c r="D427" i="13"/>
  <c r="C427" i="13" s="1"/>
  <c r="D426" i="13"/>
  <c r="C426" i="13" s="1"/>
  <c r="D862" i="13"/>
  <c r="C862" i="13" s="1"/>
  <c r="D422" i="13"/>
  <c r="C422" i="13" s="1"/>
  <c r="D421" i="13"/>
  <c r="D417" i="13"/>
  <c r="D416" i="13" s="1"/>
  <c r="D415" i="13"/>
  <c r="C415" i="13" s="1"/>
  <c r="D414" i="13"/>
  <c r="C414" i="13" s="1"/>
  <c r="D413" i="13"/>
  <c r="D400" i="13"/>
  <c r="D398" i="13"/>
  <c r="D397" i="13" s="1"/>
  <c r="D396" i="13"/>
  <c r="D395" i="13"/>
  <c r="D392" i="13"/>
  <c r="D386" i="13"/>
  <c r="D381" i="13"/>
  <c r="D380" i="13"/>
  <c r="D378" i="13"/>
  <c r="D366" i="13"/>
  <c r="D364" i="13"/>
  <c r="D361" i="13"/>
  <c r="D360" i="13" s="1"/>
  <c r="D359" i="13"/>
  <c r="C359" i="13" s="1"/>
  <c r="D358" i="13"/>
  <c r="C358" i="13" s="1"/>
  <c r="D357" i="13"/>
  <c r="D780" i="13"/>
  <c r="C780" i="13" s="1"/>
  <c r="D779" i="13"/>
  <c r="C779" i="13" s="1"/>
  <c r="D778" i="13"/>
  <c r="D774" i="13"/>
  <c r="D772" i="13" s="1"/>
  <c r="D355" i="13"/>
  <c r="D354" i="13"/>
  <c r="D351" i="13"/>
  <c r="C351" i="13" s="1"/>
  <c r="D350" i="13"/>
  <c r="C350" i="13" s="1"/>
  <c r="D349" i="13"/>
  <c r="D347" i="13"/>
  <c r="D346" i="13" s="1"/>
  <c r="D345" i="13"/>
  <c r="C345" i="13" s="1"/>
  <c r="D344" i="13"/>
  <c r="D340" i="13"/>
  <c r="C340" i="13" s="1"/>
  <c r="D339" i="13"/>
  <c r="D337" i="13"/>
  <c r="D336" i="13" s="1"/>
  <c r="D335" i="13"/>
  <c r="C335" i="13" s="1"/>
  <c r="D334" i="13"/>
  <c r="C334" i="13" s="1"/>
  <c r="D333" i="13"/>
  <c r="C333" i="13" s="1"/>
  <c r="D330" i="13"/>
  <c r="C330" i="13" s="1"/>
  <c r="D329" i="13"/>
  <c r="D327" i="13"/>
  <c r="C327" i="13" s="1"/>
  <c r="D326" i="13"/>
  <c r="C326" i="13" s="1"/>
  <c r="D324" i="13"/>
  <c r="D322" i="13"/>
  <c r="C322" i="13" s="1"/>
  <c r="D321" i="13"/>
  <c r="D317" i="13"/>
  <c r="C317" i="13" s="1"/>
  <c r="D316" i="13"/>
  <c r="D314" i="13"/>
  <c r="C314" i="13" s="1"/>
  <c r="D313" i="13"/>
  <c r="C313" i="13" s="1"/>
  <c r="D312" i="13"/>
  <c r="D310" i="13"/>
  <c r="D309" i="13" s="1"/>
  <c r="D307" i="13"/>
  <c r="C307" i="13" s="1"/>
  <c r="D306" i="13"/>
  <c r="D305" i="13"/>
  <c r="C305" i="13" s="1"/>
  <c r="D304" i="13"/>
  <c r="C304" i="13" s="1"/>
  <c r="D303" i="13"/>
  <c r="C303" i="13" s="1"/>
  <c r="D301" i="13"/>
  <c r="C301" i="13" s="1"/>
  <c r="D302" i="13"/>
  <c r="C302" i="13" s="1"/>
  <c r="D300" i="13"/>
  <c r="C300" i="13" s="1"/>
  <c r="D298" i="13"/>
  <c r="C298" i="13" s="1"/>
  <c r="D297" i="13"/>
  <c r="C297" i="13" s="1"/>
  <c r="D296" i="13"/>
  <c r="C296" i="13" s="1"/>
  <c r="D293" i="13"/>
  <c r="C293" i="13" s="1"/>
  <c r="D291" i="13"/>
  <c r="C291" i="13" s="1"/>
  <c r="D290" i="13"/>
  <c r="D686" i="13"/>
  <c r="D283" i="13"/>
  <c r="C283" i="13" s="1"/>
  <c r="D670" i="13"/>
  <c r="C670" i="13" s="1"/>
  <c r="D282" i="13"/>
  <c r="D280" i="13"/>
  <c r="D278" i="13"/>
  <c r="C278" i="13" s="1"/>
  <c r="D277" i="13"/>
  <c r="C277" i="13" s="1"/>
  <c r="D276" i="13"/>
  <c r="C276" i="13" s="1"/>
  <c r="D279" i="13"/>
  <c r="C279" i="13" s="1"/>
  <c r="D275" i="13"/>
  <c r="C275" i="13" s="1"/>
  <c r="D274" i="13"/>
  <c r="C274" i="13" s="1"/>
  <c r="D273" i="13"/>
  <c r="C273" i="13" s="1"/>
  <c r="D272" i="13"/>
  <c r="C272" i="13" s="1"/>
  <c r="D271" i="13"/>
  <c r="D269" i="13"/>
  <c r="D268" i="13" s="1"/>
  <c r="D267" i="13"/>
  <c r="D263" i="13"/>
  <c r="D261" i="13"/>
  <c r="C261" i="13" s="1"/>
  <c r="D260" i="13"/>
  <c r="D256" i="13"/>
  <c r="D253" i="13"/>
  <c r="D252" i="13"/>
  <c r="D250" i="13"/>
  <c r="C250" i="13" s="1"/>
  <c r="D249" i="13"/>
  <c r="C249" i="13" s="1"/>
  <c r="D248" i="13"/>
  <c r="D243" i="13"/>
  <c r="D235" i="13"/>
  <c r="C235" i="13" s="1"/>
  <c r="D234" i="13"/>
  <c r="C234" i="13" s="1"/>
  <c r="D233" i="13"/>
  <c r="D232" i="13"/>
  <c r="C232" i="13" s="1"/>
  <c r="D231" i="13"/>
  <c r="C231" i="13" s="1"/>
  <c r="D603" i="13"/>
  <c r="C603" i="13" s="1"/>
  <c r="D230" i="13"/>
  <c r="D236" i="13"/>
  <c r="C236" i="13" s="1"/>
  <c r="D228" i="13"/>
  <c r="D227" i="13"/>
  <c r="D226" i="13"/>
  <c r="C226" i="13" s="1"/>
  <c r="D225" i="13"/>
  <c r="D224" i="13"/>
  <c r="C224" i="13" s="1"/>
  <c r="D223" i="13"/>
  <c r="C223" i="13" s="1"/>
  <c r="D222" i="13"/>
  <c r="C222" i="13" s="1"/>
  <c r="D221" i="13"/>
  <c r="D591" i="13"/>
  <c r="C591" i="13" s="1"/>
  <c r="D587" i="13"/>
  <c r="C587" i="13" s="1"/>
  <c r="D585" i="13"/>
  <c r="C585" i="13" s="1"/>
  <c r="D217" i="13"/>
  <c r="C217" i="13" s="1"/>
  <c r="D216" i="13"/>
  <c r="C216" i="13" s="1"/>
  <c r="D215" i="13"/>
  <c r="C215" i="13" s="1"/>
  <c r="D575" i="13"/>
  <c r="C575" i="13" s="1"/>
  <c r="D214" i="13"/>
  <c r="D213" i="13"/>
  <c r="D569" i="13"/>
  <c r="C569" i="13" s="1"/>
  <c r="D210" i="13"/>
  <c r="C210" i="13" s="1"/>
  <c r="D209" i="13"/>
  <c r="C209" i="13" s="1"/>
  <c r="D1015" i="13"/>
  <c r="C1015" i="13" s="1"/>
  <c r="D204" i="13"/>
  <c r="C204" i="13" s="1"/>
  <c r="D547" i="13"/>
  <c r="C547" i="13" s="1"/>
  <c r="D545" i="13"/>
  <c r="C545" i="13" s="1"/>
  <c r="D203" i="13"/>
  <c r="D202" i="13"/>
  <c r="C202" i="13" s="1"/>
  <c r="D201" i="13"/>
  <c r="C201" i="13" s="1"/>
  <c r="D540" i="13"/>
  <c r="C540" i="13" s="1"/>
  <c r="D200" i="13"/>
  <c r="C200" i="13" s="1"/>
  <c r="D539" i="13"/>
  <c r="C539" i="13" s="1"/>
  <c r="D538" i="13"/>
  <c r="C538" i="13" s="1"/>
  <c r="D199" i="13"/>
  <c r="D986" i="13"/>
  <c r="D981" i="13"/>
  <c r="C981" i="13" s="1"/>
  <c r="D980" i="13"/>
  <c r="C980" i="13" s="1"/>
  <c r="D196" i="13"/>
  <c r="D195" i="13"/>
  <c r="C195" i="13" s="1"/>
  <c r="D193" i="13"/>
  <c r="C193" i="13" s="1"/>
  <c r="D502" i="13"/>
  <c r="C502" i="13" s="1"/>
  <c r="D186" i="13"/>
  <c r="C186" i="13" s="1"/>
  <c r="D185" i="13"/>
  <c r="C185" i="13" s="1"/>
  <c r="D500" i="13"/>
  <c r="C500" i="13" s="1"/>
  <c r="D183" i="13"/>
  <c r="C183" i="13" s="1"/>
  <c r="D180" i="13"/>
  <c r="C180" i="13" s="1"/>
  <c r="D179" i="13"/>
  <c r="C179" i="13" s="1"/>
  <c r="D178" i="13"/>
  <c r="C178" i="13" s="1"/>
  <c r="D177" i="13"/>
  <c r="C177" i="13" s="1"/>
  <c r="D176" i="13"/>
  <c r="C176" i="13" s="1"/>
  <c r="D455" i="13"/>
  <c r="C455" i="13" s="1"/>
  <c r="D166" i="13"/>
  <c r="C166" i="13" s="1"/>
  <c r="D165" i="13"/>
  <c r="D163" i="13"/>
  <c r="C163" i="13" s="1"/>
  <c r="D162" i="13"/>
  <c r="C162" i="13" s="1"/>
  <c r="D161" i="13"/>
  <c r="C161" i="13" s="1"/>
  <c r="D160" i="13"/>
  <c r="C160" i="13" s="1"/>
  <c r="D159" i="13"/>
  <c r="C159" i="13" s="1"/>
  <c r="D158" i="13"/>
  <c r="C158" i="13" s="1"/>
  <c r="D157" i="13"/>
  <c r="C157" i="13" s="1"/>
  <c r="D154" i="13"/>
  <c r="C154" i="13" s="1"/>
  <c r="D150" i="13"/>
  <c r="C150" i="13" s="1"/>
  <c r="D149" i="13"/>
  <c r="C149" i="13" s="1"/>
  <c r="D148" i="13"/>
  <c r="C148" i="13" s="1"/>
  <c r="D147" i="13"/>
  <c r="C147" i="13" s="1"/>
  <c r="D146" i="13"/>
  <c r="D145" i="13"/>
  <c r="D144" i="13"/>
  <c r="D143" i="13"/>
  <c r="D142" i="13"/>
  <c r="C142" i="13" s="1"/>
  <c r="D141" i="13"/>
  <c r="C141" i="13" s="1"/>
  <c r="D878" i="13"/>
  <c r="C878" i="13" s="1"/>
  <c r="D140" i="13"/>
  <c r="C140" i="13" s="1"/>
  <c r="D139" i="13"/>
  <c r="C139" i="13" s="1"/>
  <c r="D138" i="13"/>
  <c r="C138" i="13" s="1"/>
  <c r="D137" i="13"/>
  <c r="C137" i="13" s="1"/>
  <c r="D136" i="13"/>
  <c r="C136" i="13" s="1"/>
  <c r="D135" i="13"/>
  <c r="C135" i="13" s="1"/>
  <c r="D134" i="13"/>
  <c r="C134" i="13" s="1"/>
  <c r="D133" i="13"/>
  <c r="C133" i="13" s="1"/>
  <c r="D132" i="13"/>
  <c r="C132" i="13" s="1"/>
  <c r="D131" i="13"/>
  <c r="C131" i="13" s="1"/>
  <c r="D866" i="13"/>
  <c r="C866" i="13" s="1"/>
  <c r="D428" i="13"/>
  <c r="C428" i="13" s="1"/>
  <c r="D865" i="13"/>
  <c r="C865" i="13" s="1"/>
  <c r="D127" i="13"/>
  <c r="C127" i="13" s="1"/>
  <c r="D125" i="13"/>
  <c r="C125" i="13" s="1"/>
  <c r="D123" i="13"/>
  <c r="D122" i="13"/>
  <c r="C122" i="13" s="1"/>
  <c r="D121" i="13"/>
  <c r="C121" i="13" s="1"/>
  <c r="D115" i="13"/>
  <c r="D114" i="13" s="1"/>
  <c r="D113" i="13"/>
  <c r="C113" i="13" s="1"/>
  <c r="D112" i="13"/>
  <c r="C112" i="13" s="1"/>
  <c r="D110" i="13"/>
  <c r="C110" i="13" s="1"/>
  <c r="D109" i="13"/>
  <c r="C109" i="13" s="1"/>
  <c r="D108" i="13"/>
  <c r="C108" i="13" s="1"/>
  <c r="D103" i="13"/>
  <c r="C103" i="13" s="1"/>
  <c r="D102" i="13"/>
  <c r="D101" i="13"/>
  <c r="C101" i="13" s="1"/>
  <c r="D97" i="13"/>
  <c r="C97" i="13" s="1"/>
  <c r="D99" i="13"/>
  <c r="D93" i="13"/>
  <c r="C93" i="13" s="1"/>
  <c r="D92" i="13"/>
  <c r="C92" i="13" s="1"/>
  <c r="D91" i="13"/>
  <c r="C91" i="13" s="1"/>
  <c r="D90" i="13"/>
  <c r="D88" i="13"/>
  <c r="C88" i="13" s="1"/>
  <c r="D85" i="13"/>
  <c r="C85" i="13" s="1"/>
  <c r="D84" i="13"/>
  <c r="D83" i="13"/>
  <c r="D80" i="13"/>
  <c r="D77" i="13"/>
  <c r="D365" i="13"/>
  <c r="C365" i="13" s="1"/>
  <c r="D71" i="13"/>
  <c r="D73" i="13"/>
  <c r="D69" i="13"/>
  <c r="D70" i="13"/>
  <c r="D363" i="13"/>
  <c r="D67" i="13"/>
  <c r="D66" i="13" s="1"/>
  <c r="D65" i="13"/>
  <c r="D64" i="13" s="1"/>
  <c r="D63" i="13"/>
  <c r="C63" i="13" s="1"/>
  <c r="D62" i="13"/>
  <c r="D58" i="13"/>
  <c r="C58" i="13" s="1"/>
  <c r="C57" i="13" s="1"/>
  <c r="D56" i="13"/>
  <c r="D54" i="13"/>
  <c r="D53" i="13" s="1"/>
  <c r="D52" i="13"/>
  <c r="D51" i="13"/>
  <c r="D50" i="13"/>
  <c r="D48" i="13"/>
  <c r="D759" i="13"/>
  <c r="C759" i="13" s="1"/>
  <c r="D46" i="13"/>
  <c r="D45" i="13" s="1"/>
  <c r="D44" i="13"/>
  <c r="D43" i="13" s="1"/>
  <c r="D42" i="13"/>
  <c r="D41" i="13"/>
  <c r="D40" i="13"/>
  <c r="D39" i="13"/>
  <c r="D739" i="13"/>
  <c r="C739" i="13" s="1"/>
  <c r="D37" i="13"/>
  <c r="C37" i="13" s="1"/>
  <c r="D36" i="13"/>
  <c r="C36" i="13" s="1"/>
  <c r="D731" i="13"/>
  <c r="D34" i="13"/>
  <c r="D33" i="13" s="1"/>
  <c r="D32" i="13"/>
  <c r="C32" i="13" s="1"/>
  <c r="D31" i="13"/>
  <c r="D720" i="13"/>
  <c r="D719" i="13" s="1"/>
  <c r="D27" i="13"/>
  <c r="D26" i="13" s="1"/>
  <c r="D25" i="13"/>
  <c r="D24" i="13" s="1"/>
  <c r="D1141" i="13" l="1"/>
  <c r="D715" i="13"/>
  <c r="D741" i="13"/>
  <c r="D756" i="13"/>
  <c r="D1112" i="13"/>
  <c r="D725" i="13"/>
  <c r="D737" i="13"/>
  <c r="D748" i="13"/>
  <c r="D343" i="13"/>
  <c r="D338" i="13"/>
  <c r="D352" i="13"/>
  <c r="C316" i="13"/>
  <c r="C315" i="13" s="1"/>
  <c r="D315" i="13"/>
  <c r="C769" i="13"/>
  <c r="C768" i="13" s="1"/>
  <c r="D311" i="13"/>
  <c r="C357" i="13"/>
  <c r="C356" i="13" s="1"/>
  <c r="D356" i="13"/>
  <c r="D320" i="13"/>
  <c r="D348" i="13"/>
  <c r="D420" i="13"/>
  <c r="C1160" i="13"/>
  <c r="C1113" i="13"/>
  <c r="C1112" i="13" s="1"/>
  <c r="C774" i="13"/>
  <c r="C772" i="13" s="1"/>
  <c r="C337" i="13"/>
  <c r="C336" i="13" s="1"/>
  <c r="C35" i="13"/>
  <c r="C686" i="13"/>
  <c r="C312" i="13"/>
  <c r="C311" i="13" s="1"/>
  <c r="C339" i="13"/>
  <c r="C338" i="13" s="1"/>
  <c r="C354" i="13"/>
  <c r="C1135" i="13"/>
  <c r="C1134" i="13" s="1"/>
  <c r="C310" i="13"/>
  <c r="C309" i="13" s="1"/>
  <c r="C657" i="13"/>
  <c r="C736" i="13"/>
  <c r="C735" i="13" s="1"/>
  <c r="C757" i="13"/>
  <c r="C756" i="13" s="1"/>
  <c r="C781" i="13"/>
  <c r="C1122" i="13"/>
  <c r="C347" i="13"/>
  <c r="C346" i="13" s="1"/>
  <c r="C778" i="13"/>
  <c r="C329" i="13"/>
  <c r="C361" i="13"/>
  <c r="C360" i="13" s="1"/>
  <c r="C421" i="13"/>
  <c r="C420" i="13" s="1"/>
  <c r="C652" i="13"/>
  <c r="C651" i="13" s="1"/>
  <c r="C716" i="13"/>
  <c r="C742" i="13"/>
  <c r="C741" i="13" s="1"/>
  <c r="C747" i="13"/>
  <c r="C746" i="13" s="1"/>
  <c r="C785" i="13"/>
  <c r="C784" i="13" s="1"/>
  <c r="C738" i="13"/>
  <c r="C737" i="13" s="1"/>
  <c r="C321" i="13"/>
  <c r="C400" i="13"/>
  <c r="C417" i="13"/>
  <c r="C416" i="13" s="1"/>
  <c r="C679" i="13"/>
  <c r="C725" i="13"/>
  <c r="C763" i="13"/>
  <c r="C762" i="13" s="1"/>
  <c r="C860" i="13"/>
  <c r="C1118" i="13"/>
  <c r="C50" i="13"/>
  <c r="D49" i="13"/>
  <c r="C62" i="13"/>
  <c r="C61" i="13" s="1"/>
  <c r="D61" i="13"/>
  <c r="C363" i="13"/>
  <c r="C90" i="13"/>
  <c r="C248" i="13"/>
  <c r="C247" i="13" s="1"/>
  <c r="D247" i="13"/>
  <c r="C263" i="13"/>
  <c r="C262" i="13" s="1"/>
  <c r="D262" i="13"/>
  <c r="C31" i="13"/>
  <c r="C30" i="13" s="1"/>
  <c r="D30" i="13"/>
  <c r="D57" i="13"/>
  <c r="C243" i="13"/>
  <c r="C242" i="13" s="1"/>
  <c r="D242" i="13"/>
  <c r="C271" i="13"/>
  <c r="D270" i="13"/>
  <c r="C39" i="13"/>
  <c r="D38" i="13"/>
  <c r="C56" i="13"/>
  <c r="C55" i="13" s="1"/>
  <c r="D55" i="13"/>
  <c r="C260" i="13"/>
  <c r="C259" i="13" s="1"/>
  <c r="D259" i="13"/>
  <c r="C48" i="13"/>
  <c r="C47" i="13" s="1"/>
  <c r="D47" i="13"/>
  <c r="C256" i="13"/>
  <c r="C255" i="13" s="1"/>
  <c r="D255" i="13"/>
  <c r="C324" i="13"/>
  <c r="C636" i="13"/>
  <c r="C44" i="13"/>
  <c r="C43" i="13" s="1"/>
  <c r="C720" i="13"/>
  <c r="C719" i="13" s="1"/>
  <c r="C777" i="13" l="1"/>
  <c r="V772" i="13"/>
  <c r="G1184" i="13"/>
  <c r="G1183" i="13" s="1"/>
  <c r="E665" i="13"/>
  <c r="E658" i="13" s="1"/>
  <c r="G648" i="13"/>
  <c r="G647" i="13" s="1"/>
  <c r="E1108" i="13"/>
  <c r="E1107" i="13" s="1"/>
  <c r="J951" i="13"/>
  <c r="J497" i="13"/>
  <c r="J485" i="13"/>
  <c r="D485" i="13" s="1"/>
  <c r="C485" i="13" s="1"/>
  <c r="J922" i="13"/>
  <c r="J892" i="13"/>
  <c r="J893" i="13"/>
  <c r="J882" i="13"/>
  <c r="J881" i="13"/>
  <c r="J437" i="13"/>
  <c r="J872" i="13"/>
  <c r="F394" i="13"/>
  <c r="F389" i="13" s="1"/>
  <c r="G342" i="13"/>
  <c r="G341" i="13" s="1"/>
  <c r="F342" i="13"/>
  <c r="F341" i="13" s="1"/>
  <c r="J308" i="13"/>
  <c r="J292" i="13"/>
  <c r="J687" i="13"/>
  <c r="J683" i="13" s="1"/>
  <c r="J289" i="13" l="1"/>
  <c r="D1023" i="13"/>
  <c r="C1023" i="13" s="1"/>
  <c r="D1108" i="13"/>
  <c r="D666" i="13"/>
  <c r="C666" i="13" s="1"/>
  <c r="D707" i="13"/>
  <c r="C707" i="13" s="1"/>
  <c r="D973" i="13"/>
  <c r="C973" i="13" s="1"/>
  <c r="D641" i="13"/>
  <c r="D1167" i="13"/>
  <c r="C1167" i="13" s="1"/>
  <c r="D1163" i="13"/>
  <c r="D394" i="13"/>
  <c r="D589" i="13"/>
  <c r="C589" i="13" s="1"/>
  <c r="D597" i="13"/>
  <c r="C597" i="13" s="1"/>
  <c r="D662" i="13"/>
  <c r="C662" i="13" s="1"/>
  <c r="D667" i="13"/>
  <c r="C667" i="13" s="1"/>
  <c r="D799" i="13"/>
  <c r="D805" i="13"/>
  <c r="C805" i="13" s="1"/>
  <c r="D930" i="13"/>
  <c r="C930" i="13" s="1"/>
  <c r="D1062" i="13"/>
  <c r="C1062" i="13" s="1"/>
  <c r="D639" i="13"/>
  <c r="D777" i="13"/>
  <c r="D1123" i="13"/>
  <c r="D1121" i="13" s="1"/>
  <c r="D1139" i="13"/>
  <c r="D1138" i="13" s="1"/>
  <c r="D1166" i="13"/>
  <c r="D546" i="13"/>
  <c r="D596" i="13"/>
  <c r="D629" i="13"/>
  <c r="C629" i="13" s="1"/>
  <c r="D661" i="13"/>
  <c r="C661" i="13" s="1"/>
  <c r="D665" i="13"/>
  <c r="D706" i="13"/>
  <c r="C706" i="13" s="1"/>
  <c r="D730" i="13"/>
  <c r="C730" i="13" s="1"/>
  <c r="D798" i="13"/>
  <c r="D804" i="13"/>
  <c r="D817" i="13"/>
  <c r="C817" i="13" s="1"/>
  <c r="D907" i="13"/>
  <c r="D967" i="13"/>
  <c r="C967" i="13" s="1"/>
  <c r="D1028" i="13"/>
  <c r="C1028" i="13" s="1"/>
  <c r="D1094" i="13"/>
  <c r="C1094" i="13" s="1"/>
  <c r="D1169" i="13"/>
  <c r="C1169" i="13" s="1"/>
  <c r="D1171" i="13"/>
  <c r="C1171" i="13" s="1"/>
  <c r="D1176" i="13"/>
  <c r="C1176" i="13" s="1"/>
  <c r="D765" i="13"/>
  <c r="D764" i="13" s="1"/>
  <c r="D793" i="13"/>
  <c r="D855" i="13"/>
  <c r="D342" i="13"/>
  <c r="D341" i="13" s="1"/>
  <c r="D628" i="13"/>
  <c r="D648" i="13"/>
  <c r="D647" i="13" s="1"/>
  <c r="D713" i="13"/>
  <c r="D876" i="13"/>
  <c r="D1119" i="13"/>
  <c r="D1117" i="13" s="1"/>
  <c r="D1136" i="13"/>
  <c r="D856" i="13"/>
  <c r="C856" i="13" s="1"/>
  <c r="D437" i="13"/>
  <c r="C437" i="13" s="1"/>
  <c r="D882" i="13"/>
  <c r="C882" i="13" s="1"/>
  <c r="D560" i="13"/>
  <c r="C560" i="13" s="1"/>
  <c r="D595" i="13"/>
  <c r="C595" i="13" s="1"/>
  <c r="D634" i="13"/>
  <c r="C634" i="13" s="1"/>
  <c r="D643" i="13"/>
  <c r="C643" i="13" s="1"/>
  <c r="D660" i="13"/>
  <c r="C660" i="13" s="1"/>
  <c r="D664" i="13"/>
  <c r="C664" i="13" s="1"/>
  <c r="D669" i="13"/>
  <c r="C669" i="13" s="1"/>
  <c r="D701" i="13"/>
  <c r="C701" i="13" s="1"/>
  <c r="D729" i="13"/>
  <c r="D803" i="13"/>
  <c r="D816" i="13"/>
  <c r="C816" i="13" s="1"/>
  <c r="D896" i="13"/>
  <c r="D966" i="13"/>
  <c r="C966" i="13" s="1"/>
  <c r="D1017" i="13"/>
  <c r="C1017" i="13" s="1"/>
  <c r="D1093" i="13"/>
  <c r="C1093" i="13" s="1"/>
  <c r="D1168" i="13"/>
  <c r="C1168" i="13" s="1"/>
  <c r="D1165" i="13"/>
  <c r="C1165" i="13" s="1"/>
  <c r="D1170" i="13"/>
  <c r="C1170" i="13" s="1"/>
  <c r="D1173" i="13"/>
  <c r="C1173" i="13" s="1"/>
  <c r="D1184" i="13"/>
  <c r="D1183" i="13" s="1"/>
  <c r="D1182" i="13"/>
  <c r="D1181" i="13" s="1"/>
  <c r="D633" i="13"/>
  <c r="D1154" i="13"/>
  <c r="D690" i="13"/>
  <c r="D776" i="13"/>
  <c r="D775" i="13" s="1"/>
  <c r="D814" i="13"/>
  <c r="D1024" i="13"/>
  <c r="C1024" i="13" s="1"/>
  <c r="D594" i="13"/>
  <c r="C594" i="13" s="1"/>
  <c r="D1066" i="13"/>
  <c r="C1066" i="13" s="1"/>
  <c r="D642" i="13"/>
  <c r="C642" i="13" s="1"/>
  <c r="D663" i="13"/>
  <c r="C663" i="13" s="1"/>
  <c r="D668" i="13"/>
  <c r="C668" i="13" s="1"/>
  <c r="D794" i="13"/>
  <c r="D797" i="13"/>
  <c r="D801" i="13"/>
  <c r="D936" i="13"/>
  <c r="C936" i="13" s="1"/>
  <c r="D1010" i="13"/>
  <c r="C1010" i="13" s="1"/>
  <c r="D1092" i="13"/>
  <c r="C1092" i="13" s="1"/>
  <c r="D1164" i="13"/>
  <c r="D1172" i="13"/>
  <c r="C1172" i="13" s="1"/>
  <c r="D872" i="13"/>
  <c r="C872" i="13" s="1"/>
  <c r="D497" i="13"/>
  <c r="C497" i="13" s="1"/>
  <c r="D687" i="13"/>
  <c r="D292" i="13"/>
  <c r="C292" i="13" s="1"/>
  <c r="D881" i="13"/>
  <c r="C881" i="13" s="1"/>
  <c r="D893" i="13"/>
  <c r="C893" i="13" s="1"/>
  <c r="D892" i="13"/>
  <c r="C892" i="13" s="1"/>
  <c r="D922" i="13"/>
  <c r="C922" i="13" s="1"/>
  <c r="D308" i="13"/>
  <c r="D951" i="13"/>
  <c r="C951" i="13" s="1"/>
  <c r="D1133" i="13"/>
  <c r="J1109" i="13"/>
  <c r="J1107" i="13" s="1"/>
  <c r="J1104" i="13"/>
  <c r="J1103" i="13" s="1"/>
  <c r="J853" i="13"/>
  <c r="J852" i="13"/>
  <c r="J848" i="13"/>
  <c r="J847" i="13"/>
  <c r="J846" i="13"/>
  <c r="J845" i="13"/>
  <c r="J844" i="13"/>
  <c r="J838" i="13"/>
  <c r="J834" i="13"/>
  <c r="J830" i="13"/>
  <c r="J826" i="13"/>
  <c r="J822" i="13"/>
  <c r="J823" i="13"/>
  <c r="J821" i="13"/>
  <c r="J795" i="13"/>
  <c r="G795" i="13"/>
  <c r="J728" i="13"/>
  <c r="J727" i="13" s="1"/>
  <c r="G728" i="13"/>
  <c r="G727" i="13" s="1"/>
  <c r="J724" i="13"/>
  <c r="G721" i="13"/>
  <c r="J722" i="13"/>
  <c r="D1132" i="13"/>
  <c r="D646" i="13"/>
  <c r="D645" i="13" s="1"/>
  <c r="J565" i="13"/>
  <c r="J861" i="13"/>
  <c r="J412" i="13"/>
  <c r="J411" i="13"/>
  <c r="J410" i="13"/>
  <c r="J408" i="13"/>
  <c r="J407" i="13"/>
  <c r="J406" i="13"/>
  <c r="J405" i="13"/>
  <c r="J409" i="13"/>
  <c r="J403" i="13"/>
  <c r="J835" i="13"/>
  <c r="J828" i="13"/>
  <c r="J393" i="13"/>
  <c r="J391" i="13"/>
  <c r="J390" i="13"/>
  <c r="J813" i="13"/>
  <c r="J812" i="13"/>
  <c r="J385" i="13"/>
  <c r="E385" i="13"/>
  <c r="E382" i="13" s="1"/>
  <c r="J384" i="13"/>
  <c r="J383" i="13"/>
  <c r="J809" i="13"/>
  <c r="J807" i="13"/>
  <c r="J806" i="13" s="1"/>
  <c r="G807" i="13"/>
  <c r="G806" i="13" s="1"/>
  <c r="J379" i="13"/>
  <c r="J376" i="13"/>
  <c r="J375" i="13"/>
  <c r="E375" i="13"/>
  <c r="E362" i="13" s="1"/>
  <c r="J791" i="13"/>
  <c r="J788" i="13" s="1"/>
  <c r="G791" i="13"/>
  <c r="G788" i="13" s="1"/>
  <c r="E791" i="13"/>
  <c r="J377" i="13"/>
  <c r="J373" i="13"/>
  <c r="J374" i="13"/>
  <c r="J372" i="13"/>
  <c r="J371" i="13"/>
  <c r="J369" i="13"/>
  <c r="F369" i="13"/>
  <c r="J368" i="13"/>
  <c r="J367" i="13"/>
  <c r="F367" i="13"/>
  <c r="J734" i="13"/>
  <c r="J733" i="13" s="1"/>
  <c r="J319" i="13"/>
  <c r="J318" i="13" s="1"/>
  <c r="J723" i="13"/>
  <c r="F723" i="13"/>
  <c r="F721" i="13" s="1"/>
  <c r="F677" i="13" s="1"/>
  <c r="J288" i="13"/>
  <c r="F288" i="13"/>
  <c r="J287" i="13"/>
  <c r="F287" i="13"/>
  <c r="J656" i="13"/>
  <c r="J655" i="13" s="1"/>
  <c r="F266" i="13"/>
  <c r="E266" i="13"/>
  <c r="E257" i="13"/>
  <c r="J254" i="13"/>
  <c r="J251" i="13" s="1"/>
  <c r="I251" i="13"/>
  <c r="H251" i="13"/>
  <c r="G251" i="13"/>
  <c r="F251" i="13"/>
  <c r="E251" i="13"/>
  <c r="J246" i="13"/>
  <c r="I246" i="13"/>
  <c r="H246" i="13"/>
  <c r="G246" i="13"/>
  <c r="J245" i="13"/>
  <c r="H245" i="13"/>
  <c r="J241" i="13"/>
  <c r="J240" i="13"/>
  <c r="J239" i="13"/>
  <c r="J238" i="13"/>
  <c r="J604" i="13"/>
  <c r="J229" i="13"/>
  <c r="H229" i="13"/>
  <c r="J220" i="13"/>
  <c r="J219" i="13"/>
  <c r="J218" i="13"/>
  <c r="J1052" i="13"/>
  <c r="G1052" i="13"/>
  <c r="J1051" i="13"/>
  <c r="G1051" i="13"/>
  <c r="J586" i="13"/>
  <c r="J212" i="13"/>
  <c r="H212" i="13"/>
  <c r="F212" i="13"/>
  <c r="J211" i="13"/>
  <c r="J208" i="13"/>
  <c r="H208" i="13"/>
  <c r="J207" i="13"/>
  <c r="J206" i="13"/>
  <c r="J205" i="13"/>
  <c r="J530" i="13"/>
  <c r="J978" i="13"/>
  <c r="G978" i="13"/>
  <c r="J977" i="13"/>
  <c r="G977" i="13"/>
  <c r="J528" i="13"/>
  <c r="J194" i="13"/>
  <c r="H194" i="13"/>
  <c r="J192" i="13"/>
  <c r="J191" i="13"/>
  <c r="J190" i="13"/>
  <c r="J189" i="13"/>
  <c r="J188" i="13"/>
  <c r="H188" i="13"/>
  <c r="J503" i="13"/>
  <c r="J182" i="13"/>
  <c r="J181" i="13"/>
  <c r="J467" i="13"/>
  <c r="J175" i="13"/>
  <c r="J465" i="13"/>
  <c r="H465" i="13"/>
  <c r="J464" i="13"/>
  <c r="H464" i="13"/>
  <c r="J174" i="13"/>
  <c r="J173" i="13"/>
  <c r="J172" i="13"/>
  <c r="J171" i="13"/>
  <c r="J170" i="13"/>
  <c r="J169" i="13"/>
  <c r="J168" i="13"/>
  <c r="J167" i="13"/>
  <c r="J164" i="13"/>
  <c r="J156" i="13"/>
  <c r="H156" i="13"/>
  <c r="J895" i="13"/>
  <c r="G895" i="13"/>
  <c r="E895" i="13"/>
  <c r="E859" i="13" s="1"/>
  <c r="J155" i="13"/>
  <c r="H155" i="13"/>
  <c r="J153" i="13"/>
  <c r="J152" i="13"/>
  <c r="J151" i="13"/>
  <c r="J879" i="13"/>
  <c r="H879" i="13"/>
  <c r="H859" i="13" s="1"/>
  <c r="G879" i="13"/>
  <c r="J126" i="13"/>
  <c r="I126" i="13"/>
  <c r="H126" i="13"/>
  <c r="F126" i="13"/>
  <c r="J124" i="13"/>
  <c r="I124" i="13"/>
  <c r="H124" i="13"/>
  <c r="F124" i="13"/>
  <c r="J119" i="13"/>
  <c r="J118" i="13" s="1"/>
  <c r="H119" i="13"/>
  <c r="H118" i="13" s="1"/>
  <c r="F119" i="13"/>
  <c r="F118" i="13" s="1"/>
  <c r="J117" i="13"/>
  <c r="J116" i="13" s="1"/>
  <c r="I116" i="13"/>
  <c r="H116" i="13"/>
  <c r="G116" i="13"/>
  <c r="F116" i="13"/>
  <c r="E116" i="13"/>
  <c r="J111" i="13"/>
  <c r="H111" i="13"/>
  <c r="J107" i="13"/>
  <c r="J106" i="13"/>
  <c r="H106" i="13"/>
  <c r="J105" i="13"/>
  <c r="H105" i="13"/>
  <c r="J100" i="13"/>
  <c r="J98" i="13"/>
  <c r="J95" i="13"/>
  <c r="I95" i="13"/>
  <c r="H95" i="13"/>
  <c r="G95" i="13"/>
  <c r="F95" i="13"/>
  <c r="J94" i="13"/>
  <c r="I94" i="13"/>
  <c r="H94" i="13"/>
  <c r="G94" i="13"/>
  <c r="F94" i="13"/>
  <c r="J87" i="13"/>
  <c r="J86" i="13" s="1"/>
  <c r="H86" i="13"/>
  <c r="J82" i="13"/>
  <c r="H82" i="13"/>
  <c r="J81" i="13"/>
  <c r="H81" i="13"/>
  <c r="J79" i="13"/>
  <c r="H79" i="13"/>
  <c r="J78" i="13"/>
  <c r="H78" i="13"/>
  <c r="J76" i="13"/>
  <c r="H76" i="13"/>
  <c r="F76" i="13"/>
  <c r="J75" i="13"/>
  <c r="J72" i="13"/>
  <c r="J74" i="13"/>
  <c r="J60" i="13"/>
  <c r="J59" i="13" s="1"/>
  <c r="H60" i="13"/>
  <c r="H59" i="13" s="1"/>
  <c r="E59" i="13"/>
  <c r="E788" i="13" l="1"/>
  <c r="E677" i="13" s="1"/>
  <c r="J851" i="13"/>
  <c r="J721" i="13"/>
  <c r="J859" i="13"/>
  <c r="G859" i="13"/>
  <c r="J808" i="13"/>
  <c r="J818" i="13"/>
  <c r="D854" i="13"/>
  <c r="H425" i="13"/>
  <c r="J286" i="13"/>
  <c r="J362" i="13"/>
  <c r="J827" i="13"/>
  <c r="D1151" i="13"/>
  <c r="D627" i="13"/>
  <c r="D712" i="13"/>
  <c r="F286" i="13"/>
  <c r="J831" i="13"/>
  <c r="D683" i="13"/>
  <c r="F362" i="13"/>
  <c r="C1182" i="13"/>
  <c r="C1181" i="13" s="1"/>
  <c r="J382" i="13"/>
  <c r="J399" i="13"/>
  <c r="J389" i="13"/>
  <c r="D632" i="13"/>
  <c r="C1133" i="13"/>
  <c r="C690" i="13"/>
  <c r="C1164" i="13"/>
  <c r="C729" i="13"/>
  <c r="C665" i="13"/>
  <c r="C658" i="13" s="1"/>
  <c r="D658" i="13"/>
  <c r="C641" i="13"/>
  <c r="D635" i="13"/>
  <c r="C308" i="13"/>
  <c r="D289" i="13"/>
  <c r="C907" i="13"/>
  <c r="C646" i="13"/>
  <c r="C645" i="13" s="1"/>
  <c r="C596" i="13"/>
  <c r="C1163" i="13"/>
  <c r="E68" i="13"/>
  <c r="E104" i="13"/>
  <c r="I68" i="13"/>
  <c r="E96" i="13"/>
  <c r="I96" i="13"/>
  <c r="I104" i="13"/>
  <c r="H89" i="13"/>
  <c r="G244" i="13"/>
  <c r="H96" i="13"/>
  <c r="H104" i="13"/>
  <c r="C1119" i="13"/>
  <c r="C1117" i="13" s="1"/>
  <c r="C628" i="13"/>
  <c r="C627" i="13" s="1"/>
  <c r="C765" i="13"/>
  <c r="C764" i="13" s="1"/>
  <c r="J237" i="13"/>
  <c r="F244" i="13"/>
  <c r="J244" i="13"/>
  <c r="C876" i="13"/>
  <c r="C1166" i="13"/>
  <c r="C687" i="13"/>
  <c r="C776" i="13"/>
  <c r="C775" i="13" s="1"/>
  <c r="C633" i="13"/>
  <c r="C632" i="13" s="1"/>
  <c r="C1137" i="13"/>
  <c r="C1136" i="13" s="1"/>
  <c r="C1123" i="13"/>
  <c r="F89" i="13"/>
  <c r="C342" i="13"/>
  <c r="C341" i="13" s="1"/>
  <c r="C814" i="13"/>
  <c r="C1154" i="13"/>
  <c r="C1184" i="13"/>
  <c r="C1183" i="13" s="1"/>
  <c r="C713" i="13"/>
  <c r="C855" i="13"/>
  <c r="C854" i="13" s="1"/>
  <c r="C1139" i="13"/>
  <c r="C1138" i="13" s="1"/>
  <c r="J89" i="13"/>
  <c r="G237" i="13"/>
  <c r="G68" i="13"/>
  <c r="G96" i="13"/>
  <c r="G104" i="13"/>
  <c r="E244" i="13"/>
  <c r="I244" i="13"/>
  <c r="F68" i="13"/>
  <c r="J68" i="13"/>
  <c r="I89" i="13"/>
  <c r="F96" i="13"/>
  <c r="J96" i="13"/>
  <c r="F104" i="13"/>
  <c r="J104" i="13"/>
  <c r="E237" i="13"/>
  <c r="I237" i="13"/>
  <c r="H244" i="13"/>
  <c r="H68" i="13"/>
  <c r="G89" i="13"/>
  <c r="F237" i="13"/>
  <c r="C639" i="13"/>
  <c r="D503" i="13"/>
  <c r="C503" i="13" s="1"/>
  <c r="D189" i="13"/>
  <c r="C189" i="13" s="1"/>
  <c r="D219" i="13"/>
  <c r="C219" i="13" s="1"/>
  <c r="D229" i="13"/>
  <c r="C229" i="13" s="1"/>
  <c r="D239" i="13"/>
  <c r="C239" i="13" s="1"/>
  <c r="D288" i="13"/>
  <c r="D403" i="13"/>
  <c r="D405" i="13"/>
  <c r="C405" i="13" s="1"/>
  <c r="D407" i="13"/>
  <c r="C407" i="13" s="1"/>
  <c r="D410" i="13"/>
  <c r="C410" i="13" s="1"/>
  <c r="D412" i="13"/>
  <c r="C412" i="13" s="1"/>
  <c r="D565" i="13"/>
  <c r="C565" i="13" s="1"/>
  <c r="D795" i="13"/>
  <c r="D822" i="13"/>
  <c r="C822" i="13" s="1"/>
  <c r="D838" i="13"/>
  <c r="C838" i="13" s="1"/>
  <c r="D845" i="13"/>
  <c r="C845" i="13" s="1"/>
  <c r="D847" i="13"/>
  <c r="C847" i="13" s="1"/>
  <c r="D723" i="13"/>
  <c r="D734" i="13"/>
  <c r="D733" i="13" s="1"/>
  <c r="D728" i="13"/>
  <c r="D727" i="13" s="1"/>
  <c r="D105" i="13"/>
  <c r="D238" i="13"/>
  <c r="D245" i="13"/>
  <c r="D254" i="13"/>
  <c r="D251" i="13" s="1"/>
  <c r="D367" i="13"/>
  <c r="D807" i="13"/>
  <c r="D806" i="13" s="1"/>
  <c r="D76" i="13"/>
  <c r="D879" i="13"/>
  <c r="D156" i="13"/>
  <c r="D169" i="13"/>
  <c r="C169" i="13" s="1"/>
  <c r="D171" i="13"/>
  <c r="C171" i="13" s="1"/>
  <c r="D467" i="13"/>
  <c r="C467" i="13" s="1"/>
  <c r="D181" i="13"/>
  <c r="C181" i="13" s="1"/>
  <c r="D192" i="13"/>
  <c r="C192" i="13" s="1"/>
  <c r="D205" i="13"/>
  <c r="C205" i="13" s="1"/>
  <c r="D211" i="13"/>
  <c r="C211" i="13" s="1"/>
  <c r="D1051" i="13"/>
  <c r="C1051" i="13" s="1"/>
  <c r="D218" i="13"/>
  <c r="C218" i="13" s="1"/>
  <c r="D369" i="13"/>
  <c r="D372" i="13"/>
  <c r="D374" i="13"/>
  <c r="D377" i="13"/>
  <c r="D375" i="13"/>
  <c r="D383" i="13"/>
  <c r="C383" i="13" s="1"/>
  <c r="D385" i="13"/>
  <c r="C385" i="13" s="1"/>
  <c r="D813" i="13"/>
  <c r="C813" i="13" s="1"/>
  <c r="D391" i="13"/>
  <c r="C391" i="13" s="1"/>
  <c r="D823" i="13"/>
  <c r="C823" i="13" s="1"/>
  <c r="D852" i="13"/>
  <c r="D1104" i="13"/>
  <c r="D1103" i="13" s="1"/>
  <c r="D98" i="13"/>
  <c r="D117" i="13"/>
  <c r="D116" i="13" s="1"/>
  <c r="D287" i="13"/>
  <c r="D319" i="13"/>
  <c r="D318" i="13" s="1"/>
  <c r="D835" i="13"/>
  <c r="C835" i="13" s="1"/>
  <c r="D861" i="13"/>
  <c r="D821" i="13"/>
  <c r="D1109" i="13"/>
  <c r="D1107" i="13" s="1"/>
  <c r="D79" i="13"/>
  <c r="D107" i="13"/>
  <c r="D124" i="13"/>
  <c r="C124" i="13" s="1"/>
  <c r="D152" i="13"/>
  <c r="C152" i="13" s="1"/>
  <c r="D155" i="13"/>
  <c r="C155" i="13" s="1"/>
  <c r="D167" i="13"/>
  <c r="C167" i="13" s="1"/>
  <c r="D464" i="13"/>
  <c r="D528" i="13"/>
  <c r="C528" i="13" s="1"/>
  <c r="D978" i="13"/>
  <c r="C978" i="13" s="1"/>
  <c r="D207" i="13"/>
  <c r="C207" i="13" s="1"/>
  <c r="D188" i="13"/>
  <c r="D190" i="13"/>
  <c r="C190" i="13" s="1"/>
  <c r="D220" i="13"/>
  <c r="D604" i="13"/>
  <c r="D241" i="13"/>
  <c r="C241" i="13" s="1"/>
  <c r="D409" i="13"/>
  <c r="D406" i="13"/>
  <c r="C406" i="13" s="1"/>
  <c r="D408" i="13"/>
  <c r="C408" i="13" s="1"/>
  <c r="D411" i="13"/>
  <c r="C411" i="13" s="1"/>
  <c r="D724" i="13"/>
  <c r="C724" i="13" s="1"/>
  <c r="D834" i="13"/>
  <c r="C834" i="13" s="1"/>
  <c r="D844" i="13"/>
  <c r="C844" i="13" s="1"/>
  <c r="D846" i="13"/>
  <c r="C846" i="13" s="1"/>
  <c r="D848" i="13"/>
  <c r="C848" i="13" s="1"/>
  <c r="D853" i="13"/>
  <c r="C853" i="13" s="1"/>
  <c r="D656" i="13"/>
  <c r="D655" i="13" s="1"/>
  <c r="D828" i="13"/>
  <c r="D722" i="13"/>
  <c r="D830" i="13"/>
  <c r="D1131" i="13"/>
  <c r="D60" i="13"/>
  <c r="D59" i="13" s="1"/>
  <c r="D94" i="13"/>
  <c r="D74" i="13"/>
  <c r="D87" i="13"/>
  <c r="D119" i="13"/>
  <c r="D258" i="13"/>
  <c r="D257" i="13" s="1"/>
  <c r="D809" i="13"/>
  <c r="D390" i="13"/>
  <c r="D1130" i="13"/>
  <c r="D72" i="13"/>
  <c r="D82" i="13"/>
  <c r="D75" i="13"/>
  <c r="D78" i="13"/>
  <c r="D81" i="13"/>
  <c r="D95" i="13"/>
  <c r="C95" i="13" s="1"/>
  <c r="D100" i="13"/>
  <c r="C100" i="13" s="1"/>
  <c r="D106" i="13"/>
  <c r="D111" i="13"/>
  <c r="D126" i="13"/>
  <c r="C126" i="13" s="1"/>
  <c r="D151" i="13"/>
  <c r="C151" i="13" s="1"/>
  <c r="D153" i="13"/>
  <c r="C153" i="13" s="1"/>
  <c r="D895" i="13"/>
  <c r="C895" i="13" s="1"/>
  <c r="D164" i="13"/>
  <c r="D168" i="13"/>
  <c r="C168" i="13" s="1"/>
  <c r="D170" i="13"/>
  <c r="C170" i="13" s="1"/>
  <c r="D172" i="13"/>
  <c r="C172" i="13" s="1"/>
  <c r="D173" i="13"/>
  <c r="C173" i="13" s="1"/>
  <c r="D174" i="13"/>
  <c r="C174" i="13" s="1"/>
  <c r="D465" i="13"/>
  <c r="C465" i="13" s="1"/>
  <c r="D175" i="13"/>
  <c r="C175" i="13" s="1"/>
  <c r="D182" i="13"/>
  <c r="D191" i="13"/>
  <c r="C191" i="13" s="1"/>
  <c r="D194" i="13"/>
  <c r="D977" i="13"/>
  <c r="C977" i="13" s="1"/>
  <c r="D530" i="13"/>
  <c r="C530" i="13" s="1"/>
  <c r="D206" i="13"/>
  <c r="D208" i="13"/>
  <c r="D212" i="13"/>
  <c r="C212" i="13" s="1"/>
  <c r="D586" i="13"/>
  <c r="C586" i="13" s="1"/>
  <c r="D1052" i="13"/>
  <c r="C1052" i="13" s="1"/>
  <c r="D240" i="13"/>
  <c r="C240" i="13" s="1"/>
  <c r="D246" i="13"/>
  <c r="D368" i="13"/>
  <c r="D371" i="13"/>
  <c r="D373" i="13"/>
  <c r="D791" i="13"/>
  <c r="D376" i="13"/>
  <c r="D379" i="13"/>
  <c r="D384" i="13"/>
  <c r="C384" i="13" s="1"/>
  <c r="D812" i="13"/>
  <c r="C812" i="13" s="1"/>
  <c r="D393" i="13"/>
  <c r="C393" i="13" s="1"/>
  <c r="D826" i="13"/>
  <c r="C826" i="13" s="1"/>
  <c r="J325" i="13"/>
  <c r="J323" i="13" s="1"/>
  <c r="I35" i="13"/>
  <c r="H325" i="13"/>
  <c r="H323" i="13" s="1"/>
  <c r="F325" i="13"/>
  <c r="F323" i="13" s="1"/>
  <c r="J29" i="13"/>
  <c r="J28" i="13" s="1"/>
  <c r="I29" i="13"/>
  <c r="I28" i="13" s="1"/>
  <c r="H29" i="13"/>
  <c r="H28" i="13" s="1"/>
  <c r="G29" i="13"/>
  <c r="G28" i="13" s="1"/>
  <c r="F29" i="13"/>
  <c r="F28" i="13" s="1"/>
  <c r="J12" i="13"/>
  <c r="J11" i="13" s="1"/>
  <c r="J681" i="13"/>
  <c r="H681" i="13"/>
  <c r="H678" i="13" s="1"/>
  <c r="H677" i="13" s="1"/>
  <c r="G681" i="13"/>
  <c r="J680" i="13"/>
  <c r="G680" i="13"/>
  <c r="J439" i="13"/>
  <c r="I120" i="13"/>
  <c r="H120" i="13"/>
  <c r="G120" i="13"/>
  <c r="F120" i="13"/>
  <c r="E120" i="13"/>
  <c r="D788" i="13" l="1"/>
  <c r="D721" i="13"/>
  <c r="D808" i="13"/>
  <c r="H285" i="13"/>
  <c r="D1129" i="13"/>
  <c r="D827" i="13"/>
  <c r="D851" i="13"/>
  <c r="J678" i="13"/>
  <c r="J677" i="13" s="1"/>
  <c r="D818" i="13"/>
  <c r="C1151" i="13"/>
  <c r="G678" i="13"/>
  <c r="G677" i="13" s="1"/>
  <c r="D389" i="13"/>
  <c r="J120" i="13"/>
  <c r="J425" i="13"/>
  <c r="J285" i="13" s="1"/>
  <c r="C409" i="13"/>
  <c r="D399" i="13"/>
  <c r="D362" i="13"/>
  <c r="C288" i="13"/>
  <c r="D286" i="13"/>
  <c r="V1183" i="13"/>
  <c r="C807" i="13"/>
  <c r="C806" i="13" s="1"/>
  <c r="C464" i="13"/>
  <c r="I10" i="13"/>
  <c r="I8" i="13" s="1"/>
  <c r="F35" i="13"/>
  <c r="F10" i="13" s="1"/>
  <c r="H35" i="13"/>
  <c r="H10" i="13" s="1"/>
  <c r="J35" i="13"/>
  <c r="E35" i="13"/>
  <c r="E10" i="13" s="1"/>
  <c r="G35" i="13"/>
  <c r="G10" i="13" s="1"/>
  <c r="C287" i="13"/>
  <c r="C809" i="13"/>
  <c r="C808" i="13" s="1"/>
  <c r="C830" i="13"/>
  <c r="C1109" i="13"/>
  <c r="C319" i="13"/>
  <c r="C318" i="13" s="1"/>
  <c r="C734" i="13"/>
  <c r="C733" i="13" s="1"/>
  <c r="C722" i="13"/>
  <c r="C821" i="13"/>
  <c r="C818" i="13" s="1"/>
  <c r="C1104" i="13"/>
  <c r="C1103" i="13" s="1"/>
  <c r="C728" i="13"/>
  <c r="C723" i="13"/>
  <c r="C390" i="13"/>
  <c r="C1131" i="13"/>
  <c r="C1130" i="13"/>
  <c r="C828" i="13"/>
  <c r="C827" i="13" s="1"/>
  <c r="C852" i="13"/>
  <c r="C851" i="13" s="1"/>
  <c r="C98" i="13"/>
  <c r="D96" i="13"/>
  <c r="C94" i="13"/>
  <c r="C89" i="13" s="1"/>
  <c r="D89" i="13"/>
  <c r="D266" i="13"/>
  <c r="C87" i="13"/>
  <c r="C86" i="13" s="1"/>
  <c r="D86" i="13"/>
  <c r="C656" i="13"/>
  <c r="C655" i="13" s="1"/>
  <c r="D104" i="13"/>
  <c r="D68" i="13"/>
  <c r="D244" i="13"/>
  <c r="C119" i="13"/>
  <c r="C118" i="13" s="1"/>
  <c r="D118" i="13"/>
  <c r="C238" i="13"/>
  <c r="C237" i="13" s="1"/>
  <c r="D237" i="13"/>
  <c r="D12" i="13"/>
  <c r="D11" i="13" s="1"/>
  <c r="D29" i="13"/>
  <c r="D28" i="13" s="1"/>
  <c r="D439" i="13"/>
  <c r="D325" i="13"/>
  <c r="D323" i="13" s="1"/>
  <c r="D680" i="13"/>
  <c r="D681" i="13"/>
  <c r="C681" i="13" s="1"/>
  <c r="N439" i="13"/>
  <c r="N425" i="13" s="1"/>
  <c r="H8" i="13" l="1"/>
  <c r="C721" i="13"/>
  <c r="D678" i="13"/>
  <c r="C286" i="13"/>
  <c r="D120" i="13"/>
  <c r="D425" i="13"/>
  <c r="J10" i="13"/>
  <c r="J8" i="13" s="1"/>
  <c r="V264" i="13"/>
  <c r="V439" i="13"/>
  <c r="C325" i="13"/>
  <c r="C323" i="13" s="1"/>
  <c r="D35" i="13"/>
  <c r="C12" i="13"/>
  <c r="C680" i="13"/>
  <c r="C678" i="13" s="1"/>
  <c r="C267" i="13"/>
  <c r="C266" i="13" s="1"/>
  <c r="V267" i="13"/>
  <c r="C439" i="13"/>
  <c r="D1148" i="13"/>
  <c r="D1147" i="13" s="1"/>
  <c r="G331" i="13"/>
  <c r="G328" i="13" s="1"/>
  <c r="G285" i="13" s="1"/>
  <c r="G8" i="13" s="1"/>
  <c r="F331" i="13"/>
  <c r="F328" i="13" s="1"/>
  <c r="F285" i="13" s="1"/>
  <c r="F8" i="13" s="1"/>
  <c r="E331" i="13"/>
  <c r="E328" i="13" s="1"/>
  <c r="E285" i="13" s="1"/>
  <c r="E8" i="13" s="1"/>
  <c r="R331" i="13"/>
  <c r="R328" i="13" s="1"/>
  <c r="R285" i="13" s="1"/>
  <c r="D10" i="13" l="1"/>
  <c r="C1148" i="13"/>
  <c r="C1147" i="13" s="1"/>
  <c r="V331" i="13"/>
  <c r="D331" i="13"/>
  <c r="D983" i="13"/>
  <c r="D859" i="13" s="1"/>
  <c r="D1111" i="13"/>
  <c r="D1110" i="13" s="1"/>
  <c r="D332" i="13"/>
  <c r="D328" i="13" l="1"/>
  <c r="C332" i="13"/>
  <c r="C983" i="13"/>
  <c r="C1111" i="13"/>
  <c r="C1110" i="13" s="1"/>
  <c r="C331" i="13"/>
  <c r="D832" i="13"/>
  <c r="D831" i="13" s="1"/>
  <c r="N630" i="13"/>
  <c r="C328" i="13" l="1"/>
  <c r="C832" i="13"/>
  <c r="C753" i="13"/>
  <c r="V753" i="13"/>
  <c r="C752" i="13"/>
  <c r="V752" i="13"/>
  <c r="C749" i="13"/>
  <c r="V749" i="13"/>
  <c r="V631" i="13"/>
  <c r="C344" i="13"/>
  <c r="C343" i="13" s="1"/>
  <c r="V344" i="13"/>
  <c r="D755" i="13"/>
  <c r="D754" i="13" s="1"/>
  <c r="D677" i="13" s="1"/>
  <c r="D631" i="13"/>
  <c r="D630" i="13" s="1"/>
  <c r="C748" i="13" l="1"/>
  <c r="V748" i="13" s="1"/>
  <c r="C631" i="13"/>
  <c r="C630" i="13" s="1"/>
  <c r="C755" i="13"/>
  <c r="C754" i="13" s="1"/>
  <c r="C553" i="13" l="1"/>
  <c r="D388" i="13"/>
  <c r="D387" i="13"/>
  <c r="S82" i="13"/>
  <c r="C203" i="13"/>
  <c r="C188" i="13"/>
  <c r="C394" i="13"/>
  <c r="C392" i="13"/>
  <c r="C29" i="13"/>
  <c r="C28" i="13" s="1"/>
  <c r="N268" i="13"/>
  <c r="C650" i="13"/>
  <c r="R257" i="13"/>
  <c r="V254" i="13"/>
  <c r="V253" i="13"/>
  <c r="C640" i="13"/>
  <c r="C638" i="13"/>
  <c r="C1124" i="13"/>
  <c r="C1121" i="13" s="1"/>
  <c r="V246" i="13"/>
  <c r="C227" i="13"/>
  <c r="C194" i="13"/>
  <c r="V156" i="13"/>
  <c r="R116" i="13"/>
  <c r="C413" i="13"/>
  <c r="C111" i="13"/>
  <c r="C403" i="13"/>
  <c r="V106" i="13"/>
  <c r="N66" i="13"/>
  <c r="N49" i="13"/>
  <c r="C34" i="13"/>
  <c r="C33" i="13" s="1"/>
  <c r="C731" i="13"/>
  <c r="C727" i="13" s="1"/>
  <c r="C290" i="13"/>
  <c r="C208" i="13"/>
  <c r="C1077" i="13"/>
  <c r="C182" i="13"/>
  <c r="V220" i="13"/>
  <c r="C604" i="13"/>
  <c r="S372" i="13"/>
  <c r="S371" i="13"/>
  <c r="P367" i="13"/>
  <c r="P369" i="13"/>
  <c r="C282" i="13"/>
  <c r="C280" i="13"/>
  <c r="P164" i="13"/>
  <c r="V164" i="13"/>
  <c r="C861" i="13"/>
  <c r="C896" i="13"/>
  <c r="C864" i="13"/>
  <c r="C349" i="13"/>
  <c r="C348" i="13" s="1"/>
  <c r="C685" i="13"/>
  <c r="C355" i="13"/>
  <c r="C352" i="13" s="1"/>
  <c r="C27" i="13"/>
  <c r="C26" i="13" s="1"/>
  <c r="C718" i="13"/>
  <c r="C715" i="13" s="1"/>
  <c r="C441" i="13"/>
  <c r="C648" i="13"/>
  <c r="C649" i="13"/>
  <c r="C431" i="13"/>
  <c r="V70" i="13"/>
  <c r="V69" i="13"/>
  <c r="N74" i="13"/>
  <c r="R74" i="13"/>
  <c r="V71" i="13"/>
  <c r="V75" i="13"/>
  <c r="S75" i="13"/>
  <c r="N77" i="13"/>
  <c r="V77" i="13" s="1"/>
  <c r="P77" i="13"/>
  <c r="R77" i="13"/>
  <c r="V76" i="13"/>
  <c r="S76" i="13"/>
  <c r="V78" i="13"/>
  <c r="S78" i="13"/>
  <c r="V79" i="13"/>
  <c r="P79" i="13"/>
  <c r="S79" i="13"/>
  <c r="P80" i="13"/>
  <c r="R80" i="13"/>
  <c r="N81" i="13"/>
  <c r="V81" i="13" s="1"/>
  <c r="V82" i="13"/>
  <c r="N83" i="13"/>
  <c r="V83" i="13" s="1"/>
  <c r="R83" i="13"/>
  <c r="S83" i="13"/>
  <c r="N84" i="13"/>
  <c r="V84" i="13" s="1"/>
  <c r="R84" i="13"/>
  <c r="S84" i="13"/>
  <c r="C366" i="13"/>
  <c r="P368" i="13"/>
  <c r="S368" i="13"/>
  <c r="N373" i="13"/>
  <c r="N362" i="13" s="1"/>
  <c r="N285" i="13" s="1"/>
  <c r="P377" i="13"/>
  <c r="V791" i="13"/>
  <c r="S375" i="13"/>
  <c r="P378" i="13"/>
  <c r="S378" i="13"/>
  <c r="P379" i="13"/>
  <c r="S379" i="13"/>
  <c r="C380" i="13"/>
  <c r="C381" i="13"/>
  <c r="P790" i="13"/>
  <c r="S790" i="13"/>
  <c r="P793" i="13"/>
  <c r="S793" i="13"/>
  <c r="P794" i="13"/>
  <c r="S794" i="13"/>
  <c r="P795" i="13"/>
  <c r="S795" i="13"/>
  <c r="S797" i="13"/>
  <c r="S798" i="13"/>
  <c r="P799" i="13"/>
  <c r="C800" i="13"/>
  <c r="S801" i="13"/>
  <c r="S802" i="13"/>
  <c r="S803" i="13"/>
  <c r="S804" i="13"/>
  <c r="P788" i="13" l="1"/>
  <c r="S788" i="13"/>
  <c r="P677" i="13"/>
  <c r="S677" i="13"/>
  <c r="C647" i="13"/>
  <c r="S362" i="13"/>
  <c r="S285" i="13" s="1"/>
  <c r="P362" i="13"/>
  <c r="P285" i="13" s="1"/>
  <c r="C635" i="13"/>
  <c r="C399" i="13"/>
  <c r="C388" i="13"/>
  <c r="D382" i="13"/>
  <c r="D285" i="13" s="1"/>
  <c r="D8" i="13" s="1"/>
  <c r="C320" i="13"/>
  <c r="N68" i="13"/>
  <c r="R68" i="13"/>
  <c r="C270" i="13"/>
  <c r="C387" i="13"/>
  <c r="V373" i="13"/>
  <c r="C1089" i="13"/>
  <c r="C306" i="13"/>
  <c r="C289" i="13" s="1"/>
  <c r="R104" i="13"/>
  <c r="V46" i="13"/>
  <c r="C52" i="13"/>
  <c r="R49" i="13"/>
  <c r="C879" i="13"/>
  <c r="R120" i="13"/>
  <c r="C196" i="13"/>
  <c r="L120" i="13"/>
  <c r="L10" i="13" s="1"/>
  <c r="L8" i="13" s="1"/>
  <c r="S68" i="13"/>
  <c r="S10" i="13" s="1"/>
  <c r="P120" i="13"/>
  <c r="N38" i="13"/>
  <c r="N104" i="13"/>
  <c r="R244" i="13"/>
  <c r="V252" i="13"/>
  <c r="N251" i="13"/>
  <c r="V258" i="13"/>
  <c r="N257" i="13"/>
  <c r="V74" i="13"/>
  <c r="V117" i="13"/>
  <c r="N116" i="13"/>
  <c r="V245" i="13"/>
  <c r="N244" i="13"/>
  <c r="N120" i="13"/>
  <c r="P68" i="13"/>
  <c r="R251" i="13"/>
  <c r="C368" i="13"/>
  <c r="C228" i="13"/>
  <c r="V228" i="13"/>
  <c r="C221" i="13"/>
  <c r="V221" i="13"/>
  <c r="C986" i="13"/>
  <c r="V986" i="13"/>
  <c r="C21" i="13"/>
  <c r="V21" i="13"/>
  <c r="C40" i="13"/>
  <c r="V40" i="13"/>
  <c r="C99" i="13"/>
  <c r="V99" i="13"/>
  <c r="C230" i="13"/>
  <c r="V230" i="13"/>
  <c r="C25" i="13"/>
  <c r="C24" i="13" s="1"/>
  <c r="V25" i="13"/>
  <c r="C206" i="13"/>
  <c r="V206" i="13"/>
  <c r="C214" i="13"/>
  <c r="V214" i="13"/>
  <c r="C143" i="13"/>
  <c r="V143" i="13"/>
  <c r="C23" i="13"/>
  <c r="V23" i="13"/>
  <c r="C51" i="13"/>
  <c r="V51" i="13"/>
  <c r="C67" i="13"/>
  <c r="V67" i="13"/>
  <c r="C123" i="13"/>
  <c r="V123" i="13"/>
  <c r="C269" i="13"/>
  <c r="C268" i="13" s="1"/>
  <c r="V269" i="13"/>
  <c r="C115" i="13"/>
  <c r="C114" i="13" s="1"/>
  <c r="V115" i="13"/>
  <c r="C73" i="13"/>
  <c r="V73" i="13"/>
  <c r="C72" i="13"/>
  <c r="V72" i="13"/>
  <c r="C60" i="13"/>
  <c r="V60" i="13"/>
  <c r="C146" i="13"/>
  <c r="V146" i="13"/>
  <c r="C144" i="13"/>
  <c r="V144" i="13"/>
  <c r="C233" i="13"/>
  <c r="V233" i="13"/>
  <c r="C42" i="13"/>
  <c r="V42" i="13"/>
  <c r="C65" i="13"/>
  <c r="C64" i="13" s="1"/>
  <c r="V65" i="13"/>
  <c r="C105" i="13"/>
  <c r="V105" i="13"/>
  <c r="C225" i="13"/>
  <c r="V225" i="13"/>
  <c r="C145" i="13"/>
  <c r="V145" i="13"/>
  <c r="C199" i="13"/>
  <c r="V199" i="13"/>
  <c r="C16" i="13"/>
  <c r="V16" i="13"/>
  <c r="C22" i="13"/>
  <c r="V22" i="13"/>
  <c r="C41" i="13"/>
  <c r="V41" i="13"/>
  <c r="C54" i="13"/>
  <c r="V54" i="13"/>
  <c r="C102" i="13"/>
  <c r="V102" i="13"/>
  <c r="C107" i="13"/>
  <c r="V107" i="13"/>
  <c r="C213" i="13"/>
  <c r="V213" i="13"/>
  <c r="C165" i="13"/>
  <c r="V165" i="13"/>
  <c r="C833" i="13"/>
  <c r="C831" i="13" s="1"/>
  <c r="V833" i="13"/>
  <c r="C246" i="13"/>
  <c r="C106" i="13"/>
  <c r="C117" i="13"/>
  <c r="C1108" i="13"/>
  <c r="C1107" i="13" s="1"/>
  <c r="C364" i="13"/>
  <c r="C373" i="13"/>
  <c r="C82" i="13"/>
  <c r="C80" i="13"/>
  <c r="C69" i="13"/>
  <c r="C79" i="13"/>
  <c r="C75" i="13"/>
  <c r="C448" i="13"/>
  <c r="C546" i="13"/>
  <c r="C369" i="13"/>
  <c r="C245" i="13"/>
  <c r="C386" i="13"/>
  <c r="C804" i="13"/>
  <c r="C798" i="13"/>
  <c r="C803" i="13"/>
  <c r="C797" i="13"/>
  <c r="C791" i="13"/>
  <c r="C84" i="13"/>
  <c r="C78" i="13"/>
  <c r="C71" i="13"/>
  <c r="C376" i="13"/>
  <c r="C374" i="13"/>
  <c r="C81" i="13"/>
  <c r="C70" i="13"/>
  <c r="C220" i="13"/>
  <c r="C156" i="13"/>
  <c r="C252" i="13"/>
  <c r="C254" i="13"/>
  <c r="C258" i="13"/>
  <c r="C257" i="13" s="1"/>
  <c r="C396" i="13"/>
  <c r="C794" i="13"/>
  <c r="C790" i="13"/>
  <c r="C46" i="13"/>
  <c r="C45" i="13" s="1"/>
  <c r="C398" i="13"/>
  <c r="C397" i="13" s="1"/>
  <c r="C164" i="13"/>
  <c r="C367" i="13"/>
  <c r="C802" i="13"/>
  <c r="C377" i="13"/>
  <c r="C83" i="13"/>
  <c r="C76" i="13"/>
  <c r="C886" i="13"/>
  <c r="C949" i="13"/>
  <c r="C371" i="13"/>
  <c r="C795" i="13"/>
  <c r="C793" i="13"/>
  <c r="C1143" i="13"/>
  <c r="C1141" i="13" s="1"/>
  <c r="C712" i="13"/>
  <c r="C801" i="13"/>
  <c r="C799" i="13"/>
  <c r="C379" i="13"/>
  <c r="C378" i="13"/>
  <c r="C375" i="13"/>
  <c r="C77" i="13"/>
  <c r="C74" i="13"/>
  <c r="C691" i="13"/>
  <c r="C683" i="13" s="1"/>
  <c r="C395" i="13"/>
  <c r="C372" i="13"/>
  <c r="C253" i="13"/>
  <c r="C1132" i="13"/>
  <c r="C1129" i="13" s="1"/>
  <c r="V26" i="13"/>
  <c r="V346" i="13"/>
  <c r="V420" i="13"/>
  <c r="V672" i="13"/>
  <c r="V768" i="13"/>
  <c r="V775" i="13"/>
  <c r="V851" i="13"/>
  <c r="V1136" i="13"/>
  <c r="V118" i="13"/>
  <c r="V719" i="13"/>
  <c r="V43" i="13"/>
  <c r="V266" i="13"/>
  <c r="V309" i="13"/>
  <c r="V733" i="13"/>
  <c r="V764" i="13"/>
  <c r="V827" i="13"/>
  <c r="V854" i="13"/>
  <c r="V1134" i="13"/>
  <c r="V1181" i="13"/>
  <c r="C788" i="13" l="1"/>
  <c r="C859" i="13"/>
  <c r="C677" i="13" s="1"/>
  <c r="C389" i="13"/>
  <c r="S8" i="13"/>
  <c r="C382" i="13"/>
  <c r="C425" i="13"/>
  <c r="C362" i="13"/>
  <c r="C244" i="13"/>
  <c r="V244" i="13" s="1"/>
  <c r="C11" i="13"/>
  <c r="C251" i="13"/>
  <c r="N10" i="13"/>
  <c r="N8" i="13" s="1"/>
  <c r="R10" i="13"/>
  <c r="R8" i="13" s="1"/>
  <c r="P10" i="13"/>
  <c r="P8" i="13" s="1"/>
  <c r="C59" i="13"/>
  <c r="V59" i="13" s="1"/>
  <c r="C116" i="13"/>
  <c r="V116" i="13" s="1"/>
  <c r="C68" i="13"/>
  <c r="C96" i="13"/>
  <c r="C66" i="13"/>
  <c r="V66" i="13" s="1"/>
  <c r="C53" i="13"/>
  <c r="V53" i="13" s="1"/>
  <c r="C104" i="13"/>
  <c r="C120" i="13"/>
  <c r="C49" i="13"/>
  <c r="C38" i="13"/>
  <c r="V24" i="13"/>
  <c r="V712" i="13"/>
  <c r="V268" i="13"/>
  <c r="V262" i="13"/>
  <c r="V55" i="13"/>
  <c r="V47" i="13"/>
  <c r="V318" i="13"/>
  <c r="V257" i="13"/>
  <c r="V64" i="13"/>
  <c r="V237" i="13"/>
  <c r="V114" i="13"/>
  <c r="V86" i="13"/>
  <c r="V397" i="13"/>
  <c r="V61" i="13"/>
  <c r="V30" i="13"/>
  <c r="V57" i="13"/>
  <c r="V259" i="13"/>
  <c r="V28" i="13"/>
  <c r="V247" i="13"/>
  <c r="C285" i="13" l="1"/>
  <c r="V89" i="13"/>
  <c r="V10" i="13"/>
  <c r="C10" i="13"/>
  <c r="V38" i="13"/>
  <c r="V33" i="13"/>
  <c r="V96" i="13"/>
  <c r="V251" i="13"/>
  <c r="V49" i="13"/>
  <c r="V104" i="13"/>
  <c r="V11" i="13"/>
  <c r="V120" i="13"/>
  <c r="C8" i="13" l="1"/>
  <c r="V255" i="13"/>
  <c r="V45" i="13"/>
  <c r="V270" i="13"/>
  <c r="V754" i="13"/>
  <c r="V35" i="13" l="1"/>
  <c r="V68" i="13"/>
  <c r="V242" i="13" l="1"/>
  <c r="V735" i="13"/>
</calcChain>
</file>

<file path=xl/sharedStrings.xml><?xml version="1.0" encoding="utf-8"?>
<sst xmlns="http://schemas.openxmlformats.org/spreadsheetml/2006/main" count="2248" uniqueCount="2017">
  <si>
    <t>Итого по Вяземскому городскому поселению Вяземского района Смоленской области</t>
  </si>
  <si>
    <t>Раздел 2. Перечень услуг и (или) работ по капитальному ремонту общего имущества в многоквартирных домах и их стоимость</t>
  </si>
  <si>
    <t>Итого по Кармановскому сельскому поселению Гагаринского района Смоленской области</t>
  </si>
  <si>
    <t>другие виды услуг (работ)</t>
  </si>
  <si>
    <t>Виды услуг и (или) работ по капитальному ремонту общего имущества в многоквартирном доме, установленные частью 1 статьи 166 Жилищного кодекса Российской Федерации</t>
  </si>
  <si>
    <t>установка коллективных (общедомовых) приборов учета потребления ресурсов, необходимых для предоставления коммунальных услуг, и узлов управления и регулирования потребления этих ресурсов</t>
  </si>
  <si>
    <t>ремонт подвальных помещений, относящихся к общему имуществу в МКД</t>
  </si>
  <si>
    <t>руб.</t>
  </si>
  <si>
    <t>ремонт крыши</t>
  </si>
  <si>
    <t>ремонт фасада</t>
  </si>
  <si>
    <t>ед.</t>
  </si>
  <si>
    <t>Г. Вязьма, ул. Ленина, д. 69б</t>
  </si>
  <si>
    <t>Виды услуг и (или) работ по капитальному ремонту общего имущества в многоквартирном доме, установленные статьей 6 областного закона 
от 31 октября 2013 года № 114-з «О регулировании отдельных вопросов в сфере обеспечения своевременного проведения капитального ремонта общего имущества в многоквартирных домах, расположенных на территории Смоленской области»</t>
  </si>
  <si>
    <t>Стоимость капитального ремонта, 
всего</t>
  </si>
  <si>
    <t>ремонт фундамента
МКД</t>
  </si>
  <si>
    <t>Адрес многоквартирного дома 
(далее также - МКД)</t>
  </si>
  <si>
    <t>№  п/п</t>
  </si>
  <si>
    <t>Г. Вязьма, ул. 25 Октября, д. 29</t>
  </si>
  <si>
    <t>кв. м</t>
  </si>
  <si>
    <t>Г. Велиж, ул. Ивановская, д. 9</t>
  </si>
  <si>
    <t>Г. Велиж, ул. Кропоткина, д. 18/12</t>
  </si>
  <si>
    <t>Г. Велиж, ул. Советская, д. 13</t>
  </si>
  <si>
    <t>Г. Велиж, ул. Советская, д. 26</t>
  </si>
  <si>
    <t>Г. Велиж, ул. Энгельса, д. 12</t>
  </si>
  <si>
    <t>Г. Велиж, ул. Энгельса, д. 170</t>
  </si>
  <si>
    <t>2020 год</t>
  </si>
  <si>
    <t>Итого по Смоленской области на 2020-2022 годы</t>
  </si>
  <si>
    <t>С. Хмелита, ул. Парковая, д. 6</t>
  </si>
  <si>
    <t>Итого по Степаниковскому сельскому поселению Вяземского района Смоленской области</t>
  </si>
  <si>
    <t>Дер. Тюхменево, ул. Карьероуправления, д. 12</t>
  </si>
  <si>
    <t>Итого по Семлевскому сельскому поселению Вяземского района Смоленской области</t>
  </si>
  <si>
    <t>С. Семлево, ул. Калинина, д. 17</t>
  </si>
  <si>
    <t>Г. Вязьма, ул. Красноармейское шоссе, д. 19</t>
  </si>
  <si>
    <t>Г. Вязьма, ул. Московская, д. 19</t>
  </si>
  <si>
    <t>Г. Вязьма, ул. Освобождения, д. 1</t>
  </si>
  <si>
    <t>Г. Вязьма, ул. Покровского, д. 3</t>
  </si>
  <si>
    <t>Г. Вязьма, ул. Полины Осипенко, д. 3</t>
  </si>
  <si>
    <t>Г. Вязьма, ул. Юбилейная, д. 15</t>
  </si>
  <si>
    <t>Г. Вязьма, ул. Ямская, д. 43</t>
  </si>
  <si>
    <t>Г. Вязьма, пер. Дзержинского, д. 4</t>
  </si>
  <si>
    <t>Г. Вязьма, пер. Дзержинского, д. 6</t>
  </si>
  <si>
    <t>Г. Вязьма, ул. 25 Октября, д. 1</t>
  </si>
  <si>
    <t>Г. Вязьма, ул. 25 Октября, д. 25</t>
  </si>
  <si>
    <t>Г. Вязьма, ул. 25 Октября, д. 3</t>
  </si>
  <si>
    <t>Г. Вязьма, ул. 25 Октября, д. 6</t>
  </si>
  <si>
    <t>Г. Вязьма, ул. 25 Октября, д. 8</t>
  </si>
  <si>
    <t>Г. Вязьма, ул. Заслонова, д. 9</t>
  </si>
  <si>
    <t>Г. Вязьма, ул. Кирова, д. 8</t>
  </si>
  <si>
    <t>Г. Вязьма, ул. Красноармейское шоссе, д. 15</t>
  </si>
  <si>
    <t>Г. Вязьма, ул. Кронштадтская, д. 1</t>
  </si>
  <si>
    <t>Г. Вязьма, ул. Ленина, д. 12</t>
  </si>
  <si>
    <t>Г. Вязьма, ул. Ленина, д. 4</t>
  </si>
  <si>
    <t>Г. Вязьма, ул. Ленина, д. 46</t>
  </si>
  <si>
    <t>Г. Вязьма, ул. Ленина, д. 61</t>
  </si>
  <si>
    <t>Г. Вязьма, ул. Ленина, д. 7</t>
  </si>
  <si>
    <t>Г. Вязьма, ул. Машинистов, д. 11</t>
  </si>
  <si>
    <t>Г. Вязьма, ул. Машинистов, д. 5</t>
  </si>
  <si>
    <t>Г. Вязьма, ул. Машинистов, д. 7</t>
  </si>
  <si>
    <t>Г. Вязьма, ул. Машинистов, д. 9</t>
  </si>
  <si>
    <t>Г. Вязьма, ул. Московская, д. 22</t>
  </si>
  <si>
    <t>Г. Вязьма, ул. Парижской Коммуны, д. 15</t>
  </si>
  <si>
    <t>Г. Вязьма, ул. Парижской Коммуны, д. 5</t>
  </si>
  <si>
    <t>Г. Вязьма, ул. Парижской Коммуны, д. 7</t>
  </si>
  <si>
    <t>Г. Вязьма, ул. Парижской Коммуны, д. 8</t>
  </si>
  <si>
    <t>Г. Вязьма, ул. Полевая, д. 1</t>
  </si>
  <si>
    <t>Г. Вязьма, ул. Полины Осипенко, д. 2б</t>
  </si>
  <si>
    <t>Г. Вязьма, ул. Просвещения, д. 7</t>
  </si>
  <si>
    <t>Г. Вязьма, ул. Репина, д. 11</t>
  </si>
  <si>
    <t>Г. Вязьма, ул. Репина, д. 14</t>
  </si>
  <si>
    <t>Г. Вязьма, ул. Репина, д. 9</t>
  </si>
  <si>
    <t>Г. Вязьма, ул. Смоленская, д. 19</t>
  </si>
  <si>
    <t>Г. Гагарин, пр. Сельхозтехника, д. 2</t>
  </si>
  <si>
    <t>Г. Гагарин, ул. 50 лет ВЛКСМ, д. 14</t>
  </si>
  <si>
    <t>Итого по Гагаринскому городскому поселению Гагаринского района Смоленской области</t>
  </si>
  <si>
    <t>Пос. Благодатное, д. 11</t>
  </si>
  <si>
    <t>С. Карманово, ул. Пролетарская, д. 12</t>
  </si>
  <si>
    <t xml:space="preserve">С. Карманово, ул. Самохина, д. 7 </t>
  </si>
  <si>
    <t>С. Карманово, ул. Советская, д. 50</t>
  </si>
  <si>
    <t>С. Карманово, ул. Советская, д. 50а</t>
  </si>
  <si>
    <t>С. Карманово, ул. Советская, д. 52</t>
  </si>
  <si>
    <t>Итого по Глинковскому сельскому поселению Глинковского района Смоленской области</t>
  </si>
  <si>
    <t>С. Глинка, ул. Ленина, д. 16</t>
  </si>
  <si>
    <t>Г. Демидов, пр. Суворовский, д. 12</t>
  </si>
  <si>
    <t>Г. Демидов, ул. Витебская, д. 8</t>
  </si>
  <si>
    <t>Г. Демидов, ул. Советская, д. 72</t>
  </si>
  <si>
    <t>Г. Демидов, ул. Фрадкова, д. 10</t>
  </si>
  <si>
    <t>Г. Демидов, ул. Фрадкова, д. 19</t>
  </si>
  <si>
    <t>Г. Демидов, ул. Хренова, д. 14б</t>
  </si>
  <si>
    <t>Дер. Центральная Усадьба, ул. Акатовская, д. 23</t>
  </si>
  <si>
    <t>Итого по Титовщинскому сельскому поселению Демидовского района Смоленской области</t>
  </si>
  <si>
    <t>Итого по Дорогобужскому городскому поселению Дорогобужского района Смоленской области</t>
  </si>
  <si>
    <t>Г. Дорогобуж, ул. ДОС, д. 4</t>
  </si>
  <si>
    <t>Г. Дорогобуж, ул. Калинина, д. 12</t>
  </si>
  <si>
    <t>Г. Дорогобуж, ул. Мира, д. 10</t>
  </si>
  <si>
    <t>Г. Дорогобуж, ул. Мира, д. 12</t>
  </si>
  <si>
    <t>Г. Дорогобуж, ул. Мира, д. 2</t>
  </si>
  <si>
    <t>Г. Дорогобуж, ул. Мира, д. 26</t>
  </si>
  <si>
    <t>Г. Дорогобуж, ул. Мира, д. 34</t>
  </si>
  <si>
    <t>Г. Дорогобуж, ул. Чистякова, д. 8</t>
  </si>
  <si>
    <t>Итого по Верхнеднепровскому городскому поселению Дорогобужского района Смоленской области</t>
  </si>
  <si>
    <t>Пос. Верхнеднепровский, пер. Днепровский, д. 6</t>
  </si>
  <si>
    <t>Пос. Верхнеднепровский, ул. Комсомольская, д. 3</t>
  </si>
  <si>
    <t>Пос. Верхнеднепровский, ул. Комсомольская, д. 4</t>
  </si>
  <si>
    <t>Пос. Верхнеднепровский, ул. Комсомольская, д. 6</t>
  </si>
  <si>
    <t>Пос. Верхнеднепровский, ул. Молодежная, д. 28</t>
  </si>
  <si>
    <t>Пос. Верхнеднепровский, ул. Молодежная, д. 4</t>
  </si>
  <si>
    <t>Пос. Верхнеднепровский, ул. Молодежная, д. 6</t>
  </si>
  <si>
    <t>Пос. Верхнеднепровский, ул. Советская, д. 11</t>
  </si>
  <si>
    <t>Пос. Верхнеднепровский, ул. Советская, д. 13</t>
  </si>
  <si>
    <t>Пос. Верхнеднепровский, ул. Советская, д. 15</t>
  </si>
  <si>
    <t>Пос. Верхнеднепровский, ул. Советская, д. 17</t>
  </si>
  <si>
    <t>Пос. Верхнеднепровский, ул. Советская, д. 6</t>
  </si>
  <si>
    <t>Пос. Верхнеднепровский, ул. Советская, д. 9</t>
  </si>
  <si>
    <t>Итого по Духовщинскому городскому поселению Духовщинского района Смоленской области</t>
  </si>
  <si>
    <t>Г. Духовщина, ул. Луначарского, д. 13</t>
  </si>
  <si>
    <t>Г. Духовщина, ул. Смоленская, д. 56</t>
  </si>
  <si>
    <t>Г. Ельня, ул. Кировская, д. 9</t>
  </si>
  <si>
    <t>Г. Ельня, ул. Первомайская, д. 14</t>
  </si>
  <si>
    <t>Г. Ельня, ул. Первомайская, д. 47</t>
  </si>
  <si>
    <t>Г. Ельня, ул. Пролетарская, д. 2</t>
  </si>
  <si>
    <t>Г. Ельня, ул. Смоленский большак, д. 24</t>
  </si>
  <si>
    <t>Итого по Ельнинскому городскому поселению Ельнинского района Смоленской области</t>
  </si>
  <si>
    <t>С. Ершичи, ул. Новая, д. 1</t>
  </si>
  <si>
    <t>С. Ершичи, ул. Советская, д. 13</t>
  </si>
  <si>
    <t>Итого по Ершичскому сельскому поселению Ершичского района Смоленской области</t>
  </si>
  <si>
    <t>Пос. Кардымово, ул. Октябрьская, д. 16</t>
  </si>
  <si>
    <t>Дер. Пищулино, ул. Школа-интернат, д. 15</t>
  </si>
  <si>
    <t>Итого по Кардымовскому городскому поселению Кардымовского района Смоленской области</t>
  </si>
  <si>
    <t>Итого по Краснинскому городскому поселению Краснинского района Смоленской области</t>
  </si>
  <si>
    <t>Итого по Гусинскому сельскому поселению Краснинского района Смоленской области</t>
  </si>
  <si>
    <t>Дер. Гусино, ул. Молодежная, д. 1</t>
  </si>
  <si>
    <t>Дер. Гусино, ул. Молодежная, д. 4</t>
  </si>
  <si>
    <t>Дер. Гусино, ул. Советская, д. 43</t>
  </si>
  <si>
    <t>Дер. Лонница, ул. Мира, д. 7</t>
  </si>
  <si>
    <t>Дер. Лонница, ул. Центральная, д. 3</t>
  </si>
  <si>
    <t>Итого по Монастырщинскому городскому поселению Монастырщинского района Смоленской области</t>
  </si>
  <si>
    <t>Пос. Монастырщина, тер. Сельхозтехника, д. 15</t>
  </si>
  <si>
    <t>Пос. Монастырщина, ул. Юбилейная, д. 30</t>
  </si>
  <si>
    <t>Итого по Соболевскому сельскому поселению Монастырщинского района Смоленской области</t>
  </si>
  <si>
    <t>Дер. Крапивна, ул. Горького, д. 8</t>
  </si>
  <si>
    <t>Дер. Соболево, д. 24</t>
  </si>
  <si>
    <t>Итого по Новодугинскому сельскому поселению Новодугинского района Смоленской области</t>
  </si>
  <si>
    <t>Итого по Высоковскому сельскому поселению Новодугинского района Смоленской области</t>
  </si>
  <si>
    <t>С. Высокое, ул. Высоковская, д. 46</t>
  </si>
  <si>
    <t>Итого по Починковскому городскому поселению Починковского района Смоленской области</t>
  </si>
  <si>
    <t>Г. Починок, пер. 2-й Советский, д. 5</t>
  </si>
  <si>
    <t>Г. Починок, ул. Кирова, д. 14</t>
  </si>
  <si>
    <t>Г. Починок, ул. Советская, д. 39</t>
  </si>
  <si>
    <t>Г. Починок, ул. Строителей, д. 5</t>
  </si>
  <si>
    <t>Дер. Климщина, д. 66</t>
  </si>
  <si>
    <t>Дер. Климщина, д. 89</t>
  </si>
  <si>
    <t>Дер. Климщина, д. 93</t>
  </si>
  <si>
    <t>Итого по Стодолищенскому сельскому поселению Починковского района Смоленской области</t>
  </si>
  <si>
    <t>Пос. Стодолище, ул. Ленина, д. 27</t>
  </si>
  <si>
    <t>Итого по Рославльскому городскому поселению Рославльского района Смоленской области</t>
  </si>
  <si>
    <t>Г. Рославль, мкрн. 17, д. 13</t>
  </si>
  <si>
    <t>Г. Рославль, мкрн. 15, д. 4</t>
  </si>
  <si>
    <t>Г. Рославль, мкрн. 15, д. 30</t>
  </si>
  <si>
    <t>Г. Рославль, мкрн. 16, д. 10</t>
  </si>
  <si>
    <t>Г. Рославль, мкрн. 16, д. 12</t>
  </si>
  <si>
    <t>Г. Рославль, мкрн. 16, д. 5</t>
  </si>
  <si>
    <t>Г. Рославль, мкрн. 16, д. 8</t>
  </si>
  <si>
    <t>Г. Рославль, пер. 2-й Советский, д. 38</t>
  </si>
  <si>
    <t>Г. Рославль, пос. ТЭЦ, д. 3</t>
  </si>
  <si>
    <t>Г. Рославль, ул. Димитрова, д. 7</t>
  </si>
  <si>
    <t>Г. Рославль, ул. Димитрова, д. 9</t>
  </si>
  <si>
    <t>Г. Рославль, ул. Заводская, д. 40</t>
  </si>
  <si>
    <t>Г. Рославль, ул. Заводская, д. 42</t>
  </si>
  <si>
    <t>Г. Рославль, ул. Заслонова, д. 6</t>
  </si>
  <si>
    <t>Г. Рославль, ул. Каляева, д. 4а</t>
  </si>
  <si>
    <t>Г. Рославль, ул. Каляева, д. 4в</t>
  </si>
  <si>
    <t>Г. Рославль, ул. Красноармейская, д. 100</t>
  </si>
  <si>
    <t>Г. Рославль, ул. Красноармейская, д. 49</t>
  </si>
  <si>
    <t>Г. Рославль, ул. 2-я Дачная, д. 8</t>
  </si>
  <si>
    <t>Г. Рославль, ул. Ленина, д. 7</t>
  </si>
  <si>
    <t>Г. Рославль, ул. Ленина, д. 9</t>
  </si>
  <si>
    <t>Г. Рославль, ул. Ленина, д. 5</t>
  </si>
  <si>
    <t>Г. Рославль, ул. Ленина, д. 18</t>
  </si>
  <si>
    <t>Г. Рославль, ул. Октябрьская, д. 29</t>
  </si>
  <si>
    <t>Г. Рославль, ул. Октябрьская, д. 32б</t>
  </si>
  <si>
    <t>Г. Рославль, ул. Пушкина, д. 8а</t>
  </si>
  <si>
    <t>Г. Рославль, ул. Чехова, д. 22а</t>
  </si>
  <si>
    <t>Г. Рославль, ул. Ленина, д. 1</t>
  </si>
  <si>
    <t>Г. Рославль, ул. Пролетарская, д. 40</t>
  </si>
  <si>
    <t>Г. Рославль, ул. Пролетарская, д. 42</t>
  </si>
  <si>
    <t>Г. Рославль, ул. Пролетарская, д. 44</t>
  </si>
  <si>
    <t>Г. Рославль, ул. Пролетарская, д. 58</t>
  </si>
  <si>
    <t>Г. Рославль, ул. Пролетарская, д. 72</t>
  </si>
  <si>
    <t>Г. Рославль, ул. Пролетарская, д. 77</t>
  </si>
  <si>
    <t>Г. Рославль, ул. Пушкина, д. 24</t>
  </si>
  <si>
    <t>Г. Рославль, ул. Товарная, д. 11</t>
  </si>
  <si>
    <t>Г. Рославль, ул. Урицкого, д. 11б</t>
  </si>
  <si>
    <t>Г. Рославль, ул. Урицкого, д. 13а</t>
  </si>
  <si>
    <t>Г. Рославль, ул. Урицкого, д. 15а</t>
  </si>
  <si>
    <t>Г. Рославль, ул. Урицкого д. 16</t>
  </si>
  <si>
    <t>Итого по 2020 году</t>
  </si>
  <si>
    <t>2021 год</t>
  </si>
  <si>
    <t>Итого по 2021 году</t>
  </si>
  <si>
    <t>2022 год</t>
  </si>
  <si>
    <t>Итого по 2022 году</t>
  </si>
  <si>
    <t>Дер. Козловка, ул. Мира, д. 23</t>
  </si>
  <si>
    <t>Дер. Козловка, ул. Мира, д. 27</t>
  </si>
  <si>
    <t>Дер. Козловка, ул. Мира, д. 29</t>
  </si>
  <si>
    <t>Дер. Козловка, ул. Мира, д. 33</t>
  </si>
  <si>
    <t>Дер. Козловка, ул. Мира, д. 51</t>
  </si>
  <si>
    <t>Дер. Козловка, ул. Мира, д. 54</t>
  </si>
  <si>
    <t>Дер. Козловка, ул. Мира, д. 56</t>
  </si>
  <si>
    <t>С. Остер, ул. Советская, д. 5</t>
  </si>
  <si>
    <t>С. Остер, ул. Советская, д. 6</t>
  </si>
  <si>
    <t>Итого по Остерскому сельскому поселению Рославльского района Смоленской области</t>
  </si>
  <si>
    <t>Итого по Екимовичскому сельскому поселению Рославльского района Смоленской области</t>
  </si>
  <si>
    <t>С. Екимовичи, пер. Школьный, д. 1</t>
  </si>
  <si>
    <t>С. Екимовичи, ул. Ленинская, д. 31</t>
  </si>
  <si>
    <t>Итого по Руднянскому городскому поселению Руднянского района Смоленской области</t>
  </si>
  <si>
    <t>Г. Рудня, пос. Молкомбината, д. 1</t>
  </si>
  <si>
    <t>Г. Рудня, пос. Молкомбината, д. 2</t>
  </si>
  <si>
    <t>Г. Рудня, пос. Молкомбината, д. 26</t>
  </si>
  <si>
    <t>Г. Рудня, пос. Молкомбината, д. 34</t>
  </si>
  <si>
    <t>Г. Рудня, пос. Молкомбината, д. 37</t>
  </si>
  <si>
    <t>Г. Рудня, пос. Молкомбината, д. 5</t>
  </si>
  <si>
    <t xml:space="preserve">Г. Рудня, ул. Заречная, д. 20 </t>
  </si>
  <si>
    <t>Г. Рудня, ул. Киреева, д. 109</t>
  </si>
  <si>
    <t>Г. Рудня, ул. Киреева, д. 119</t>
  </si>
  <si>
    <t>Г. Рудня, ул. Киреева, д. 68</t>
  </si>
  <si>
    <t>Г. Рудня, ул. Колхозная, д. 26а</t>
  </si>
  <si>
    <t>Г. Рудня, ул. Колхозная, д. 8</t>
  </si>
  <si>
    <t>Г. Рудня, ул. Красноярская, д. 42</t>
  </si>
  <si>
    <t>Г. Рудня, ул. Станционная, д. 22а</t>
  </si>
  <si>
    <t>Дер. Сташки, ул. Молодежная, д. 1</t>
  </si>
  <si>
    <t>Дер. Чистик, ул. Садовая, д. 8</t>
  </si>
  <si>
    <t>Итого по Чистиковскому сельскому поселению Руднянского района Смоленской области</t>
  </si>
  <si>
    <t>Г. Сафоново, ул. 40 лет Октября, д. 5</t>
  </si>
  <si>
    <t>Г. Сафоново, ул. 40 лет Октября, д. 8</t>
  </si>
  <si>
    <t>Г. Сафоново, ул. Кирова, д. 2</t>
  </si>
  <si>
    <t>Г. Сафоново, ул. Ковалева, д. 17</t>
  </si>
  <si>
    <t>Г. Сафоново, ул. Ковалева, д. 1а</t>
  </si>
  <si>
    <t>Г. Сафоново, ул. Ковалева, д. 3</t>
  </si>
  <si>
    <t>Г. Сафоново, ул. Коммунистическая, д. 1</t>
  </si>
  <si>
    <t>Г. Сафоново, ул. Коммунистическая, д. 11</t>
  </si>
  <si>
    <t>Г. Сафоново, ул. Коммунистическая, д. 3</t>
  </si>
  <si>
    <t>Г. Сафоново, ул. Коммунистическая, д. 5</t>
  </si>
  <si>
    <t>Г. Сафоново, ул. Коммунистическая, д. 6</t>
  </si>
  <si>
    <t>Г. Сафоново, ул. Коммунистическая, д. 7</t>
  </si>
  <si>
    <t>Г. Сафоново, ул. Коммунистическая, д. 9</t>
  </si>
  <si>
    <t>Г. Сафоново, ул. Красногвардейская, д. 39</t>
  </si>
  <si>
    <t>Г. Сафоново, ул. Ленина, д. 10</t>
  </si>
  <si>
    <t>Г. Сафоново, ул. Ленина, д. 18</t>
  </si>
  <si>
    <t>Г. Сафоново, ул. Ленина, д. 9</t>
  </si>
  <si>
    <t>Г. Сафоново, ул. Ленинградская, д. 8</t>
  </si>
  <si>
    <t>Г. Сафоново, ул. Революционная, д. 1</t>
  </si>
  <si>
    <t>Г. Сафоново, ул. Революционная, д. 3</t>
  </si>
  <si>
    <t>Г. Сафоново, ул. Революционная, д. 5</t>
  </si>
  <si>
    <t>Г. Сафоново, ул. Репина, д. 18</t>
  </si>
  <si>
    <t>Г. Сафоново, ул. Свободы, д. 13</t>
  </si>
  <si>
    <t>Г. Сафоново, ул. Строителей, д. 2</t>
  </si>
  <si>
    <t>Итого по Сафоновскому городскому поселению Сафоновского района Смоленской области</t>
  </si>
  <si>
    <t>Итого по Беленинскому сельскому поселению Сафоновского района Смоленской области</t>
  </si>
  <si>
    <t>Дер. Клинка, ул. Школьная, д. 2</t>
  </si>
  <si>
    <t>Итого по Вадинскому сельскому поселению Сафоновского района Смоленской области</t>
  </si>
  <si>
    <t>Пос. Вадино, ул. Молодежная, д. 5</t>
  </si>
  <si>
    <t>Итого по Вышегорскому сельскому поселению Сафоновского района Смоленской области</t>
  </si>
  <si>
    <t>Дер. Вышегор, ул. Мира, д. 2</t>
  </si>
  <si>
    <t>Дер. Вышегор, ул. Мира, д. 3</t>
  </si>
  <si>
    <t>Итого по Николо-Погореловскому сельскому поселению Сафоновского района Смоленской области</t>
  </si>
  <si>
    <t>Дер. Николо-Погорелое, ул. Центральная, д. 2</t>
  </si>
  <si>
    <t>Дер. Николо-Погорелое, ул. Центральная, д. 5</t>
  </si>
  <si>
    <t>Итого по Катынскому сельскому поселению Смоленского района Смоленской области</t>
  </si>
  <si>
    <t>Дер. Санаторий Борок, д. 2</t>
  </si>
  <si>
    <t>Дер. Санаторий Борок, д. 3</t>
  </si>
  <si>
    <t>Итого по Стабенскому сельскому поселению Смоленского района Смоленской области</t>
  </si>
  <si>
    <t>Дер. Жуково, ул. Мира, д. 50</t>
  </si>
  <si>
    <t>Дер. Жуково, ул. Мира, д. 52</t>
  </si>
  <si>
    <t>Дер. Жуково, ул. Мира, д. 53</t>
  </si>
  <si>
    <t>Дер. Жуково, ул. Мира, д. 56</t>
  </si>
  <si>
    <t>Итого по Талашкинскому сельскому поселению Смоленского района Смоленской области</t>
  </si>
  <si>
    <t>Дер. Моготово, ул. Центральная, д. 1</t>
  </si>
  <si>
    <t>Дер. Моготово, ул. Центральная, д. 3</t>
  </si>
  <si>
    <t>Дер. Моготово, ул. Центральная, д. 5</t>
  </si>
  <si>
    <t>Дер. Фленово, ул. Музейная, д. 1</t>
  </si>
  <si>
    <t>С. Талашкино, ул. Ленина, д. 19</t>
  </si>
  <si>
    <t>С. Талашкино, ул. Ленина, д. 19а</t>
  </si>
  <si>
    <t>С. Талашкино, ул. Ленина, д. 21</t>
  </si>
  <si>
    <t>С. Талашкино, ул. Ленина, д. 23</t>
  </si>
  <si>
    <t>С. Талашкино, ул. Парковая, д. 6</t>
  </si>
  <si>
    <t>С. Талашкино, ул. Садовая, д. 1</t>
  </si>
  <si>
    <t>С. Талашкино, ул. Садовая, д. 10</t>
  </si>
  <si>
    <t>С. Талашкино, ул. Садовая, д. 3</t>
  </si>
  <si>
    <t>С. Катынь, ул. Витебское шоссе, д. 1</t>
  </si>
  <si>
    <t>Итого по Гнездовскому сельскому поселению Смоленского района Смоленской области</t>
  </si>
  <si>
    <t>Дер. Новые Батеки, ул. Северная, д. 19</t>
  </si>
  <si>
    <t>Дер. Шоссейный дом Вонлярово, д. 5</t>
  </si>
  <si>
    <t>Дер. Зыколино, д. 27</t>
  </si>
  <si>
    <t>Итого по Сычевскому городскому поселению Сычевского района Смоленской области</t>
  </si>
  <si>
    <t>Г. Сычевка, ул. Карла Маркса, д. 10</t>
  </si>
  <si>
    <t>Г. Сычевка, ул. Карла Маркса, д. 12</t>
  </si>
  <si>
    <t>Г. Сычевка, ул. Комсомольская, д. 36</t>
  </si>
  <si>
    <t>Г. Сычевка, ул. Станционное Шоссе, д. 9</t>
  </si>
  <si>
    <t>Итого по Мальцевскому сельскому поселению Сычевского района Смоленской области</t>
  </si>
  <si>
    <t xml:space="preserve">Дер. Мальцево, ул. Набережная Вазузы, д. 2 </t>
  </si>
  <si>
    <t>Дер. Мальцево, ул. Парковая, д. 2</t>
  </si>
  <si>
    <t>Дер. Мальцево, ул. Парковая, д. 4</t>
  </si>
  <si>
    <t>Дер. Юшино, ул. Дачная, д. 2</t>
  </si>
  <si>
    <t>Дер. Юшино, ул. Речная, д. 2</t>
  </si>
  <si>
    <t>Итого по Темкинскому сельскому поселению Темкинского района Смоленской области</t>
  </si>
  <si>
    <t>С. Темкино, ул. Механизаторов, д. 1</t>
  </si>
  <si>
    <t>Дер. Михали, ул. Центральная, д. 1</t>
  </si>
  <si>
    <t>С. Знаменка, ул. Филиппова, д. 1</t>
  </si>
  <si>
    <t>С. Угра, ул. Десантная, д. 1</t>
  </si>
  <si>
    <t>Ст. Волоста-Пятница, ул. Железнодорожная, д. 7</t>
  </si>
  <si>
    <t>Итого по Хиславичскому городскому поселению Хиславичского района Смоленской области</t>
  </si>
  <si>
    <t>Пос. Хиславичи, пер. Кооперативный, д. 1</t>
  </si>
  <si>
    <t>Пос. Хиславичи, ул. Советская, д. 104</t>
  </si>
  <si>
    <t>Пос. Хиславичи, ул. Советская, д. 45</t>
  </si>
  <si>
    <t>Итого по Холм-Жирковскому городскому поселению Холм-Жирковского района Смоленской области</t>
  </si>
  <si>
    <t>Пос. Холм-Жирковский, ул. Ленина, д. 4</t>
  </si>
  <si>
    <t>Пос. Холм-Жирковский, ул. Ленина, д. 6</t>
  </si>
  <si>
    <t xml:space="preserve">Итого по Шумячскому городскому поселению </t>
  </si>
  <si>
    <t>Пос. Шумячи, ул. Сельхозтехника, д. 8</t>
  </si>
  <si>
    <t xml:space="preserve">Итого по Первомайскому сельскому поселению Шумячского района Смоленской области </t>
  </si>
  <si>
    <t>С. Первомайский, ул. Советская, д. 8</t>
  </si>
  <si>
    <t xml:space="preserve">Итого по Озерному сельскому поселению Шумячского района Смоленской области </t>
  </si>
  <si>
    <t>Дер. Озерная, ул. Новая, д. 1</t>
  </si>
  <si>
    <t>Г. Ярцево, просп. Металлургов, д. 24</t>
  </si>
  <si>
    <t>Г. Ярцево, просп. Металлургов, д. 29</t>
  </si>
  <si>
    <t>Г. Ярцево, просп. Металлургов, д. 48</t>
  </si>
  <si>
    <t>Г. Ярцево, ул. Автозаводская, д. 24</t>
  </si>
  <si>
    <t>Г. Ярцево, ул. Гагарина, д. 10/20</t>
  </si>
  <si>
    <t>Г. Ярцево, ул. Гагарина, д. 13</t>
  </si>
  <si>
    <t>Г. Ярцево, ул. Гагарина, д. 2</t>
  </si>
  <si>
    <t>Г. Ярцево, ул. Гагарина, д. 6</t>
  </si>
  <si>
    <t>Г. Ярцево, ул. Гагарина, д. 8</t>
  </si>
  <si>
    <t>Г. Ярцево, ул. Краснооктябрьская, д. 28</t>
  </si>
  <si>
    <t>Г. Ярцево, ул. Краснооктябрьская, д. 30</t>
  </si>
  <si>
    <t>Г. Ярцево, ул. Краснооктябрьская, д. 32</t>
  </si>
  <si>
    <t>Г. Ярцево, ул. Краснооктябрьская, д. 34</t>
  </si>
  <si>
    <t>Г. Ярцево, ул. Краснооктябрьская, д. 37</t>
  </si>
  <si>
    <t>Г. Ярцево, ул. Ленинская, д. 1</t>
  </si>
  <si>
    <t>Г. Ярцево, ул. Ленинская, д. 5</t>
  </si>
  <si>
    <t>Г. Ярцево, ул. Ленинская, д. 7</t>
  </si>
  <si>
    <t>Г. Ярцево, ул. Максима Горького, д. 12</t>
  </si>
  <si>
    <t>Г. Ярцево, ул. Максима Горького, д. 13</t>
  </si>
  <si>
    <t>Г. Ярцево, ул. Максима Горького, д. 14</t>
  </si>
  <si>
    <t>Г. Ярцево, ул. Максима Горького, д. 15</t>
  </si>
  <si>
    <t>Г. Ярцево, ул. Максима Горького, д. 16</t>
  </si>
  <si>
    <t>Г. Ярцево, ул. Максима Горького, д. 22</t>
  </si>
  <si>
    <t>Г. Ярцево, ул. Максима Горького, д. 24</t>
  </si>
  <si>
    <t>Г. Ярцево, ул. Максима Горького, д. 4</t>
  </si>
  <si>
    <t>Г. Ярцево, ул. Максима Горького, д. 4а</t>
  </si>
  <si>
    <t>Г. Ярцево, ул. Максима Горького, д. 6</t>
  </si>
  <si>
    <t>Г. Ярцево, ул. Первомайская, д. 27</t>
  </si>
  <si>
    <t>Г. Ярцево, ул. Первомайская, д. 28</t>
  </si>
  <si>
    <t>Г. Ярцево, ул. Чайковского, д. 15</t>
  </si>
  <si>
    <t>Г. Ярцево, ул. Чайковского, д. 21</t>
  </si>
  <si>
    <t>Г. Ярцево, ул. Шоссейная, д. 33</t>
  </si>
  <si>
    <t>Г. Ярцево, ул. Энтузиастов, д. 27</t>
  </si>
  <si>
    <t>Дер. Михейково, ул. Советская, д. 32</t>
  </si>
  <si>
    <t>Итого по Суетовскому сельскому поселению Ярцевского района Смоленской области</t>
  </si>
  <si>
    <t>Итого по Михейковскому сельскому поселению Ярцевского района Смоленской области</t>
  </si>
  <si>
    <t>Г. Смоленск, ул. Ново-Ленинградская, д. 19</t>
  </si>
  <si>
    <t>Г. Смоленск, ул. Тухачевского, д. 9</t>
  </si>
  <si>
    <t>Итого по городу Смоленску</t>
  </si>
  <si>
    <t>Г. Смоленск, городок Коминтерна, д. 10</t>
  </si>
  <si>
    <t>Г. Смоленск, ул. Большая Советская, д. 33</t>
  </si>
  <si>
    <t>Г. Смоленск, ул. Большая Советская, д. 35</t>
  </si>
  <si>
    <t>Г. Смоленск, ул. Ленина, д. 11</t>
  </si>
  <si>
    <t>Г. Смоленск, ул. Тенишевой, д. 4</t>
  </si>
  <si>
    <t>Г. Смоленск, ул. Фрунзе, д. 47</t>
  </si>
  <si>
    <t>Г. Смоленск, просп. Гагарина, д. 12/1</t>
  </si>
  <si>
    <t>Г. Смоленск, ул. Исаковского, д. 42</t>
  </si>
  <si>
    <t>Г. Смоленск, ул. 12 лет Октября, д. 15</t>
  </si>
  <si>
    <t>Г. Смоленск, пер. Смирнова, д. 3/4</t>
  </si>
  <si>
    <t>Г. Смоленск, ул. Коммунистическая, д. 14</t>
  </si>
  <si>
    <t>Г. Смоленск, ул. Тухачевского, д. 1</t>
  </si>
  <si>
    <t>Г. Смоленск, ул. Исаковского, д. 40</t>
  </si>
  <si>
    <t>Г. Смоленск, ул. Большая Советская, д. 14</t>
  </si>
  <si>
    <t>Г. Смоленск, пос. Красный Бор, д. 5/18</t>
  </si>
  <si>
    <t>Г. Смоленск, ул. Коммунистическая, д. 12</t>
  </si>
  <si>
    <t>Г. Смоленск, ул. Маяковского, д. 5</t>
  </si>
  <si>
    <t>Г. Смоленск, пер. Ново-Киевский, д. 2а</t>
  </si>
  <si>
    <t>Г. Смоленск, ул. Большая Советская, д. 24</t>
  </si>
  <si>
    <t>Г. Смоленск, ул. Большая Советская, д. 28/16</t>
  </si>
  <si>
    <t>Г. Смоленск, ул. Кирилла и Мефодия, д. 1</t>
  </si>
  <si>
    <t>Г. Смоленск, ул. Николаева, д. 3</t>
  </si>
  <si>
    <t>Г. Смоленск, ул. Тухачевского, д. 4</t>
  </si>
  <si>
    <t>Г. Смоленск, ул. Фрунзе, д. 2</t>
  </si>
  <si>
    <t>Г. Смоленск, ул. Беляева, д. 6</t>
  </si>
  <si>
    <t>Г. Смоленск, ул. Ленина, д. 29/24</t>
  </si>
  <si>
    <t>Г. Смоленск, ул. Ленина, д. 6/1</t>
  </si>
  <si>
    <t>Г. Смоленск, ул. Ленина, д. 9</t>
  </si>
  <si>
    <t>Г. Смоленск, ул. Ново-Ленинградская, д. 18</t>
  </si>
  <si>
    <t>Г. Смоленск, ул. 8 Марта, д. 10</t>
  </si>
  <si>
    <t>Г. Смоленск, ул. 8 Марта, д. 4</t>
  </si>
  <si>
    <t>Г. Смоленск, ул. 8 Марта, д. 5</t>
  </si>
  <si>
    <t>Г. Смоленск, ул. 8 Марта, д. 9</t>
  </si>
  <si>
    <t>Г. Смоленск, ул. Большая Советская, д. 43</t>
  </si>
  <si>
    <t>Г. Смоленск, ул. Большая Советская, д. 7</t>
  </si>
  <si>
    <t>Г. Смоленск, ул. Ленина, д. 15</t>
  </si>
  <si>
    <t>Г. Смоленск, ул. Нахимсона, д. 8</t>
  </si>
  <si>
    <t>Г. Смоленск, пер. Бакунина, д. 2</t>
  </si>
  <si>
    <t>Г. Смоленск, ул. Большая Краснофлотская, д. 7</t>
  </si>
  <si>
    <t>Г. Смоленск, ул. Герцена, д. 9</t>
  </si>
  <si>
    <t>Г. Смоленск, ул. Чкалова, д. 1</t>
  </si>
  <si>
    <t>Г. Смоленск, ул. Энгельса, д. 3</t>
  </si>
  <si>
    <t>Г. Смоленск, ул. Энгельса, д. 6</t>
  </si>
  <si>
    <t>Г. Смоленск, Витебское шоссе, д. 68</t>
  </si>
  <si>
    <t>Г. Смоленск, пер. 2-й Выставочный, д. 13а</t>
  </si>
  <si>
    <t>Г. Смоленск, пер. 2-й Киевский, д. 5а</t>
  </si>
  <si>
    <t>Г. Смоленск, ул. 2-я Киевская, д. 10</t>
  </si>
  <si>
    <t>Г. Смоленск, ул. Нарвская, д. 3</t>
  </si>
  <si>
    <t>Г. Смоленск, ул. Чаплина, д. 4</t>
  </si>
  <si>
    <t>Г. Смоленск, Витебское шоссе, д. 62</t>
  </si>
  <si>
    <t>Г. Смоленск, ул. 2-я Киевская, д. 12</t>
  </si>
  <si>
    <t>Г. Смоленск, ул. Большая Краснофлотская, д. 5</t>
  </si>
  <si>
    <t>Г. Смоленск, ул. Большая Краснофлотская, д. 9</t>
  </si>
  <si>
    <t>Г. Смоленск, ул. Станционная, д. 6</t>
  </si>
  <si>
    <t>Г. Смоленск, ул. Чкалова, д. 3а</t>
  </si>
  <si>
    <t>Г. Смоленск, ул. Энгельса, д. 10</t>
  </si>
  <si>
    <t>Г. Смоленск, пос. 430 км, д. 12</t>
  </si>
  <si>
    <t>Г. Смоленск, пос. 430 км, д. 14</t>
  </si>
  <si>
    <t>Г. Смоленск, ул. Большая Краснофлотская, д. 11</t>
  </si>
  <si>
    <t>Г. Смоленск, ул. Большая Краснофлотская, д. 3</t>
  </si>
  <si>
    <t>Г. Смоленск, ул. Большая Советская, д. 18/18</t>
  </si>
  <si>
    <t>Г. Смоленск, ул. Большая Советская, д. 39/11</t>
  </si>
  <si>
    <t>Г. Смоленск, ул. Свердлова, д. 1</t>
  </si>
  <si>
    <t>Г. Смоленск, ул. Центральная, д. 4</t>
  </si>
  <si>
    <t>Г. Смоленск, пер. 2-й Краснофлотский, д. 26б</t>
  </si>
  <si>
    <t>Г. Смоленск, просп. Гагарина, д. 4</t>
  </si>
  <si>
    <t>Г. Смоленск, ул. Герцена, д. 5</t>
  </si>
  <si>
    <t>Г. Смоленск, ул. Докучаева, д. 4</t>
  </si>
  <si>
    <t>Г. Смоленск, ул. Седова, д. 54</t>
  </si>
  <si>
    <t>Г. Смоленск, ул. 2-я Киевская, д. 7</t>
  </si>
  <si>
    <t>Г. Смоленск, ул. Бакунина, д. 5</t>
  </si>
  <si>
    <t>Г. Смоленск, ул. Пржевальского, д. 6/25</t>
  </si>
  <si>
    <t>Г. Смоленск, ул. Соболева, д. 22</t>
  </si>
  <si>
    <t>Г. Смоленск, ул. Твардовского, д. 3</t>
  </si>
  <si>
    <t>Г. Смоленск, ул. Тухачевского, д. 3</t>
  </si>
  <si>
    <t>Г. Смоленск, ул. Тухачевского, д. 8</t>
  </si>
  <si>
    <t>Г. Смоленск, ул. Урицкого, д. 4</t>
  </si>
  <si>
    <t>Г. Смоленск, ул. Фурманова, д. 43</t>
  </si>
  <si>
    <t>Г. Смоленск, пер. Хлебозаводской, д. 10</t>
  </si>
  <si>
    <t>Г. Смоленск, просп. Гагарина, д. 6</t>
  </si>
  <si>
    <t>Г. Смоленск, ул. 2-я Киевская, д. 18</t>
  </si>
  <si>
    <t>Г. Смоленск, ул. Бакунина, д. 2а</t>
  </si>
  <si>
    <t>Г. Смоленск, ул. Генерала Лукина, д. 12</t>
  </si>
  <si>
    <t>Г. Смоленск, ул. Генерала Лукина, д. 12а</t>
  </si>
  <si>
    <t>Г. Смоленск, ул. Лавочкина, д. 56</t>
  </si>
  <si>
    <t>Г. Смоленск, ул. Пржевальского, д. 2</t>
  </si>
  <si>
    <t>Г. Смоленск, ул. Тухачевского, д. 10</t>
  </si>
  <si>
    <t>Г. Смоленск, ул. Фаянсовая, д. 13</t>
  </si>
  <si>
    <t>Г. Смоленск, ул. Фрунзе, д. 38</t>
  </si>
  <si>
    <t>Г. Смоленск, ул. Центральная, д. 18/2</t>
  </si>
  <si>
    <t>Г. Смоленск, ул. Черняховского, д. 16а</t>
  </si>
  <si>
    <t>Г. Смоленск, Витебское шоссе, д. 28а</t>
  </si>
  <si>
    <t>Г. Смоленск, Витебское шоссе, д. 36</t>
  </si>
  <si>
    <t>Г. Смоленск, пер. 4-й Слобода-Садки, д. 13</t>
  </si>
  <si>
    <t>Г. Смоленск, пер. Больничный, д. 7</t>
  </si>
  <si>
    <t>Г. Смоленск, ул. Большая Советская, д. 13</t>
  </si>
  <si>
    <t>Г. Смоленск, ул. Гастелло, д. 7/1</t>
  </si>
  <si>
    <t>Г. Смоленск, ул. Дзержинского, д. 15</t>
  </si>
  <si>
    <t>Г. Смоленск, ул. Докучаева, д. 8</t>
  </si>
  <si>
    <t>Г. Смоленск, ул. Мало-Краснофлотская, д. 29</t>
  </si>
  <si>
    <t>Г. Смоленск, ул. Марии Октябрьской, д. 4</t>
  </si>
  <si>
    <t>Г. Смоленск, ул. Маршала Жукова, д. 26а</t>
  </si>
  <si>
    <t>Г. Смоленск, ул. Твардовского, д. 9</t>
  </si>
  <si>
    <t>Г. Смоленск, ул. Фаянсовая, д. 15</t>
  </si>
  <si>
    <t>Г. Смоленск, ул. Фрунзе, д. 6</t>
  </si>
  <si>
    <t>Г. Смоленск, ул. Чехова, д. 2</t>
  </si>
  <si>
    <t>Г. Смоленск, Витебское шоссе, д. 1/37</t>
  </si>
  <si>
    <t>Г. Смоленск, Витебское шоссе, д. 56</t>
  </si>
  <si>
    <t>Г. Смоленск, Витебское шоссе, д. 66</t>
  </si>
  <si>
    <t>Г. Смоленск, пер. 2-й Рославльский, д. 5</t>
  </si>
  <si>
    <t>Г. Смоленск, пер. 2-й Серебрянки, д. 1</t>
  </si>
  <si>
    <t>Г. Смоленск, пер. 3-й Горького, д. 3</t>
  </si>
  <si>
    <t>Г. Смоленск, пер. 4-й Слобода-Садки, д. 26</t>
  </si>
  <si>
    <t>Г. Смоленск, пер. Хлебозаводской, д. 4</t>
  </si>
  <si>
    <t>Г. Смоленск, пер. Хлебозаводской, д. 6</t>
  </si>
  <si>
    <t>Г. Смоленск, пер. Чуриловский, д. 1</t>
  </si>
  <si>
    <t>Г. Смоленск, пер. Чуриловский, д. 1а</t>
  </si>
  <si>
    <t>Г. Смоленск, ул. Минская, д. 15</t>
  </si>
  <si>
    <t>Г. Смоленск, ул. Николаева, д. 4</t>
  </si>
  <si>
    <t>Г. Смоленск, ул. Кирова, д. 26</t>
  </si>
  <si>
    <t>Г. Смоленск, ул. Автозаводская, д. 23</t>
  </si>
  <si>
    <t>Г. Смоленск, пер. Запольный, д. 4</t>
  </si>
  <si>
    <t>Г. Смоленск, ул. Лавочкина, д. 50а</t>
  </si>
  <si>
    <t>Г. Смоленск, пер. Запольный, д. 5а</t>
  </si>
  <si>
    <t>Г. Смоленск, ул. Маршала Жукова, д. 18</t>
  </si>
  <si>
    <t>Г. Смоленск, ул. Маршала Жукова, д. 20</t>
  </si>
  <si>
    <t>Г. Смоленск, пос. Красный Бор, д. 5/220</t>
  </si>
  <si>
    <t>Г. Смоленск, пос. Серебрянка, д. 52</t>
  </si>
  <si>
    <t>Г. Смоленск, ул. 2-я Киевская, д. 13</t>
  </si>
  <si>
    <t>Г. Смоленск, ул. Автозаводская, д. 32а</t>
  </si>
  <si>
    <t>Г. Смоленск, ул. Воробьева, д. 16/12</t>
  </si>
  <si>
    <t>Г. Смоленск, ул. Воробьева, д. 18</t>
  </si>
  <si>
    <t>Г. Смоленск, ул. Воробьева, д. 20</t>
  </si>
  <si>
    <t>Г. Смоленск, ул. Воробьева, д. 22</t>
  </si>
  <si>
    <t>Г. Смоленск, ул. Воробьева, д. 24</t>
  </si>
  <si>
    <t>Г. Смоленск, ул. Воробьева, д. 26</t>
  </si>
  <si>
    <t>Г. Смоленск, ул. Воробьева, д. 26а</t>
  </si>
  <si>
    <t>Г. Смоленск, ул. Воробьева, д. 26б</t>
  </si>
  <si>
    <t>Г. Смоленск, ул. Воробьева, д. 28</t>
  </si>
  <si>
    <t>Г. Смоленск, ул. Воробьева, д. 8/8</t>
  </si>
  <si>
    <t>Г. Смоленск, ул. Гастелло, д. 2</t>
  </si>
  <si>
    <t>Г. Смоленск, ул. Гастелло, д. 5/2</t>
  </si>
  <si>
    <t>Г. Смоленск, ул. Генерала Лукина, д. 10</t>
  </si>
  <si>
    <t>Г. Смоленск, ул. Генерала Лукина, д. 10а</t>
  </si>
  <si>
    <t>Г. Смоленск, ул. Генерала Лукина, д. 6</t>
  </si>
  <si>
    <t>Г. Смоленск, ул. Генерала Лукина, д. 8</t>
  </si>
  <si>
    <t>Г. Смоленск, ул. Губенко, д. 22</t>
  </si>
  <si>
    <t>Г. Смоленск, ул. Дзержинского, д. 22</t>
  </si>
  <si>
    <t>Г. Смоленск, ул. Докучаева, д. 10</t>
  </si>
  <si>
    <t>Г. Смоленск, ул. Карбышева, д. 2</t>
  </si>
  <si>
    <t>Г. Смоленск, ул. Карбышева, д. 4</t>
  </si>
  <si>
    <t>Г. Смоленск, ул. Котовского, д. 11</t>
  </si>
  <si>
    <t>Г. Смоленск, ул. Котовского, д. 9</t>
  </si>
  <si>
    <t>Г. Смоленск, ул. Котовского, д. 9а</t>
  </si>
  <si>
    <t>Г. Смоленск, ул. Крупской, д. 39б</t>
  </si>
  <si>
    <t>Г. Смоленск, ул. Крупской, д. 58</t>
  </si>
  <si>
    <t>Г. Смоленск, ул. Лавочкина, д. 58</t>
  </si>
  <si>
    <t>Г. Смоленск, ул. Ленина, д. 33</t>
  </si>
  <si>
    <t>Г. Смоленск, ул. Марии Октябрьской, д. 4а</t>
  </si>
  <si>
    <t>Г. Смоленск, ул. Марии Октябрьской, д. 4б</t>
  </si>
  <si>
    <t>Г. Смоленск, ул. Марии Октябрьской, д. 6</t>
  </si>
  <si>
    <t>Г. Смоленск, ул. Октября, д. 48</t>
  </si>
  <si>
    <t>Г. Смоленск, ул. Парковая, д. 22</t>
  </si>
  <si>
    <t>Г. Смоленск, ул. Пржевальского, д. 10</t>
  </si>
  <si>
    <t>Г. Смоленск, ул. Пролетарская, д. 35</t>
  </si>
  <si>
    <t>Г. Смоленск, ул. Пролетарская, д. 37</t>
  </si>
  <si>
    <t>Г. Смоленск, ул. Реввоенсовета, д. 22</t>
  </si>
  <si>
    <t>Г. Смоленск, ул. Соболева, д. 111</t>
  </si>
  <si>
    <t>Г. Смоленск, ул. Станционная, д. 8а</t>
  </si>
  <si>
    <t>Г. Смоленск, ул. Твардовского, д. 10</t>
  </si>
  <si>
    <t>Г. Смоленск, ул. Твардовского, д. 10а</t>
  </si>
  <si>
    <t>Г. Смоленск, ул. Тухачевского, д. 5</t>
  </si>
  <si>
    <t>Г. Смоленск, ул. Фрунзе, д. 18</t>
  </si>
  <si>
    <t>Г. Смоленск, ул. Фрунзе, д. 34а</t>
  </si>
  <si>
    <t>Г. Смоленск, ул. Фурманова, д. 16</t>
  </si>
  <si>
    <t>Г. Смоленск, ул. Центральная, д. 2</t>
  </si>
  <si>
    <t>Г. Смоленск, ул. Черняховского, д. 10</t>
  </si>
  <si>
    <t>Г. Смоленск, ул. Черняховского, д. 20</t>
  </si>
  <si>
    <t>Г. Смоленск, ул. Черняховского, д. 20а</t>
  </si>
  <si>
    <t>Г. Смоленск, ул. Черняховского, д. 24</t>
  </si>
  <si>
    <t>Г. Смоленск, ул. Черняховского, д. 24в</t>
  </si>
  <si>
    <t>Г. Смоленск, ул. Черняховского, д. 26</t>
  </si>
  <si>
    <t>Г. Смоленск, ул. Черняховского, д. 26а</t>
  </si>
  <si>
    <t>Г. Смоленск, ул. Черняховского, д. 8а</t>
  </si>
  <si>
    <t>Г. Смоленск, ул. Черняховского, д. 8б</t>
  </si>
  <si>
    <t>Г. Смоленск, ул. Чехова, д. 1</t>
  </si>
  <si>
    <t>Г. Смоленск, ул. Чехова, д. 2а</t>
  </si>
  <si>
    <t>Г. Смоленск, ул. Чехова, д. 5</t>
  </si>
  <si>
    <t>Г. Смоленск, ул. Чкалова, д. 11а</t>
  </si>
  <si>
    <t>Г. Смоленск, ул. Чкалова, д. 17</t>
  </si>
  <si>
    <t>Г. Смоленск, Витебское шоссе, д. 6</t>
  </si>
  <si>
    <t>Г. Смоленск, городок Коминтерна, д. 6а</t>
  </si>
  <si>
    <t>Г. Смоленск, городок Коминтерна, д. 8а</t>
  </si>
  <si>
    <t>Г. Смоленск, пер. 3-й Горького, д. 5</t>
  </si>
  <si>
    <t>Г. Смоленск, пер. 4-й Краснофлотский, д. 1</t>
  </si>
  <si>
    <t>Г. Смоленск, пер. 4-й Слобода-Садки, д. 33</t>
  </si>
  <si>
    <t>Г. Смоленск, пер. 4-й Слобода-Садки, д. 39</t>
  </si>
  <si>
    <t>Г. Смоленск, пер. Больничный, д. 2</t>
  </si>
  <si>
    <t>Г. Смоленск, пер. Витебский, д. 3а</t>
  </si>
  <si>
    <t>Г. Смоленск, пер. Смирнова, д. 3</t>
  </si>
  <si>
    <t>Г. Смоленск, пос. 430 км, д. 18</t>
  </si>
  <si>
    <t>Г. Смоленск, пос. Нижняя Дубровенка, д. 5</t>
  </si>
  <si>
    <t>Г. Смоленск, пр. Дзержинского, д. 6</t>
  </si>
  <si>
    <t>Г. Смоленск, просп. Гагарина, д. 13/2</t>
  </si>
  <si>
    <t>Г. Смоленск, просп. Гагарина, д. 29/1</t>
  </si>
  <si>
    <t>Г. Смоленск, просп. Гагарина, д. 3</t>
  </si>
  <si>
    <t>Г. Смоленск, ул. 8 Марта, д. 17</t>
  </si>
  <si>
    <t>Г. Смоленск, ул. Белинского, д. 10</t>
  </si>
  <si>
    <t>Г. Смоленск, ул. Белинского, д. 10а</t>
  </si>
  <si>
    <t>Г. Смоленск, ул. Верхне-Рославльская, д. 15</t>
  </si>
  <si>
    <t>Г. Смоленск, ул. Верхне-Рославльская, д. 22</t>
  </si>
  <si>
    <t>Г. Смоленск, ул. Воробьева, д. 30</t>
  </si>
  <si>
    <t>Г. Смоленск, ул. Воробьева, д. 30а</t>
  </si>
  <si>
    <t>Г. Смоленск, ул. Воробьева, д. 32</t>
  </si>
  <si>
    <t>Г. Смоленск, ул. Воробьева, д. 32а</t>
  </si>
  <si>
    <t>Г. Смоленск, ул. Воробьева, д. 34</t>
  </si>
  <si>
    <t>Г. Смоленск, ул. Высокая, д. 21</t>
  </si>
  <si>
    <t>Г. Смоленск, ул. Генерала Лукина, д. 8а</t>
  </si>
  <si>
    <t>Г. Смоленск, ул. Дзержинского, д. 19а</t>
  </si>
  <si>
    <t>Г. Смоленск, ул. Котовского, д. 13</t>
  </si>
  <si>
    <t>Г. Смоленск, ул. Котовского, д. 3</t>
  </si>
  <si>
    <t>Г. Смоленск, ул. Крупской, д. 28а</t>
  </si>
  <si>
    <t>Г. Смоленск, ул. Крупской, д. 28б</t>
  </si>
  <si>
    <t>Г. Смоленск, ул. Крупской, д. 28в</t>
  </si>
  <si>
    <t>Г. Смоленск, ул. Крупской, д. 56</t>
  </si>
  <si>
    <t>Г. Смоленск, ул. Крупской, д. 63/2</t>
  </si>
  <si>
    <t>Г. Смоленск, ул. Кутузова, д. 10а</t>
  </si>
  <si>
    <t>Г. Смоленск, ул. Лавочкина, д. 53</t>
  </si>
  <si>
    <t>Г. Смоленск, ул. Лавочкина, д. 55</t>
  </si>
  <si>
    <t>Г. Смоленск, ул. Лавочкина, д. 57</t>
  </si>
  <si>
    <t>Г. Смоленск, ул. Лавочкина, д. 66а</t>
  </si>
  <si>
    <t>Г. Смоленск, ул. Лавочкина, д. 70</t>
  </si>
  <si>
    <t>Г. Смоленск, ул. Ленина, д. 36</t>
  </si>
  <si>
    <t>Г. Смоленск, ул. Марии Октябрьской, д. 10г</t>
  </si>
  <si>
    <t>Г. Смоленск, ул. Марии Октябрьской, д. 6а</t>
  </si>
  <si>
    <t>Г. Смоленск, ул. Марии Октябрьской, д. 6б</t>
  </si>
  <si>
    <t>Г. Смоленск, ул. Московский Большак, д. 45</t>
  </si>
  <si>
    <t>Г. Смоленск, ул. Московский Большак, д. 51а</t>
  </si>
  <si>
    <t>Г. Смоленск, ул. Московский Большак, д. 55а</t>
  </si>
  <si>
    <t>Г. Смоленск, ул. Нахимсона, д. 16</t>
  </si>
  <si>
    <t>Г. Смоленск, ул. Николаева, д. 17</t>
  </si>
  <si>
    <t>Г. Смоленск, ул. Николаева, д. 22а</t>
  </si>
  <si>
    <t>Г. Смоленск, ул. Николаева, д. 7</t>
  </si>
  <si>
    <t>Г. Смоленск, ул. Ново-Московская, д. 38а</t>
  </si>
  <si>
    <t>Г. Смоленск, ул. Ново-Рославльская, д. 7</t>
  </si>
  <si>
    <t>Г. Смоленск, ул. Папанина, д. 1а</t>
  </si>
  <si>
    <t>Г. Смоленск, ул. Пржевальского, д. 12</t>
  </si>
  <si>
    <t>Г. Смоленск, ул. Пржевальского, д. 8</t>
  </si>
  <si>
    <t>Г. Смоленск, ул. Пригородная, д. 1а</t>
  </si>
  <si>
    <t>Г. Смоленск, ул. Радищева, д. 1</t>
  </si>
  <si>
    <t>Г. Смоленск, ул. Радищева, д. 3</t>
  </si>
  <si>
    <t>Г. Смоленск, ул. Радищева, д. 3а</t>
  </si>
  <si>
    <t>Г. Смоленск, ул. Радищева, д. 5</t>
  </si>
  <si>
    <t>Г. Смоленск, ул. Радищева, д. 9</t>
  </si>
  <si>
    <t>Г. Смоленск, ул. Реввоенсовета, д. 11а</t>
  </si>
  <si>
    <t>Г. Смоленск, ул. Реввоенсовета, д. 16</t>
  </si>
  <si>
    <t>Г. Смоленск, ул. Реввоенсовета, д. 18</t>
  </si>
  <si>
    <t>Г. Смоленск, ул. Седова, д. 26а</t>
  </si>
  <si>
    <t>Г. Смоленск, ул. Седова, д. 60</t>
  </si>
  <si>
    <t>Г. Смоленск, ул. Соболева, д. 108</t>
  </si>
  <si>
    <t>Г. Смоленск, ул. Соболева, д. 110</t>
  </si>
  <si>
    <t>Г. Смоленск, ул. Соболева, д. 86</t>
  </si>
  <si>
    <t>Г. Смоленск, ул. Социалистическая, д. 9</t>
  </si>
  <si>
    <t>Г. Смоленск, ул. Станционная, д. 4</t>
  </si>
  <si>
    <t>Г. Смоленск, ул. Урицкого, д. 17</t>
  </si>
  <si>
    <t>Г. Смоленск, ул. Урицкого, д. 3</t>
  </si>
  <si>
    <t>Г. Смоленск, ул. Фрунзе, д. 16</t>
  </si>
  <si>
    <t>Г. Смоленск, ул. Фрунзе, д. 27</t>
  </si>
  <si>
    <t>Г. Смоленск, ул. Фрунзе, д. 29</t>
  </si>
  <si>
    <t>Г. Смоленск, ул. Фрунзе, д. 36а</t>
  </si>
  <si>
    <t>Г. Смоленск, ул. Фрунзе, д. 51</t>
  </si>
  <si>
    <t xml:space="preserve">Г. Смоленск, ул. Центральная, д. 13 </t>
  </si>
  <si>
    <t>Г. Смоленск, ул. Чернышевского, д. 10</t>
  </si>
  <si>
    <t xml:space="preserve">Г. Смоленск, ул. Чернышевского, д. 12 </t>
  </si>
  <si>
    <t>Г. Смоленск, ул. Чернышевского, д. 12а</t>
  </si>
  <si>
    <t>Г. Смоленск, ул. Чернышевского, д. 8</t>
  </si>
  <si>
    <t>Г. Смоленск, ул. Черняховского, д. 11а</t>
  </si>
  <si>
    <t>Г. Смоленск, ул. Черняховского, д. 11б</t>
  </si>
  <si>
    <t>Г. Смоленск, ул. Черняховского, д. 13а</t>
  </si>
  <si>
    <t>Г. Смоленск, ул. Черняховского, д. 18в</t>
  </si>
  <si>
    <t>Г. Смоленск, ул. Черняховского, д. 22</t>
  </si>
  <si>
    <t>Г. Смоленск, ул. Черняховского, д. 22а</t>
  </si>
  <si>
    <t>Г. Смоленск, ул. Черняховского, д. 22б</t>
  </si>
  <si>
    <t>Г. Смоленск, ул. Черняховского, д. 24а</t>
  </si>
  <si>
    <t>Г. Смоленск, ул. Черняховского, д. 24б</t>
  </si>
  <si>
    <t>Г. Смоленск, ул. Черняховского, д. 26б</t>
  </si>
  <si>
    <t>Г. Смоленск, ул. Шоссейная, д. 1</t>
  </si>
  <si>
    <t>Г. Смоленск, ул. Шоссейная, д. 3</t>
  </si>
  <si>
    <t>Г. Смоленск, ул. Шоссейная, д. 4</t>
  </si>
  <si>
    <t>Г. Смоленск, ул. Шоссейная, д. 5</t>
  </si>
  <si>
    <t>Г. Смоленск, ул. Энгельса, д. 16</t>
  </si>
  <si>
    <t>Г. Смоленск, пер. Витебский, д. 18</t>
  </si>
  <si>
    <t>Г. Смоленск, пер. Станционный, д. 2</t>
  </si>
  <si>
    <t>Г. Смоленск, пос. Красный Бор, в/ч 83283, д. 6</t>
  </si>
  <si>
    <t>Г. Смоленск, пос. Серебрянка, д. 50б</t>
  </si>
  <si>
    <t>Г. Смоленск, пос. Серебрянка, д. 50в</t>
  </si>
  <si>
    <t>Г. Смоленск, ул. 12 лет Октября, д. 7а</t>
  </si>
  <si>
    <t>Г. Смоленск, ул. 2-я Загорная, д. 16</t>
  </si>
  <si>
    <t>Г. Смоленск, ул. 2-я Киевская, д. 15</t>
  </si>
  <si>
    <t>Г. Смоленск, ул. 2-я Северная, д. 21/2</t>
  </si>
  <si>
    <t>Г. Смоленск, ул. 2-я Северная, д. 23</t>
  </si>
  <si>
    <t>Г. Смоленск, ул. 4-я Загорная, д. 8</t>
  </si>
  <si>
    <t>Г. Смоленск, ул. Белинского, д. 12</t>
  </si>
  <si>
    <t>Г. Смоленск, ул. Белинского, д. 2</t>
  </si>
  <si>
    <t>Г. Смоленск, ул. Белинского, д. 2а</t>
  </si>
  <si>
    <t>Г. Смоленск, ул. Белинского, д. 4</t>
  </si>
  <si>
    <t>Г. Смоленск, ул. Белинского, д. 4а</t>
  </si>
  <si>
    <t>Г. Смоленск, ул. Белинского, д. 6</t>
  </si>
  <si>
    <t>Г. Смоленск, ул. Белинского, д. 6а</t>
  </si>
  <si>
    <t>Г. Смоленск, ул. Белинского, д. 8</t>
  </si>
  <si>
    <t>Г. Смоленск, ул. Белинского, д. 8а</t>
  </si>
  <si>
    <t>Г. Смоленск, ул. Белинского, д. 9</t>
  </si>
  <si>
    <t>Г. Смоленск, ул. Белинского, д. 9а</t>
  </si>
  <si>
    <t>Г. Смоленск, ул. Брестская, д. 3</t>
  </si>
  <si>
    <t>Г. Смоленск, ул. Брестская, д. 5</t>
  </si>
  <si>
    <t>Г. Смоленск, ул. Верхне-Рославльская, д. 20</t>
  </si>
  <si>
    <t>Г. Смоленск, ул. Войкова, д. 8а</t>
  </si>
  <si>
    <t>Г. Смоленск, ул. Глинки, д. 9</t>
  </si>
  <si>
    <t>Г. Смоленск, ул. Губенко, д. 18</t>
  </si>
  <si>
    <t>Г. Смоленск, ул. Губенко, д. 20</t>
  </si>
  <si>
    <t>Г. Смоленск, ул. Карбышева, д. 6</t>
  </si>
  <si>
    <t>Г. Смоленск, ул. Кирова, д. 1</t>
  </si>
  <si>
    <t>Г. Смоленск, ул. Кирова, д. 3</t>
  </si>
  <si>
    <t>Г. Смоленск, ул. Кирова, д. 30</t>
  </si>
  <si>
    <t>Г. Смоленск, ул. Кирова, д. 32</t>
  </si>
  <si>
    <t>Г. Смоленск, ул. Кирова, д. 4</t>
  </si>
  <si>
    <t>Г. Смоленск, ул. Кирова, д. 5</t>
  </si>
  <si>
    <t>Г. Смоленск, ул. Кирова, д. 6</t>
  </si>
  <si>
    <t>Г. Смоленск, ул. Кирова, д. 8</t>
  </si>
  <si>
    <t>Г. Смоленск, ул. Коммунистическая, д. 22</t>
  </si>
  <si>
    <t>Г. Смоленск, ул. Котовского, д. 1</t>
  </si>
  <si>
    <t>Г. Смоленск, ул. Котовского, д. 11а</t>
  </si>
  <si>
    <t>Г. Смоленск, ул. Котовского, д. 3а</t>
  </si>
  <si>
    <t>Г. Смоленск, ул. Лавочкина, д. 54</t>
  </si>
  <si>
    <t>Г. Смоленск, ул. Лавочкина, д. 61/2</t>
  </si>
  <si>
    <t>Г. Смоленск, ул. Ленина, д. 26</t>
  </si>
  <si>
    <t>Г. Смоленск, ул. Марии Октябрьской, д. 6в</t>
  </si>
  <si>
    <t>Г. Смоленск, ул. Матросова, д. 20</t>
  </si>
  <si>
    <t>Г. Смоленск, ул. Минская, д. 5</t>
  </si>
  <si>
    <t>Г. Смоленск, ул. Минская, д. 7</t>
  </si>
  <si>
    <t>Г. Смоленск, ул. Московский Большак, д. 22</t>
  </si>
  <si>
    <t>Г. Смоленск, ул. Николаева, д. 15</t>
  </si>
  <si>
    <t>Г. Смоленск, ул. Николаева, д. 9</t>
  </si>
  <si>
    <t>Г. Смоленск, ул. Октябрьской революции, д. 7</t>
  </si>
  <si>
    <t>Г. Смоленск, ул. Парковая, д. 24</t>
  </si>
  <si>
    <t>Г. Смоленск, ул. Пролетарская, д. 13а</t>
  </si>
  <si>
    <t>Г. Смоленск, ул. Радищева, д. 11</t>
  </si>
  <si>
    <t>Г. Смоленск, ул. Радищева, д. 11а</t>
  </si>
  <si>
    <t>Г. Смоленск, ул. Седова, д. 54а</t>
  </si>
  <si>
    <t>Г. Смоленск, ул. Смоленская, д. 16</t>
  </si>
  <si>
    <t>Г. Смоленск, ул. Соболева, д. 107</t>
  </si>
  <si>
    <t>Г. Смоленск, ул. Соболева, д. 111а</t>
  </si>
  <si>
    <t>Г. Смоленск, ул. Соболева, д. 111б</t>
  </si>
  <si>
    <t>Г. Смоленск, ул. Соболева, д. 111в</t>
  </si>
  <si>
    <t>Г. Смоленск, ул. Соболева, д. 94</t>
  </si>
  <si>
    <t>Г. Смоленск, ул. Твардовского, д. 5/11</t>
  </si>
  <si>
    <t>Г. Смоленск, ул. Урицкого, д. 15</t>
  </si>
  <si>
    <t>Г. Смоленск, ул. Урицкого, д. 6</t>
  </si>
  <si>
    <t>Г. Смоленск, ул. Урицкого, д. 8</t>
  </si>
  <si>
    <t>Г. Смоленск, ул. Фрунзе, д. 31</t>
  </si>
  <si>
    <t>Г. Смоленск, ул. Фрунзе, д. 34</t>
  </si>
  <si>
    <t>Г. Смоленск, ул. Чернышевского, д. 14</t>
  </si>
  <si>
    <t>Г. Смоленск, ул. Чернышевского, д. 16</t>
  </si>
  <si>
    <t>Г. Смоленск, ул. Чернышевского, д. 6</t>
  </si>
  <si>
    <t>Г. Смоленск, ул. Чернышевского, д. 6а</t>
  </si>
  <si>
    <t>Г. Смоленск, ул. Чернышевского, д. 8а</t>
  </si>
  <si>
    <t>Г. Смоленск, ул. Черняховского, д. 18</t>
  </si>
  <si>
    <t>Г. Смоленск, ул. Черняховского, д. 18а</t>
  </si>
  <si>
    <t>Г. Смоленск, ул. Черняховского, д. 22в</t>
  </si>
  <si>
    <t>Г. Смоленск, ул. Шевченко, д. 78</t>
  </si>
  <si>
    <t>Г. Смоленск, ул. Щорса, д. 14а</t>
  </si>
  <si>
    <t>Г. Смоленск, бульвар Гагарина, д. 6</t>
  </si>
  <si>
    <t>Г. Смоленск, пер. 2-й Краснофлотский, д. 34а</t>
  </si>
  <si>
    <t>Г. Смоленск, пер. 2-й Краснофлотский, д. 34б</t>
  </si>
  <si>
    <t>Г. Смоленск, пер. 2-й Краснофлотский, д. 34в</t>
  </si>
  <si>
    <t>Г. Смоленск, пер. 4-й Слобода-Садки, д. 35</t>
  </si>
  <si>
    <t>Г. Смоленск, пер. Запольный, д. 1</t>
  </si>
  <si>
    <t>Г. Смоленск, пер. Запольный, д. 3</t>
  </si>
  <si>
    <t>Г. Смоленск, пер. Ново-Чернушенский, д. 2</t>
  </si>
  <si>
    <t>Г. Смоленск, пер. Станционный, д. 4</t>
  </si>
  <si>
    <t>Г. Смоленск, пер. Хлебозаводской, д. 18</t>
  </si>
  <si>
    <t>Г. Смоленск, пос. Красный Бор, в/ч 83283, д. 3</t>
  </si>
  <si>
    <t>Г. Смоленск, пос. Красный Бор, в/ч 83283, д. 4</t>
  </si>
  <si>
    <t>Г. Смоленск, пос. Серебрянка, д. 68а</t>
  </si>
  <si>
    <t>Г. Смоленск, ул. 4-я Загорная, д. 9</t>
  </si>
  <si>
    <t>Г. Смоленск, ул. Багратиона, д. 12/13</t>
  </si>
  <si>
    <t>Г. Смоленск, ул. Белинского, д. 7</t>
  </si>
  <si>
    <t>Г. Смоленск, ул. Брестская, д. 1</t>
  </si>
  <si>
    <t>Г. Смоленск, ул. Воробьева, д. 36</t>
  </si>
  <si>
    <t>Г. Смоленск, ул. Гастелло, д. 12</t>
  </si>
  <si>
    <t>Г. Смоленск, ул. Гастелло, д. 20</t>
  </si>
  <si>
    <t>Г. Смоленск, ул. Генерала Городнянского, д. 3</t>
  </si>
  <si>
    <t>Г. Смоленск, ул. Герцена, д. 13</t>
  </si>
  <si>
    <t>Г. Смоленск, ул. Госпитальная, д. 31</t>
  </si>
  <si>
    <t>Г. Смоленск, ул. Дзержинского, д. 2а</t>
  </si>
  <si>
    <t>Г. Смоленск, ул. Докучаева, д. 11</t>
  </si>
  <si>
    <t>Г. Смоленск, ул. Докучаева, д. 6</t>
  </si>
  <si>
    <t>Г. Смоленск, ул. Кирова, д. 2/57</t>
  </si>
  <si>
    <t>Г. Смоленск, ул. Кирова, д. 2а</t>
  </si>
  <si>
    <t>Г. Смоленск, ул. Козлова, д. 5</t>
  </si>
  <si>
    <t>Г. Смоленск, ул. Коненкова, д. 8</t>
  </si>
  <si>
    <t>Г. Смоленск, ул. Котовского, д. 7</t>
  </si>
  <si>
    <t>Г. Смоленск, ул. Крупской, д. 43/2</t>
  </si>
  <si>
    <t>Г. Смоленск, ул. Кутузова, д. 6</t>
  </si>
  <si>
    <t>Г. Смоленск, ул. Ленина, д. 30</t>
  </si>
  <si>
    <t>Г. Смоленск, ул. Ленина, д. 38</t>
  </si>
  <si>
    <t>Г. Смоленск, ул. Ломоносова, д. 3</t>
  </si>
  <si>
    <t>Г. Смоленск, ул. Мало-Краснофлотская, д. 31</t>
  </si>
  <si>
    <t>Г. Смоленск, ул. Мало-Краснофлотская, д. 33</t>
  </si>
  <si>
    <t>Г. Смоленск, ул. Мало-Краснофлотская, д. 35</t>
  </si>
  <si>
    <t>Г. Смоленск, ул. Московский Большак, д. 47</t>
  </si>
  <si>
    <t>Г. Смоленск, ул. Нахимова, д. 11</t>
  </si>
  <si>
    <t>Г. Смоленск, ул. Николаева, д. 51</t>
  </si>
  <si>
    <t>Г. Смоленск, ул. Николаева, д. 61/38</t>
  </si>
  <si>
    <t>Г. Смоленск, ул. Папанина, д. 12а</t>
  </si>
  <si>
    <t>Г. Смоленск, ул. Рабочая, д. 5</t>
  </si>
  <si>
    <t>Г. Смоленск, ул. Раевского, д. 1</t>
  </si>
  <si>
    <t>Г. Смоленск, ул. Раевского, д. 3</t>
  </si>
  <si>
    <t>Г. Смоленск, ул. Седова, д. 31а</t>
  </si>
  <si>
    <t>Г. Смоленск, ул. Седова, д. 56</t>
  </si>
  <si>
    <t>Г. Смоленск, ул. Седова, д. 56а</t>
  </si>
  <si>
    <t>Г. Смоленск, ул. Соболева, д. 84</t>
  </si>
  <si>
    <t>Г. Смоленск, ул. Социалистическая, д. 2а</t>
  </si>
  <si>
    <t>Г. Смоленск, ул. Шевченко, д. 80</t>
  </si>
  <si>
    <t>Г. Смоленск, ул. Шевченко, д. 82</t>
  </si>
  <si>
    <t>Г. Смоленск, ул. Шевченко, д. 84/2</t>
  </si>
  <si>
    <t>Г. Смоленск, ул. Воробьева, д. 15</t>
  </si>
  <si>
    <t>Г. Смоленск, ул. Крупской, д. 65</t>
  </si>
  <si>
    <t>Г. Смоленск, ул. Октябрьской революции, д. 18</t>
  </si>
  <si>
    <t>Г. Смоленск, ул. Багратиона, д. 57б</t>
  </si>
  <si>
    <t>Г. Смоленск, ул. Николаева, д. 52</t>
  </si>
  <si>
    <t>Итого по Демидовскому городскому поселению Демидовского района Смоленской области</t>
  </si>
  <si>
    <t>С. Первомайский, ул. Советская, д. 6</t>
  </si>
  <si>
    <t>Дер. Мощинки, ул. Садовая, д. 5</t>
  </si>
  <si>
    <t>Дер. Мощинки, ул. Садовая, д. 7</t>
  </si>
  <si>
    <t>Г. Рославль, пос. ТЭЦ, д. 4</t>
  </si>
  <si>
    <t>1.</t>
  </si>
  <si>
    <t>2.</t>
  </si>
  <si>
    <t>Итого по муниципальному образованию «город Десногорск» Смоленской области</t>
  </si>
  <si>
    <t>Г. Десногорск, мкрн. 1, д. 2</t>
  </si>
  <si>
    <t>Итого по Андрейковскому сельскому поселению Вяземского района Смоленской области</t>
  </si>
  <si>
    <t>Итого по Знаменскому сельскому поселению Угранского района Смоленской области</t>
  </si>
  <si>
    <t>Итого по Угранскому сельскому поселению Угранского района Смоленской области</t>
  </si>
  <si>
    <t>Г. Смоленск, ул. Молодежная, д. 16</t>
  </si>
  <si>
    <t>Пос. Хиславичи, ул. Советская, д. 39</t>
  </si>
  <si>
    <t>Пос. Хиславичи, пер. Кооперативный, д. 2</t>
  </si>
  <si>
    <t>Итого по Мерлинскому сельскому поселению Краснинского района Смоленской области</t>
  </si>
  <si>
    <t>Дер. Маньково, ул. Моисеенкова, д. 5</t>
  </si>
  <si>
    <t>Г. Сафоново, ул. Революционная, д. 2</t>
  </si>
  <si>
    <t>Г. Сафоново, ул. Революционная, д. 4</t>
  </si>
  <si>
    <t>Г. Починок, ул. Красноармейская, д. 66</t>
  </si>
  <si>
    <t>Г. Починок, ул. Советская, д. 65</t>
  </si>
  <si>
    <t>Г. Гагарин, пер. Пионерский, д. 14</t>
  </si>
  <si>
    <t>Г. Гагарин, ул. Ленина, д. 75</t>
  </si>
  <si>
    <t>Г. Гагарин, ул. Пушная, д. 2</t>
  </si>
  <si>
    <t>Г. Смоленск, ул. Исаковского, д. 16</t>
  </si>
  <si>
    <t>Г. Вязьма, ул. Юбилейная, д. 11</t>
  </si>
  <si>
    <t>Г. Вязьма, ул. Полевая, д. 7</t>
  </si>
  <si>
    <t>Итого по Барановскому сельскому поселению Сафоновского района Смоленской области</t>
  </si>
  <si>
    <t>Дер. Бараново, ул. Советская, д. 16</t>
  </si>
  <si>
    <t>Г. Смоленск, ул. 2-я Киевская, д. 8</t>
  </si>
  <si>
    <t>Г. Смоленск, пос. Вязовенька, д. 2а</t>
  </si>
  <si>
    <t>С. Новодугино, ул. Специалистов, д. 3</t>
  </si>
  <si>
    <t>Г. Ельня, ул. Капитанова, д. 38</t>
  </si>
  <si>
    <t>Г. Смоленск, ул. Шевченко, д. 42</t>
  </si>
  <si>
    <t>Г. Смоленск, пос. Анастасино, д. 36</t>
  </si>
  <si>
    <t>Г. Демидов, пр. Суворовский, д. 14</t>
  </si>
  <si>
    <t>Г. Гагарин, ул. Мелиоративная, д. 22</t>
  </si>
  <si>
    <t>Итого по Вязьма-Брянскому сельскому поселению Вяземского района Смоленской области</t>
  </si>
  <si>
    <t>С. Вязьма-Брянская, ул. Авиационная, д. 3</t>
  </si>
  <si>
    <t>Пос. Хиславичи, ул. Берестнева, д. 27</t>
  </si>
  <si>
    <t>Пос. Монастырщина, ул. Мира, д. 17</t>
  </si>
  <si>
    <t>Г. Вязьма, мкрн. Березы, д. 14</t>
  </si>
  <si>
    <t>Г. Вязьма, ул. Кронштадтская, д. 35</t>
  </si>
  <si>
    <t>Г. Вязьма, ул. Строителей, д. 6</t>
  </si>
  <si>
    <t>Г. Вязьма, ул. Ленина, д. 1/2</t>
  </si>
  <si>
    <t>Дер. Тюхменево, ул. Карьероуправления, д. 15</t>
  </si>
  <si>
    <t>Г. Рудня, ул. Станционная, д. 12</t>
  </si>
  <si>
    <t>Дер. Березино, ул. Центральная, д. 10</t>
  </si>
  <si>
    <t>Дер. Лонница, ул. Мира, д. 5</t>
  </si>
  <si>
    <t>Г. Смоленск, городок Коминтерна, д. 3</t>
  </si>
  <si>
    <t>Г. Смоленск, ул. Нахимова, д. 20</t>
  </si>
  <si>
    <t xml:space="preserve">Г. Ярцево, ул. Ленинская, д. 2 </t>
  </si>
  <si>
    <t>Г. Смоленск, ул. Чапаева, д. 4</t>
  </si>
  <si>
    <t>Итого по Воргинскому сельскому поселению Ершичского района Смоленской области</t>
  </si>
  <si>
    <t>С. Ворга, пер. Первомайский, д. 2</t>
  </si>
  <si>
    <t>Г. Смоленск, ул. Ново-Рославльская, д. 4</t>
  </si>
  <si>
    <t>Дер. Новые Батеки, ул. Школьная, д. 18</t>
  </si>
  <si>
    <t>Дер. Новые Батеки, ул. Школьная, д. 15</t>
  </si>
  <si>
    <t>Дер. Новые Батеки, ул. Школьная, д. 13</t>
  </si>
  <si>
    <t>Дер. Новые Батеки, ул. Школьная, д. 11</t>
  </si>
  <si>
    <t>Г. Вязьма, ул. Ленина, д. 6</t>
  </si>
  <si>
    <t xml:space="preserve">Г. Смоленск, ул. Реввоенсовета, д. 17 </t>
  </si>
  <si>
    <t xml:space="preserve">Г. Смоленск, ул. Исаковского, д. 18 </t>
  </si>
  <si>
    <t xml:space="preserve">Г. Смоленск, ул. Ленина, д. 31/19 </t>
  </si>
  <si>
    <t xml:space="preserve">Г. Смоленск, городок Коминтерна, д. 13 </t>
  </si>
  <si>
    <t xml:space="preserve">Г. Смоленск, городок Коминтерна, д. 14 </t>
  </si>
  <si>
    <t xml:space="preserve">Г. Смоленск, городок Коминтерна, д. 15 </t>
  </si>
  <si>
    <t xml:space="preserve">Г. Смоленск, ул. Маршала Жукова, д. 27 </t>
  </si>
  <si>
    <t xml:space="preserve">Г. Рославль, ул. Ленина, д. 5 </t>
  </si>
  <si>
    <t>Г. Смоленск, ул. Карла Маркса, д. 12а</t>
  </si>
  <si>
    <t>Г. Смоленск, ул. Твардовского, д. 16</t>
  </si>
  <si>
    <t>Г. Смоленск, просп. Гагарина, д. 24</t>
  </si>
  <si>
    <t>Г. Смоленск, ул. Крупской, д. 48</t>
  </si>
  <si>
    <t>Г. Смоленск, ул. 12 лет Октября, д. 5</t>
  </si>
  <si>
    <t>Г. Смоленск, ул. Нахимова, д. 7</t>
  </si>
  <si>
    <t>Г. Смоленск, ул. Пржевальского, д. 1/5</t>
  </si>
  <si>
    <t>Г. Смоленск, ул. Коммунистическая, д. 5</t>
  </si>
  <si>
    <t>Г. Смоленск, ул. Попова, д. 132</t>
  </si>
  <si>
    <t>Г. Смоленск, ул. Исаковского, д. 12/1</t>
  </si>
  <si>
    <t>Г. Рославль, мкрн. 15, д. 28</t>
  </si>
  <si>
    <t>Дер. Козловка, ул. Мира, д. 35</t>
  </si>
  <si>
    <t>С. Остер, ул. Советская, д. 3</t>
  </si>
  <si>
    <t>С. Остер, ул. Советская, д. 7</t>
  </si>
  <si>
    <t>Итого по Рыбковскому сельскому поселению Сафоновского района Смоленской области</t>
  </si>
  <si>
    <t>Дер. Рыбки, ул. Центральная, д. 3</t>
  </si>
  <si>
    <t>Пос. Красный, ул. Глинки, д. 5</t>
  </si>
  <si>
    <t>Пос. Монастырщина, территория Сельхозтехника, 
д. 10</t>
  </si>
  <si>
    <t>Г. Ярцево, ул. Гагарина, д. 23</t>
  </si>
  <si>
    <t>Г. Ярцево, ул. Первомайская, д. 24</t>
  </si>
  <si>
    <t>Г. Смоленск, ул. Бакунина, д. 2</t>
  </si>
  <si>
    <t>Г. Смоленск, ул. Центральная, д. 22</t>
  </si>
  <si>
    <t>Г. Рославль, мкрн. 17, д. 9</t>
  </si>
  <si>
    <t>Итого по Пречистенскому сельскому поселению Духовщинского района Смоленской области</t>
  </si>
  <si>
    <t xml:space="preserve">С. Пречистое, пер. 2-й Октябрьский, д. 1 </t>
  </si>
  <si>
    <t>Итого по Гагаринскому сельскому поселению Гагаринского района Смоленской области</t>
  </si>
  <si>
    <t>Дер. Клушино, ул. Молодежная, д. 8</t>
  </si>
  <si>
    <t>Г. Смоленск, ул. 2-я линия Красноармейской слободы, д. 5</t>
  </si>
  <si>
    <t>Г. Смоленск, ул. Коммунистическая, д. 6</t>
  </si>
  <si>
    <t>Г. Смоленск, ул. Лавочкина, д. 62</t>
  </si>
  <si>
    <t>Г. Смоленск, ул. Нарвская, д. 21, корпус 3</t>
  </si>
  <si>
    <t>С. Остер, ул. Советская, д. 14</t>
  </si>
  <si>
    <t>ремонт, замена, модернизация лифтов, ремонт лифтовых шахт, машинных и блочных помещений</t>
  </si>
  <si>
    <t xml:space="preserve"> холодного водоснабжения</t>
  </si>
  <si>
    <t xml:space="preserve"> горячего водоснабжения</t>
  </si>
  <si>
    <t>водоотведения</t>
  </si>
  <si>
    <t>газоснабжения</t>
  </si>
  <si>
    <t>всего</t>
  </si>
  <si>
    <t>ремонт внутридомовых инженерных систем</t>
  </si>
  <si>
    <t>Г. Сафоново, ул. Гастелло, д. 15</t>
  </si>
  <si>
    <t>С. Остер, ул. Строителей, д. 2</t>
  </si>
  <si>
    <t>С. Остер, ул. Строителей, д. 4</t>
  </si>
  <si>
    <t>Г. Смоленск, ул. Октябрьской революции, д. 40</t>
  </si>
  <si>
    <t>Итого по Булгаковскому сельскому поселению Духовщинского района Смоленской области</t>
  </si>
  <si>
    <t>Дер. Большое Береснево, ул. Лесная, д. 5</t>
  </si>
  <si>
    <t>Итого по Озерненскому городскому поселению Духовщинского района Смоленской области</t>
  </si>
  <si>
    <t>Пос. Озерный, ул. Ленина, д. 3/3</t>
  </si>
  <si>
    <t>Пос. Озерный, ул. Строителей, д. 12/5</t>
  </si>
  <si>
    <t>Пос. Озерный, ул. Строителей, д. 24</t>
  </si>
  <si>
    <t>Пос. Кардымово, ул. Каменка, д. 13</t>
  </si>
  <si>
    <t>Итого по Корохоткинскому сельскому поселению Смоленского района Смоленской области</t>
  </si>
  <si>
    <t>Пос. Гедеоновка, ул. Полевая, д. 3</t>
  </si>
  <si>
    <t>Г. Сафоново, ул. 40 лет Октября, д. 10</t>
  </si>
  <si>
    <t>Итого по Каменскому сельскому поселению Кардымовского района Смоленской области</t>
  </si>
  <si>
    <t>Итого по Тюшинскому сельскому поселению Кардымовского района Смоленской области</t>
  </si>
  <si>
    <t>Итого по Козинскому сельскому поселению Смоленского района Смоленской области</t>
  </si>
  <si>
    <t>Дер. Богородицкое, ул. Викторова, д. 27</t>
  </si>
  <si>
    <t>Пос. Верхнеднепровский, ул. Комсомольская, д. 27</t>
  </si>
  <si>
    <t>Пос. Шумячи, ул. Садовая, д. 41а</t>
  </si>
  <si>
    <t>Г. Дорогобуж, ул. Мира, д. 38</t>
  </si>
  <si>
    <t>электроснабжения</t>
  </si>
  <si>
    <t>теплоснабжения</t>
  </si>
  <si>
    <t>Итого по Игоревскому сельскому поселению Холм-Жирковского района Смоленской области</t>
  </si>
  <si>
    <t>Ст. Игоревская, ул. Южная, д. 7</t>
  </si>
  <si>
    <t>Итого по Ленинскому сельскому поселению Починковского района Смоленской области</t>
  </si>
  <si>
    <t>Итого по Любавичскому сельскому поселению Руднянского района Смоленской области</t>
  </si>
  <si>
    <t>Г. Смоленск, ул. Валентины Гризодубовой, д. 1</t>
  </si>
  <si>
    <t>С. Лесное, ул. Центральная, д. 14</t>
  </si>
  <si>
    <t>Дер. Михейково, ул. Юбилейная, д. 3</t>
  </si>
  <si>
    <t>Дер. Суетово, ул. Магистральная, д. 10</t>
  </si>
  <si>
    <t>Итого по Капыревщинскому сельскому поселению Ярцевского района Смоленской области</t>
  </si>
  <si>
    <t>Дер. Капыревщина, ул. Славы, д. 8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</si>
  <si>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</si>
  <si>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</si>
  <si>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</si>
  <si>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</si>
  <si>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</si>
  <si>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</si>
  <si>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</si>
  <si>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</si>
  <si>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</si>
  <si>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</si>
  <si>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</si>
  <si>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</si>
  <si>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</si>
  <si>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</si>
  <si>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</si>
  <si>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</si>
  <si>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</si>
  <si>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</si>
  <si>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</si>
  <si>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</si>
  <si>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</si>
  <si>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</si>
  <si>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</si>
  <si>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</si>
  <si>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</si>
  <si>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</si>
  <si>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</si>
  <si>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</si>
  <si>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</si>
  <si>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</si>
  <si>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</si>
  <si>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</si>
  <si>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</si>
  <si>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</si>
  <si>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</si>
  <si>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</si>
  <si>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74.</t>
  </si>
  <si>
    <t>78.</t>
  </si>
  <si>
    <t>82.</t>
  </si>
  <si>
    <t>131.</t>
  </si>
  <si>
    <t>132.</t>
  </si>
  <si>
    <t>134.</t>
  </si>
  <si>
    <t>135.</t>
  </si>
  <si>
    <t>145.</t>
  </si>
  <si>
    <t>167.</t>
  </si>
  <si>
    <t>180.</t>
  </si>
  <si>
    <t>187.</t>
  </si>
  <si>
    <t>188.</t>
  </si>
  <si>
    <t>197.</t>
  </si>
  <si>
    <t>Итого по муниципальному образованию Велижское городское поселение</t>
  </si>
  <si>
    <t>Итого по Ярцевскому городскому поселению Ярцевского района Смоленской области</t>
  </si>
  <si>
    <t>Г. Смоленск, ул. Шевченко, д. 44</t>
  </si>
  <si>
    <t>Пос. Озерный, ул. Октябрьская, д. 12</t>
  </si>
  <si>
    <t>Пос. Озерный, ул. Октябрьская, д. 14а</t>
  </si>
  <si>
    <t>Дер. Павловка, ул. Чехова, д. 2</t>
  </si>
  <si>
    <t>Г. Вязьма, ул. Московская, д. 27</t>
  </si>
  <si>
    <t>Г. Ельня, ул. Энгельса, д. 32</t>
  </si>
  <si>
    <t>спецсчет</t>
  </si>
  <si>
    <t>Дер. Капыревщина, ул. Славы, д. 17</t>
  </si>
  <si>
    <t>Дер. Капыревщина, ул. Мира, д. 10</t>
  </si>
  <si>
    <t>Г. Ярцево, ул. Чернышевского, д. 8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</si>
  <si>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</si>
  <si>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</si>
  <si>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</si>
  <si>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</si>
  <si>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</si>
  <si>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</si>
  <si>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</si>
  <si>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</si>
  <si>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</si>
  <si>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</si>
  <si>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</si>
  <si>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</si>
  <si>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</si>
  <si>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</si>
  <si>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</si>
  <si>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</si>
  <si>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</si>
  <si>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</si>
  <si>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</si>
  <si>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</si>
  <si>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</si>
  <si>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</si>
  <si>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</si>
  <si>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</si>
  <si>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</si>
  <si>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</si>
  <si>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</si>
  <si>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</si>
  <si>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</si>
  <si>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</si>
  <si>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</si>
  <si>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</si>
  <si>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</si>
  <si>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</si>
  <si>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</si>
  <si>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75.</t>
  </si>
  <si>
    <t>76.</t>
  </si>
  <si>
    <t>77.</t>
  </si>
  <si>
    <t>79.</t>
  </si>
  <si>
    <t>80.</t>
  </si>
  <si>
    <t>81.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</si>
  <si>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</si>
  <si>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</si>
  <si>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</si>
  <si>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</si>
  <si>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</si>
  <si>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</si>
  <si>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</si>
  <si>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</si>
  <si>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</si>
  <si>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</si>
  <si>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</si>
  <si>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</si>
  <si>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</si>
  <si>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</si>
  <si>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</si>
  <si>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</si>
  <si>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</si>
  <si>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</si>
  <si>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</si>
  <si>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</si>
  <si>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</si>
  <si>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</si>
  <si>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</si>
  <si>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</si>
  <si>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</si>
  <si>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</si>
  <si>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</si>
  <si>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</si>
  <si>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</si>
  <si>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</si>
  <si>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</si>
  <si>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</si>
  <si>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</si>
  <si>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</si>
  <si>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</si>
  <si>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</si>
  <si>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</si>
  <si>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</si>
  <si>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</si>
  <si>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</si>
  <si>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</si>
  <si>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</si>
  <si>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</si>
  <si>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</si>
  <si>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</si>
  <si>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</si>
  <si>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</si>
  <si>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</si>
  <si>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133.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</si>
  <si>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</si>
  <si>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</si>
  <si>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</si>
  <si>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</si>
  <si>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</si>
  <si>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</si>
  <si>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</si>
  <si>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</si>
  <si>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</si>
  <si>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</si>
  <si>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</si>
  <si>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</si>
  <si>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</si>
  <si>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</si>
  <si>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</si>
  <si>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</si>
  <si>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</si>
  <si>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</si>
  <si>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</si>
  <si>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</si>
  <si>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</si>
  <si>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</si>
  <si>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</si>
  <si>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</si>
  <si>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</si>
  <si>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</si>
  <si>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</si>
  <si>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</si>
  <si>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</si>
  <si>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</si>
  <si>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</si>
  <si>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</si>
  <si>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</si>
  <si>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</si>
  <si>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</si>
  <si>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</si>
  <si>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</si>
  <si>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</si>
  <si>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</si>
  <si>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</si>
  <si>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</si>
  <si>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</si>
  <si>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181.</t>
  </si>
  <si>
    <t>182.</t>
  </si>
  <si>
    <t>183.</t>
  </si>
  <si>
    <t>184.</t>
  </si>
  <si>
    <t>185.</t>
  </si>
  <si>
    <t>186.</t>
  </si>
  <si>
    <t>189.</t>
  </si>
  <si>
    <t>190.</t>
  </si>
  <si>
    <t>191.</t>
  </si>
  <si>
    <t>192.</t>
  </si>
  <si>
    <t>193.</t>
  </si>
  <si>
    <t>194.</t>
  </si>
  <si>
    <t>195.</t>
  </si>
  <si>
    <t>196.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</si>
  <si>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</si>
  <si>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</si>
  <si>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</si>
  <si>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</si>
  <si>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</si>
  <si>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</si>
  <si>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</si>
  <si>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</si>
  <si>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</si>
  <si>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</si>
  <si>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</si>
  <si>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</si>
  <si>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</si>
  <si>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</si>
  <si>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</si>
  <si>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</si>
  <si>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</si>
  <si>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</si>
  <si>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</si>
  <si>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</si>
  <si>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</si>
  <si>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</si>
  <si>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</si>
  <si>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</si>
  <si>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</si>
  <si>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</si>
  <si>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</si>
  <si>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</si>
  <si>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</si>
  <si>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</si>
  <si>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</si>
  <si>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</si>
  <si>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</si>
  <si>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</si>
  <si>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</si>
  <si>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Пос. Хиславичи, ул. Берестнева, д. 24</t>
  </si>
  <si>
    <t>Дер. Ланино, ул. Парковая, д. 13</t>
  </si>
  <si>
    <t>Г. Вязьма, ул. Парижской Коммуны, д. 9</t>
  </si>
  <si>
    <t>Г. Смоленск, ул. Октябрьской революции, д. 4</t>
  </si>
  <si>
    <t>Г. Ельня, ул. Советская, д. 18</t>
  </si>
  <si>
    <t>Пос. Кардымово, ул. Каменка, д. 15</t>
  </si>
  <si>
    <t>Дер. Сташки, ул. Молодежная, д. 3</t>
  </si>
  <si>
    <t>Г. Сафоново, ул. Ленинградская, д. 16</t>
  </si>
  <si>
    <t>Г. Вязьма, мкрн. Березы, д. 4</t>
  </si>
  <si>
    <t>Г. Смоленск, ул. Генерала Лукина, д. 4</t>
  </si>
  <si>
    <t>Г. Смоленск, ул. Центральная, д. 7</t>
  </si>
  <si>
    <t>Дер. Сметанино, ул. Липатенкова, д. 8</t>
  </si>
  <si>
    <t>Г. Смоленск, ул. Ленина, д. 12а</t>
  </si>
  <si>
    <t>Итого по Сметанинскому сельскому поселению Смоленского района Смоленской области</t>
  </si>
  <si>
    <t>Г. Починок, ул. Социалистическая, д. 43</t>
  </si>
  <si>
    <t>Пос. Гедеоновка, д. 12</t>
  </si>
  <si>
    <t>Пос. Гедеоновка, д. 13</t>
  </si>
  <si>
    <t>Г. Вязьма, ул. Ленина, д. 65</t>
  </si>
  <si>
    <t>Г. Смоленск, Московское шоссе, д. 140</t>
  </si>
  <si>
    <t>Итого по Шаталовскому сельскому поселению Починковского района Смоленской области</t>
  </si>
  <si>
    <t>Дер. Даньково, д. 11</t>
  </si>
  <si>
    <t>Дер. Беленино, ул. Центральная, д. 8</t>
  </si>
  <si>
    <t>Дер. Рыбки, ул. Центральная, д. 13</t>
  </si>
  <si>
    <t>Г. Ярцево, ул. Автозаводская, д. 40</t>
  </si>
  <si>
    <t>Г. Смоленск, ул. Исаковского, д. 18</t>
  </si>
  <si>
    <t>Г. Смоленск, ул. Нахимсона, д. 5</t>
  </si>
  <si>
    <t>Г. Смоленск, ул. Соболева, д. 30</t>
  </si>
  <si>
    <t>Г. Смоленск, ул. Тенишевой, д. 6</t>
  </si>
  <si>
    <t>Г. Смоленск, ул. Колхозная, д. 48б</t>
  </si>
  <si>
    <t>Г. Смоленск, ул. Новая Слобода-Садки, д. 6а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</si>
  <si>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</si>
  <si>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</si>
  <si>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</si>
  <si>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</si>
  <si>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</si>
  <si>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</si>
  <si>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</si>
  <si>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</si>
  <si>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</si>
  <si>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</si>
  <si>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</si>
  <si>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</si>
  <si>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</si>
  <si>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</si>
  <si>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</si>
  <si>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</si>
  <si>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</si>
  <si>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</si>
  <si>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</si>
  <si>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</si>
  <si>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</si>
  <si>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</si>
  <si>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</si>
  <si>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</si>
  <si>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</si>
  <si>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</si>
  <si>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</si>
  <si>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</si>
  <si>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</si>
  <si>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</si>
  <si>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</si>
  <si>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</si>
  <si>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</si>
  <si>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</si>
  <si>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</si>
  <si>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</si>
  <si>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</si>
  <si>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</si>
  <si>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</si>
  <si>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</si>
  <si>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</si>
  <si>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</si>
  <si>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</si>
  <si>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</si>
  <si>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</si>
  <si>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</si>
  <si>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</si>
  <si>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281.</t>
  </si>
  <si>
    <t>280.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</si>
  <si>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</si>
  <si>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</si>
  <si>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</si>
  <si>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</si>
  <si>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</si>
  <si>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</si>
  <si>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</si>
  <si>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</si>
  <si>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</si>
  <si>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</si>
  <si>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</si>
  <si>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</si>
  <si>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</si>
  <si>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</si>
  <si>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</si>
  <si>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</si>
  <si>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</si>
  <si>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</si>
  <si>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</si>
  <si>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</si>
  <si>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</si>
  <si>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</si>
  <si>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</si>
  <si>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</si>
  <si>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</si>
  <si>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</si>
  <si>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</si>
  <si>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</si>
  <si>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</si>
  <si>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</si>
  <si>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</si>
  <si>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</si>
  <si>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</si>
  <si>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</si>
  <si>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</si>
  <si>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</si>
  <si>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</si>
  <si>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</si>
  <si>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</si>
  <si>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</si>
  <si>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</si>
  <si>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</si>
  <si>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</si>
  <si>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</si>
  <si>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</si>
  <si>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</si>
  <si>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</si>
  <si>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</si>
  <si>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</si>
  <si>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</si>
  <si>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</si>
  <si>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</si>
  <si>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</si>
  <si>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</si>
  <si>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</si>
  <si>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</si>
  <si>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</si>
  <si>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</si>
  <si>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</si>
  <si>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</si>
  <si>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</si>
  <si>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</si>
  <si>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</si>
  <si>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</si>
  <si>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</si>
  <si>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</si>
  <si>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</si>
  <si>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</si>
  <si>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</si>
  <si>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</si>
  <si>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</si>
  <si>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</si>
  <si>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</si>
  <si>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</si>
  <si>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</si>
  <si>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</si>
  <si>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</si>
  <si>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</si>
  <si>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</si>
  <si>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</si>
  <si>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</si>
  <si>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</si>
  <si>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</si>
  <si>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</si>
  <si>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</si>
  <si>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</si>
  <si>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</si>
  <si>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</si>
  <si>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</si>
  <si>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</si>
  <si>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</si>
  <si>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</si>
  <si>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</si>
  <si>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</si>
  <si>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</si>
  <si>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</si>
  <si>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</si>
  <si>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</si>
  <si>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</si>
  <si>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</si>
  <si>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</si>
  <si>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</si>
  <si>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</si>
  <si>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</si>
  <si>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</si>
  <si>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</si>
  <si>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</si>
  <si>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</si>
  <si>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</si>
  <si>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</si>
  <si>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</si>
  <si>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</si>
  <si>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</si>
  <si>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</si>
  <si>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</si>
  <si>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</si>
  <si>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</si>
  <si>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</si>
  <si>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</si>
  <si>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</si>
  <si>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</si>
  <si>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</si>
  <si>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</si>
  <si>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</si>
  <si>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</si>
  <si>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</si>
  <si>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</si>
  <si>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</si>
  <si>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</si>
  <si>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</si>
  <si>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</si>
  <si>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</si>
  <si>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</si>
  <si>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</si>
  <si>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</si>
  <si>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</si>
  <si>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</si>
  <si>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</si>
  <si>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</si>
  <si>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</si>
  <si>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</si>
  <si>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</si>
  <si>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</si>
  <si>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</si>
  <si>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</si>
  <si>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</si>
  <si>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</si>
  <si>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</si>
  <si>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</si>
  <si>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</si>
  <si>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</si>
  <si>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</si>
  <si>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</si>
  <si>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</si>
  <si>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</si>
  <si>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</si>
  <si>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</si>
  <si>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</si>
  <si>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</si>
  <si>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</si>
  <si>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</si>
  <si>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</si>
  <si>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</si>
  <si>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</si>
  <si>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</si>
  <si>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</si>
  <si>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</si>
  <si>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</si>
  <si>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</si>
  <si>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</si>
  <si>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</si>
  <si>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</si>
  <si>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</si>
  <si>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</si>
  <si>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</si>
  <si>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</si>
  <si>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</si>
  <si>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</si>
  <si>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</si>
  <si>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</si>
  <si>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</si>
  <si>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</si>
  <si>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</si>
  <si>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</si>
  <si>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</si>
  <si>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</si>
  <si>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</si>
  <si>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</si>
  <si>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</si>
  <si>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</si>
  <si>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</si>
  <si>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</si>
  <si>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</si>
  <si>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</si>
  <si>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</si>
  <si>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</si>
  <si>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</si>
  <si>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</si>
  <si>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</si>
  <si>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</si>
  <si>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</si>
  <si>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</si>
  <si>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</si>
  <si>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</si>
  <si>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</si>
  <si>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</si>
  <si>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</si>
  <si>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</si>
  <si>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</si>
  <si>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</si>
  <si>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</si>
  <si>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</si>
  <si>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</si>
  <si>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</si>
  <si>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</si>
  <si>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</si>
  <si>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</si>
  <si>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</si>
  <si>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</si>
  <si>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</si>
  <si>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</si>
  <si>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</si>
  <si>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</si>
  <si>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</si>
  <si>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</si>
  <si>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</si>
  <si>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</si>
  <si>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</si>
  <si>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</si>
  <si>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</si>
  <si>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</si>
  <si>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</si>
  <si>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</si>
  <si>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</si>
  <si>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</si>
  <si>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</si>
  <si>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</si>
  <si>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</si>
  <si>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</si>
  <si>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</si>
  <si>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</si>
  <si>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</si>
  <si>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</si>
  <si>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</si>
  <si>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</si>
  <si>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</si>
  <si>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</si>
  <si>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</si>
  <si>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</si>
  <si>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</si>
  <si>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</si>
  <si>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</si>
  <si>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</si>
  <si>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</si>
  <si>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</si>
  <si>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</si>
  <si>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</si>
  <si>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</si>
  <si>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</si>
  <si>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</si>
  <si>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</si>
  <si>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</si>
  <si>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</si>
  <si>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</si>
  <si>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</si>
  <si>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</si>
  <si>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</si>
  <si>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</si>
  <si>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</si>
  <si>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</si>
  <si>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</si>
  <si>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</si>
  <si>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</si>
  <si>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</si>
  <si>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</si>
  <si>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</si>
  <si>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</si>
  <si>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</si>
  <si>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</si>
  <si>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</si>
  <si>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</si>
  <si>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</si>
  <si>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</si>
  <si>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</si>
  <si>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</si>
  <si>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</si>
  <si>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</si>
  <si>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</si>
  <si>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</si>
  <si>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</si>
  <si>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</si>
  <si>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</si>
  <si>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</si>
  <si>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</si>
  <si>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</si>
  <si>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</si>
  <si>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</si>
  <si>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</si>
  <si>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</si>
  <si>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</si>
  <si>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</si>
  <si>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</si>
  <si>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</si>
  <si>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</si>
  <si>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</si>
  <si>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</si>
  <si>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</si>
  <si>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</si>
  <si>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</si>
  <si>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</si>
  <si>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</si>
  <si>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</si>
  <si>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</si>
  <si>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</si>
  <si>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</si>
  <si>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</si>
  <si>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</si>
  <si>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</si>
  <si>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</si>
  <si>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</si>
  <si>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</si>
  <si>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</si>
  <si>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</si>
  <si>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</si>
  <si>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</si>
  <si>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</si>
  <si>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</si>
  <si>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</si>
  <si>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</si>
  <si>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</si>
  <si>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</si>
  <si>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</si>
  <si>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</si>
  <si>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</si>
  <si>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</si>
  <si>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</si>
  <si>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</si>
  <si>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</si>
  <si>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</si>
  <si>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</si>
  <si>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</si>
  <si>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</si>
  <si>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</si>
  <si>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</si>
  <si>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</si>
  <si>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</si>
  <si>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</si>
  <si>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</si>
  <si>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</si>
  <si>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</si>
  <si>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</si>
  <si>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</si>
  <si>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</si>
  <si>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</si>
  <si>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</si>
  <si>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</si>
  <si>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</si>
  <si>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</si>
  <si>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</si>
  <si>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</si>
  <si>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</si>
  <si>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</si>
  <si>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</si>
  <si>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</si>
  <si>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</si>
  <si>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</si>
  <si>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</si>
  <si>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</si>
  <si>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</si>
  <si>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</si>
  <si>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</si>
  <si>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</si>
  <si>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</si>
  <si>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668.</t>
  </si>
  <si>
    <t>669.</t>
  </si>
  <si>
    <t>670.</t>
  </si>
  <si>
    <t>671.</t>
  </si>
  <si>
    <t>672.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</si>
  <si>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</si>
  <si>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</si>
  <si>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</si>
  <si>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</si>
  <si>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</si>
  <si>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</si>
  <si>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</si>
  <si>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</si>
  <si>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</si>
  <si>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</si>
  <si>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</si>
  <si>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</si>
  <si>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</si>
  <si>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</si>
  <si>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</si>
  <si>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</si>
  <si>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</si>
  <si>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</si>
  <si>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</si>
  <si>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</si>
  <si>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</si>
  <si>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</si>
  <si>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</si>
  <si>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</si>
  <si>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</si>
  <si>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</si>
  <si>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</si>
  <si>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</si>
  <si>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</si>
  <si>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</si>
  <si>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</si>
  <si>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</si>
  <si>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</si>
  <si>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</si>
  <si>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735.</t>
  </si>
  <si>
    <t>736.</t>
  </si>
  <si>
    <t>737.</t>
  </si>
  <si>
    <t>738.</t>
  </si>
  <si>
    <t>739.</t>
  </si>
  <si>
    <t>740.</t>
  </si>
  <si>
    <t>741.</t>
  </si>
  <si>
    <t>743.</t>
  </si>
  <si>
    <t>744.</t>
  </si>
  <si>
    <t>745.</t>
  </si>
  <si>
    <t>746.</t>
  </si>
  <si>
    <t>747.</t>
  </si>
  <si>
    <t>748.</t>
  </si>
  <si>
    <t>750.</t>
  </si>
  <si>
    <t>751.</t>
  </si>
  <si>
    <t>752.</t>
  </si>
  <si>
    <t>753.</t>
  </si>
  <si>
    <t>754.</t>
  </si>
  <si>
    <t>755.</t>
  </si>
  <si>
    <t>757.</t>
  </si>
  <si>
    <t>758.</t>
  </si>
  <si>
    <t>759.</t>
  </si>
  <si>
    <t>760.</t>
  </si>
  <si>
    <t>761.</t>
  </si>
  <si>
    <t>762.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</si>
  <si>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</si>
  <si>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</si>
  <si>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</si>
  <si>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</si>
  <si>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</si>
  <si>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</si>
  <si>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</si>
  <si>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</si>
  <si>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</si>
  <si>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</si>
  <si>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</si>
  <si>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</si>
  <si>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</si>
  <si>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</si>
  <si>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</si>
  <si>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</si>
  <si>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</si>
  <si>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</si>
  <si>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</si>
  <si>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</si>
  <si>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</si>
  <si>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</si>
  <si>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</si>
  <si>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</si>
  <si>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</si>
  <si>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</si>
  <si>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</si>
  <si>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</si>
  <si>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</si>
  <si>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</si>
  <si>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</si>
  <si>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</si>
  <si>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</si>
  <si>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</si>
  <si>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</si>
  <si>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</si>
  <si>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</si>
  <si>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</si>
  <si>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</si>
  <si>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</si>
  <si>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</si>
  <si>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</si>
  <si>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</si>
  <si>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</si>
  <si>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</si>
  <si>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</si>
  <si>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</si>
  <si>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</si>
  <si>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</si>
  <si>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</si>
  <si>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</si>
  <si>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</si>
  <si>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</si>
  <si>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</si>
  <si>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</si>
  <si>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</si>
  <si>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</si>
  <si>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</si>
  <si>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</si>
  <si>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</si>
  <si>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</si>
  <si>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</si>
  <si>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</si>
  <si>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</si>
  <si>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</si>
  <si>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</si>
  <si>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</si>
  <si>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</si>
  <si>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</si>
  <si>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</si>
  <si>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</si>
  <si>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</si>
  <si>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</si>
  <si>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</si>
  <si>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</si>
  <si>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</si>
  <si>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</si>
  <si>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</si>
  <si>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</si>
  <si>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</si>
  <si>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</si>
  <si>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</si>
  <si>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</si>
  <si>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</si>
  <si>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</si>
  <si>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</si>
  <si>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</si>
  <si>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</si>
  <si>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</si>
  <si>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</si>
  <si>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</si>
  <si>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</si>
  <si>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</si>
  <si>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</si>
  <si>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</si>
  <si>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</si>
  <si>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</si>
  <si>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</si>
  <si>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</si>
  <si>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</si>
  <si>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</si>
  <si>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</si>
  <si>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</si>
  <si>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</si>
  <si>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</si>
  <si>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</si>
  <si>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</si>
  <si>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</si>
  <si>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</si>
  <si>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</si>
  <si>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</si>
  <si>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</si>
  <si>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</si>
  <si>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</si>
  <si>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</si>
  <si>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С. Первомайский, пер. Советский, д. 14</t>
  </si>
  <si>
    <t>Ст. Духовская, ул. Железнодорожная, д. 4</t>
  </si>
  <si>
    <t>Итого по Касплянскому сельскому поселению Смоленского района Смоленской области</t>
  </si>
  <si>
    <t>С. Каспля-2, ул. Студенческая, д. 5</t>
  </si>
  <si>
    <t>Г. Ярцево, ул. Школьная, д. 2</t>
  </si>
  <si>
    <t>Г. Ярцево, ул. Автозаводская, д. 38</t>
  </si>
  <si>
    <t>818.</t>
  </si>
  <si>
    <t>819.</t>
  </si>
  <si>
    <t>Г. Смоленск, ул. Нарвская, д. 15</t>
  </si>
  <si>
    <t>Г. Смоленск, ул. Нахимова, д. 3а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</si>
  <si>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</si>
  <si>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</si>
  <si>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</si>
  <si>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</si>
  <si>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</si>
  <si>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</si>
  <si>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</si>
  <si>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</si>
  <si>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</si>
  <si>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</si>
  <si>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</si>
  <si>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</si>
  <si>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</si>
  <si>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</si>
  <si>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</si>
  <si>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</si>
  <si>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</si>
  <si>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</si>
  <si>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</si>
  <si>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</si>
  <si>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904.</t>
  </si>
  <si>
    <t>905.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</si>
  <si>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</si>
  <si>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</si>
  <si>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</si>
  <si>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</si>
  <si>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</si>
  <si>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</si>
  <si>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</si>
  <si>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</si>
  <si>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</si>
  <si>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</si>
  <si>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</si>
  <si>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</si>
  <si>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</si>
  <si>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</si>
  <si>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</si>
  <si>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</si>
  <si>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</si>
  <si>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</si>
  <si>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</si>
  <si>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</si>
  <si>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</si>
  <si>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</si>
  <si>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</si>
  <si>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</si>
  <si>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</si>
  <si>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</si>
  <si>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</si>
  <si>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</si>
  <si>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</si>
  <si>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</si>
  <si>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</si>
  <si>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</si>
  <si>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</si>
  <si>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</si>
  <si>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943.</t>
  </si>
  <si>
    <t>944.</t>
  </si>
  <si>
    <t>945.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</si>
  <si>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</si>
  <si>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</si>
  <si>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</si>
  <si>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</si>
  <si>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</si>
  <si>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</si>
  <si>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</si>
  <si>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</si>
  <si>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</si>
  <si>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</si>
  <si>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</si>
  <si>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</si>
  <si>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</si>
  <si>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</si>
  <si>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</si>
  <si>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</si>
  <si>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</si>
  <si>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</si>
  <si>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</si>
  <si>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</si>
  <si>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</si>
  <si>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</si>
  <si>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</si>
  <si>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</si>
  <si>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</si>
  <si>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</si>
  <si>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</si>
  <si>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</si>
  <si>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</si>
  <si>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</si>
  <si>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</si>
  <si>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</si>
  <si>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</si>
  <si>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</si>
  <si>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</si>
  <si>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</si>
  <si>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</si>
  <si>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</si>
  <si>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</si>
  <si>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</si>
  <si>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</si>
  <si>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</si>
  <si>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</si>
  <si>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</si>
  <si>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</si>
  <si>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</si>
  <si>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</si>
  <si>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996.</t>
  </si>
  <si>
    <t>997.</t>
  </si>
  <si>
    <t>998.</t>
  </si>
  <si>
    <t>1000.</t>
  </si>
  <si>
    <t>1001.</t>
  </si>
  <si>
    <t>1002.</t>
  </si>
  <si>
    <t>1003.</t>
  </si>
  <si>
    <t>1004.</t>
  </si>
  <si>
    <t>1005.</t>
  </si>
  <si>
    <t>1006.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</si>
  <si>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</si>
  <si>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</si>
  <si>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</si>
  <si>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</si>
  <si>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</si>
  <si>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</si>
  <si>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</si>
  <si>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</si>
  <si>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</si>
  <si>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</si>
  <si>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</si>
  <si>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</si>
  <si>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</si>
  <si>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</si>
  <si>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</si>
  <si>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</si>
  <si>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</si>
  <si>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</si>
  <si>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</si>
  <si>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</si>
  <si>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</si>
  <si>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</si>
  <si>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Г. Смоленск, ул. Нахимова, д. 1а</t>
  </si>
  <si>
    <t>Г. Починок, мкрн. Ёлки, д. 201</t>
  </si>
  <si>
    <t>Г. Починок, мкрн. Ёлки, д. 202</t>
  </si>
  <si>
    <t>Г. Починок, мкрн. Ёлки, д. 204</t>
  </si>
  <si>
    <t>Г. Смоленск, ул. Черняховского, д. 34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</si>
  <si>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</si>
  <si>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</si>
  <si>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</si>
  <si>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</si>
  <si>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</si>
  <si>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</si>
  <si>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</si>
  <si>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</si>
  <si>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</si>
  <si>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</si>
  <si>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625.</t>
  </si>
  <si>
    <t>626.</t>
  </si>
  <si>
    <t>667.</t>
  </si>
  <si>
    <t>734.</t>
  </si>
  <si>
    <t>742.</t>
  </si>
  <si>
    <t>749.</t>
  </si>
  <si>
    <t>756.</t>
  </si>
  <si>
    <t>763.</t>
  </si>
  <si>
    <t>776.</t>
  </si>
  <si>
    <t>869.</t>
  </si>
  <si>
    <t>903.</t>
  </si>
  <si>
    <t>906.</t>
  </si>
  <si>
    <t>929.</t>
  </si>
  <si>
    <t>942.</t>
  </si>
  <si>
    <t>946.</t>
  </si>
  <si>
    <t>962.</t>
  </si>
  <si>
    <t>995.</t>
  </si>
  <si>
    <t>1007.</t>
  </si>
  <si>
    <t>Г. Рославль, ул. Пролетарская, д. 46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</si>
  <si>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</si>
  <si>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</si>
  <si>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</si>
  <si>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</si>
  <si>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</si>
  <si>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</si>
  <si>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</si>
  <si>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</si>
  <si>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</si>
  <si>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</si>
  <si>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</si>
  <si>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</si>
  <si>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</si>
  <si>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</si>
  <si>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</si>
  <si>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</si>
  <si>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</si>
  <si>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</si>
  <si>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</si>
  <si>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</si>
  <si>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</si>
  <si>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</si>
  <si>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</si>
  <si>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</si>
  <si>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</si>
  <si>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</si>
  <si>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</si>
  <si>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999</t>
  </si>
  <si>
    <t>1030.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</si>
</sst>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2" fillId="0" borderId="0"/>
    <xf numFmtId="0" fontId="13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0">
    <xf numFmtId="0" fontId="0" fillId="0" borderId="0" xfId="0"/>
    <xf numFmtId="0" fontId="4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left" vertical="center"/>
    </xf>
    <xf numFmtId="1" fontId="7" fillId="0" borderId="0" xfId="0" applyNumberFormat="1" applyFont="1" applyFill="1" applyBorder="1" applyAlignment="1">
      <alignment vertical="center"/>
    </xf>
    <xf numFmtId="1" fontId="5" fillId="0" borderId="1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" fontId="4" fillId="0" borderId="1" xfId="1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  <protection hidden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1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1" xfId="9" applyFont="1" applyFill="1" applyBorder="1" applyAlignment="1">
      <alignment horizontal="left" vertical="center" wrapText="1"/>
    </xf>
    <xf numFmtId="4" fontId="4" fillId="0" borderId="1" xfId="9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4" fontId="4" fillId="0" borderId="1" xfId="12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0" borderId="4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top" wrapText="1"/>
    </xf>
    <xf numFmtId="49" fontId="4" fillId="0" borderId="4" xfId="0" applyNumberFormat="1" applyFont="1" applyFill="1" applyBorder="1" applyAlignment="1">
      <alignment horizontal="center"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4" fontId="4" fillId="0" borderId="5" xfId="0" applyNumberFormat="1" applyFont="1" applyFill="1" applyBorder="1" applyAlignment="1">
      <alignment horizontal="center" vertical="top" wrapText="1"/>
    </xf>
    <xf numFmtId="4" fontId="4" fillId="0" borderId="6" xfId="0" applyNumberFormat="1" applyFont="1" applyFill="1" applyBorder="1" applyAlignment="1">
      <alignment horizontal="center" vertical="top" wrapText="1"/>
    </xf>
    <xf numFmtId="4" fontId="4" fillId="0" borderId="7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4" fontId="4" fillId="0" borderId="8" xfId="0" applyNumberFormat="1" applyFont="1" applyFill="1" applyBorder="1" applyAlignment="1">
      <alignment horizontal="center" vertical="top" wrapText="1"/>
    </xf>
    <xf numFmtId="4" fontId="4" fillId="0" borderId="9" xfId="0" applyNumberFormat="1" applyFont="1" applyFill="1" applyBorder="1" applyAlignment="1">
      <alignment horizontal="center" vertical="top" wrapText="1"/>
    </xf>
    <xf numFmtId="4" fontId="4" fillId="0" borderId="10" xfId="0" applyNumberFormat="1" applyFont="1" applyFill="1" applyBorder="1" applyAlignment="1">
      <alignment horizontal="center" vertical="top" wrapText="1"/>
    </xf>
    <xf numFmtId="4" fontId="4" fillId="0" borderId="11" xfId="0" applyNumberFormat="1" applyFont="1" applyFill="1" applyBorder="1" applyAlignment="1">
      <alignment horizontal="center" vertical="top" wrapText="1"/>
    </xf>
    <xf numFmtId="2" fontId="5" fillId="0" borderId="1" xfId="0" applyNumberFormat="1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left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vertical="center"/>
    </xf>
  </cellXfs>
  <cellStyles count="13">
    <cellStyle name="Обычный" xfId="0" builtinId="0"/>
    <cellStyle name="Обычный 10" xfId="1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_Перечень жилого фонда не выбравших способ управления" xfId="10"/>
    <cellStyle name="Финансовый" xfId="11" builtinId="3"/>
    <cellStyle name="Финансовый 2" xfId="12"/>
  </cellStyles>
  <dxfs count="0"/>
  <tableStyles count="0" defaultTableStyle="TableStyleMedium2" defaultPivotStyle="PivotStyleLight16"/>
  <colors>
    <mruColors>
      <color rgb="FF66FF33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X1186"/>
  <sheetViews>
    <sheetView tabSelected="1" view="pageBreakPreview" topLeftCell="A661" zoomScale="70" zoomScaleNormal="50" zoomScaleSheetLayoutView="70" zoomScalePageLayoutView="40" workbookViewId="0">
      <selection activeCell="A676" sqref="A676:XFD676"/>
    </sheetView>
  </sheetViews>
  <sheetFormatPr defaultColWidth="9.140625" defaultRowHeight="15.75" x14ac:dyDescent="0.25"/>
  <cols>
    <col min="1" max="1" width="6.42578125" style="47" customWidth="1"/>
    <col min="2" max="2" width="54.7109375" style="48" customWidth="1"/>
    <col min="3" max="3" width="19.85546875" style="49" customWidth="1"/>
    <col min="4" max="4" width="19" style="49" customWidth="1"/>
    <col min="5" max="5" width="19.7109375" style="49" customWidth="1"/>
    <col min="6" max="10" width="17" style="49" customWidth="1"/>
    <col min="11" max="11" width="6.85546875" style="50" customWidth="1"/>
    <col min="12" max="12" width="16.42578125" style="49" customWidth="1"/>
    <col min="13" max="13" width="13.7109375" style="49" customWidth="1"/>
    <col min="14" max="14" width="19" style="49" customWidth="1"/>
    <col min="15" max="15" width="10.5703125" style="49" customWidth="1"/>
    <col min="16" max="16" width="16.42578125" style="49" customWidth="1"/>
    <col min="17" max="17" width="12.7109375" style="49" customWidth="1"/>
    <col min="18" max="18" width="18.42578125" style="49" customWidth="1"/>
    <col min="19" max="19" width="15.7109375" style="49" customWidth="1"/>
    <col min="20" max="20" width="18.42578125" style="49" customWidth="1"/>
    <col min="21" max="21" width="16.5703125" style="49" customWidth="1"/>
    <col min="22" max="22" width="29.42578125" style="5" customWidth="1"/>
    <col min="23" max="23" width="9.140625" style="6"/>
    <col min="24" max="24" width="18.85546875" style="6" bestFit="1" customWidth="1"/>
    <col min="25" max="16384" width="9.140625" style="6"/>
  </cols>
  <sheetData>
    <row r="1" spans="1:24" ht="19.5" customHeight="1" x14ac:dyDescent="0.25">
      <c r="A1" s="60" t="s">
        <v>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</row>
    <row r="2" spans="1:24" ht="19.5" customHeight="1" x14ac:dyDescent="0.3">
      <c r="A2" s="7"/>
      <c r="B2" s="8"/>
      <c r="C2" s="8"/>
      <c r="D2" s="8"/>
      <c r="E2" s="8"/>
      <c r="F2" s="8"/>
      <c r="G2" s="8"/>
      <c r="H2" s="8"/>
      <c r="I2" s="8"/>
      <c r="J2" s="8"/>
      <c r="K2" s="9"/>
      <c r="L2" s="8"/>
      <c r="M2" s="8"/>
      <c r="N2" s="8"/>
      <c r="O2" s="10"/>
      <c r="P2" s="10"/>
      <c r="Q2" s="10"/>
      <c r="R2" s="10"/>
      <c r="S2" s="10"/>
      <c r="T2" s="10"/>
      <c r="U2" s="10"/>
    </row>
    <row r="3" spans="1:24" ht="192" customHeight="1" x14ac:dyDescent="0.25">
      <c r="A3" s="61" t="s">
        <v>16</v>
      </c>
      <c r="B3" s="64" t="s">
        <v>15</v>
      </c>
      <c r="C3" s="56" t="s">
        <v>13</v>
      </c>
      <c r="D3" s="59" t="s">
        <v>4</v>
      </c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75" t="s">
        <v>12</v>
      </c>
      <c r="U3" s="76"/>
    </row>
    <row r="4" spans="1:24" ht="31.5" customHeight="1" x14ac:dyDescent="0.25">
      <c r="A4" s="62"/>
      <c r="B4" s="64"/>
      <c r="C4" s="57"/>
      <c r="D4" s="65" t="s">
        <v>899</v>
      </c>
      <c r="E4" s="66"/>
      <c r="F4" s="66"/>
      <c r="G4" s="66"/>
      <c r="H4" s="66"/>
      <c r="I4" s="66"/>
      <c r="J4" s="67"/>
      <c r="K4" s="69" t="s">
        <v>893</v>
      </c>
      <c r="L4" s="70"/>
      <c r="M4" s="69" t="s">
        <v>8</v>
      </c>
      <c r="N4" s="70"/>
      <c r="O4" s="69" t="s">
        <v>6</v>
      </c>
      <c r="P4" s="70"/>
      <c r="Q4" s="69" t="s">
        <v>9</v>
      </c>
      <c r="R4" s="70"/>
      <c r="S4" s="56" t="s">
        <v>14</v>
      </c>
      <c r="T4" s="68" t="s">
        <v>5</v>
      </c>
      <c r="U4" s="59" t="s">
        <v>3</v>
      </c>
    </row>
    <row r="5" spans="1:24" ht="190.5" customHeight="1" x14ac:dyDescent="0.25">
      <c r="A5" s="62"/>
      <c r="B5" s="64"/>
      <c r="C5" s="58"/>
      <c r="D5" s="11" t="s">
        <v>898</v>
      </c>
      <c r="E5" s="12" t="s">
        <v>921</v>
      </c>
      <c r="F5" s="12" t="s">
        <v>922</v>
      </c>
      <c r="G5" s="12" t="s">
        <v>894</v>
      </c>
      <c r="H5" s="12" t="s">
        <v>895</v>
      </c>
      <c r="I5" s="12" t="s">
        <v>896</v>
      </c>
      <c r="J5" s="12" t="s">
        <v>897</v>
      </c>
      <c r="K5" s="71"/>
      <c r="L5" s="72"/>
      <c r="M5" s="71"/>
      <c r="N5" s="72"/>
      <c r="O5" s="71"/>
      <c r="P5" s="72"/>
      <c r="Q5" s="71"/>
      <c r="R5" s="72"/>
      <c r="S5" s="58"/>
      <c r="T5" s="68"/>
      <c r="U5" s="59"/>
    </row>
    <row r="6" spans="1:24" ht="18" customHeight="1" x14ac:dyDescent="0.25">
      <c r="A6" s="63"/>
      <c r="B6" s="64"/>
      <c r="C6" s="13" t="s">
        <v>7</v>
      </c>
      <c r="D6" s="13" t="s">
        <v>7</v>
      </c>
      <c r="E6" s="13" t="s">
        <v>7</v>
      </c>
      <c r="F6" s="13" t="s">
        <v>7</v>
      </c>
      <c r="G6" s="13" t="s">
        <v>7</v>
      </c>
      <c r="H6" s="13" t="s">
        <v>7</v>
      </c>
      <c r="I6" s="13" t="s">
        <v>7</v>
      </c>
      <c r="J6" s="13" t="s">
        <v>7</v>
      </c>
      <c r="K6" s="14" t="s">
        <v>10</v>
      </c>
      <c r="L6" s="13" t="s">
        <v>7</v>
      </c>
      <c r="M6" s="13" t="s">
        <v>18</v>
      </c>
      <c r="N6" s="13" t="s">
        <v>7</v>
      </c>
      <c r="O6" s="13" t="s">
        <v>18</v>
      </c>
      <c r="P6" s="13" t="s">
        <v>7</v>
      </c>
      <c r="Q6" s="13" t="s">
        <v>18</v>
      </c>
      <c r="R6" s="13" t="s">
        <v>7</v>
      </c>
      <c r="S6" s="13" t="s">
        <v>7</v>
      </c>
      <c r="T6" s="13" t="s">
        <v>7</v>
      </c>
      <c r="U6" s="13" t="s">
        <v>7</v>
      </c>
    </row>
    <row r="7" spans="1:24" s="17" customFormat="1" ht="15" customHeight="1" x14ac:dyDescent="0.3">
      <c r="A7" s="15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  <c r="L7" s="14">
        <v>12</v>
      </c>
      <c r="M7" s="14">
        <v>13</v>
      </c>
      <c r="N7" s="14">
        <v>14</v>
      </c>
      <c r="O7" s="14">
        <v>15</v>
      </c>
      <c r="P7" s="14">
        <v>16</v>
      </c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6"/>
    </row>
    <row r="8" spans="1:24" ht="25.9" customHeight="1" x14ac:dyDescent="0.25">
      <c r="A8" s="73" t="s">
        <v>26</v>
      </c>
      <c r="B8" s="73"/>
      <c r="C8" s="2">
        <f t="shared" ref="C8:U8" si="0">C10+C285+C677</f>
        <v>4194340136.3599992</v>
      </c>
      <c r="D8" s="2">
        <f t="shared" si="0"/>
        <v>905917147.4799999</v>
      </c>
      <c r="E8" s="2">
        <f t="shared" si="0"/>
        <v>206562418.50999999</v>
      </c>
      <c r="F8" s="2">
        <f t="shared" si="0"/>
        <v>439084719.33999997</v>
      </c>
      <c r="G8" s="2">
        <f t="shared" si="0"/>
        <v>89745755.789999992</v>
      </c>
      <c r="H8" s="2">
        <f t="shared" si="0"/>
        <v>80192160.920000002</v>
      </c>
      <c r="I8" s="2">
        <f t="shared" si="0"/>
        <v>90332092.920000002</v>
      </c>
      <c r="J8" s="2">
        <f t="shared" si="0"/>
        <v>0</v>
      </c>
      <c r="K8" s="18">
        <f t="shared" si="0"/>
        <v>49</v>
      </c>
      <c r="L8" s="2">
        <f t="shared" si="0"/>
        <v>95897974.480000004</v>
      </c>
      <c r="M8" s="2">
        <f t="shared" si="0"/>
        <v>406973.08</v>
      </c>
      <c r="N8" s="2">
        <f t="shared" si="0"/>
        <v>2220994645.9799995</v>
      </c>
      <c r="O8" s="2">
        <f t="shared" si="0"/>
        <v>7630.1100000000006</v>
      </c>
      <c r="P8" s="2">
        <f t="shared" si="0"/>
        <v>8171390.6799999997</v>
      </c>
      <c r="Q8" s="2">
        <f t="shared" si="0"/>
        <v>302205.54999999993</v>
      </c>
      <c r="R8" s="2">
        <f t="shared" si="0"/>
        <v>861211405.04999995</v>
      </c>
      <c r="S8" s="2">
        <f t="shared" si="0"/>
        <v>5001092.18</v>
      </c>
      <c r="T8" s="2">
        <f t="shared" si="0"/>
        <v>678303.6</v>
      </c>
      <c r="U8" s="2">
        <f t="shared" si="0"/>
        <v>96468176.909999996</v>
      </c>
      <c r="X8" s="19"/>
    </row>
    <row r="9" spans="1:24" s="79" customFormat="1" ht="24.95" customHeight="1" x14ac:dyDescent="0.25">
      <c r="A9" s="77" t="s">
        <v>25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8"/>
    </row>
    <row r="10" spans="1:24" ht="24.95" customHeight="1" x14ac:dyDescent="0.25">
      <c r="A10" s="74" t="s">
        <v>195</v>
      </c>
      <c r="B10" s="74"/>
      <c r="C10" s="2">
        <f t="shared" ref="C10:U10" si="1">C11+C24+C26+C28+C30+C33+C35+C38+C43+C45+C47+C49+C53+C55+C57+C59+C61+C64+C66+C68+C86+C89+C96+C104+C114+C116+C118+C120+C237+C242+C244+C247+C251+C255+C257+C259+C262+C264+C266+C268+C270</f>
        <v>634485512.4000001</v>
      </c>
      <c r="D10" s="2">
        <f t="shared" si="1"/>
        <v>150106856.18000001</v>
      </c>
      <c r="E10" s="2">
        <f t="shared" si="1"/>
        <v>23976077.930000003</v>
      </c>
      <c r="F10" s="2">
        <f t="shared" si="1"/>
        <v>88931423.189999998</v>
      </c>
      <c r="G10" s="2">
        <f t="shared" si="1"/>
        <v>11215202.619999999</v>
      </c>
      <c r="H10" s="2">
        <f t="shared" si="1"/>
        <v>15634733.750000002</v>
      </c>
      <c r="I10" s="2">
        <f t="shared" si="1"/>
        <v>10349418.690000001</v>
      </c>
      <c r="J10" s="2">
        <f t="shared" si="1"/>
        <v>0</v>
      </c>
      <c r="K10" s="18">
        <f t="shared" si="1"/>
        <v>6</v>
      </c>
      <c r="L10" s="2">
        <f t="shared" si="1"/>
        <v>10169630.310000001</v>
      </c>
      <c r="M10" s="2">
        <f t="shared" si="1"/>
        <v>70630.210000000021</v>
      </c>
      <c r="N10" s="2">
        <f t="shared" si="1"/>
        <v>295705566.68000007</v>
      </c>
      <c r="O10" s="2">
        <f t="shared" si="1"/>
        <v>2699.5</v>
      </c>
      <c r="P10" s="2">
        <f t="shared" si="1"/>
        <v>2621451.1799999997</v>
      </c>
      <c r="Q10" s="2">
        <f t="shared" si="1"/>
        <v>63254.450000000004</v>
      </c>
      <c r="R10" s="2">
        <f t="shared" si="1"/>
        <v>149494780.08000001</v>
      </c>
      <c r="S10" s="2">
        <f t="shared" si="1"/>
        <v>919174.4</v>
      </c>
      <c r="T10" s="2">
        <f t="shared" si="1"/>
        <v>678303.6</v>
      </c>
      <c r="U10" s="2">
        <f t="shared" si="1"/>
        <v>24789749.969999999</v>
      </c>
      <c r="V10" s="20">
        <f>D10+L10+N10+P10+R10+S10+T10+U10</f>
        <v>634485512.4000001</v>
      </c>
    </row>
    <row r="11" spans="1:24" ht="40.15" customHeight="1" x14ac:dyDescent="0.25">
      <c r="A11" s="51" t="s">
        <v>0</v>
      </c>
      <c r="B11" s="51"/>
      <c r="C11" s="2">
        <f t="shared" ref="C11:U11" si="2">SUM(C12:C23)</f>
        <v>37755868.190000005</v>
      </c>
      <c r="D11" s="2">
        <f t="shared" si="2"/>
        <v>1152494.28</v>
      </c>
      <c r="E11" s="2">
        <f t="shared" si="2"/>
        <v>201942.22</v>
      </c>
      <c r="F11" s="2">
        <f t="shared" si="2"/>
        <v>720579.05</v>
      </c>
      <c r="G11" s="2">
        <f t="shared" si="2"/>
        <v>106353.49</v>
      </c>
      <c r="H11" s="2">
        <f t="shared" si="2"/>
        <v>0</v>
      </c>
      <c r="I11" s="2">
        <f t="shared" si="2"/>
        <v>123619.52</v>
      </c>
      <c r="J11" s="2">
        <f t="shared" si="2"/>
        <v>0</v>
      </c>
      <c r="K11" s="18">
        <f t="shared" si="2"/>
        <v>0</v>
      </c>
      <c r="L11" s="2">
        <f t="shared" si="2"/>
        <v>0</v>
      </c>
      <c r="M11" s="2">
        <f t="shared" si="2"/>
        <v>6172.05</v>
      </c>
      <c r="N11" s="2">
        <f t="shared" si="2"/>
        <v>30174716.719999995</v>
      </c>
      <c r="O11" s="2">
        <f t="shared" si="2"/>
        <v>386</v>
      </c>
      <c r="P11" s="2">
        <f t="shared" si="2"/>
        <v>147555.32999999999</v>
      </c>
      <c r="Q11" s="2">
        <f t="shared" si="2"/>
        <v>2192.5700000000002</v>
      </c>
      <c r="R11" s="2">
        <f t="shared" si="2"/>
        <v>4955385.55</v>
      </c>
      <c r="S11" s="2">
        <f t="shared" si="2"/>
        <v>79180.97</v>
      </c>
      <c r="T11" s="2">
        <f t="shared" si="2"/>
        <v>0</v>
      </c>
      <c r="U11" s="2">
        <f t="shared" si="2"/>
        <v>1246535.3399999999</v>
      </c>
      <c r="V11" s="20">
        <f>C11+C289+C683</f>
        <v>341833877.30999994</v>
      </c>
    </row>
    <row r="12" spans="1:24" ht="25.15" customHeight="1" x14ac:dyDescent="0.25">
      <c r="A12" s="21" t="s">
        <v>797</v>
      </c>
      <c r="B12" s="22" t="s">
        <v>39</v>
      </c>
      <c r="C12" s="2">
        <f t="shared" ref="C12:C23" si="3">D12+L12+N12+P12+R12+S12+T12+U12</f>
        <v>5291494.4899999993</v>
      </c>
      <c r="D12" s="3">
        <f>SUM(E12:J12)</f>
        <v>1152494.28</v>
      </c>
      <c r="E12" s="3">
        <v>201942.22</v>
      </c>
      <c r="F12" s="3">
        <v>720579.05</v>
      </c>
      <c r="G12" s="3">
        <v>106353.49</v>
      </c>
      <c r="H12" s="3">
        <v>0</v>
      </c>
      <c r="I12" s="3">
        <v>123619.52</v>
      </c>
      <c r="J12" s="3">
        <f>350*0</f>
        <v>0</v>
      </c>
      <c r="K12" s="4">
        <v>0</v>
      </c>
      <c r="L12" s="3">
        <v>0</v>
      </c>
      <c r="M12" s="3">
        <v>488</v>
      </c>
      <c r="N12" s="23">
        <v>2618837.36</v>
      </c>
      <c r="O12" s="3">
        <v>386</v>
      </c>
      <c r="P12" s="3">
        <v>147555.32999999999</v>
      </c>
      <c r="Q12" s="3">
        <v>742.87</v>
      </c>
      <c r="R12" s="3">
        <v>1094426.55</v>
      </c>
      <c r="S12" s="3">
        <v>79180.97</v>
      </c>
      <c r="T12" s="3">
        <v>0</v>
      </c>
      <c r="U12" s="3">
        <v>199000</v>
      </c>
      <c r="V12" s="5">
        <f t="shared" ref="V12:V23" si="4">N12/M12</f>
        <v>5366.4699999999993</v>
      </c>
    </row>
    <row r="13" spans="1:24" ht="25.15" customHeight="1" x14ac:dyDescent="0.25">
      <c r="A13" s="21" t="s">
        <v>798</v>
      </c>
      <c r="B13" s="22" t="s">
        <v>41</v>
      </c>
      <c r="C13" s="2">
        <f t="shared" si="3"/>
        <v>8261688.6799999997</v>
      </c>
      <c r="D13" s="3">
        <f>SUM(E13:J13)</f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4">
        <v>0</v>
      </c>
      <c r="L13" s="3">
        <v>0</v>
      </c>
      <c r="M13" s="3">
        <v>835.4</v>
      </c>
      <c r="N13" s="23">
        <v>4208619.5999999996</v>
      </c>
      <c r="O13" s="3">
        <v>0</v>
      </c>
      <c r="P13" s="3">
        <v>0</v>
      </c>
      <c r="Q13" s="3">
        <v>1449.7</v>
      </c>
      <c r="R13" s="3">
        <v>3860959</v>
      </c>
      <c r="S13" s="3">
        <v>0</v>
      </c>
      <c r="T13" s="3">
        <v>0</v>
      </c>
      <c r="U13" s="3">
        <v>192110.07999999999</v>
      </c>
      <c r="V13" s="20">
        <f t="shared" si="4"/>
        <v>5037.8496528609048</v>
      </c>
    </row>
    <row r="14" spans="1:24" ht="25.15" customHeight="1" x14ac:dyDescent="0.25">
      <c r="A14" s="21" t="s">
        <v>933</v>
      </c>
      <c r="B14" s="24" t="s">
        <v>43</v>
      </c>
      <c r="C14" s="2">
        <f t="shared" si="3"/>
        <v>4437593.3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4">
        <v>0</v>
      </c>
      <c r="L14" s="3">
        <v>0</v>
      </c>
      <c r="M14" s="3">
        <v>861.3</v>
      </c>
      <c r="N14" s="23">
        <v>4328404.8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109188.5</v>
      </c>
      <c r="V14" s="5">
        <f t="shared" si="4"/>
        <v>5025.4322535701849</v>
      </c>
    </row>
    <row r="15" spans="1:24" ht="25.15" customHeight="1" x14ac:dyDescent="0.25">
      <c r="A15" s="21" t="s">
        <v>934</v>
      </c>
      <c r="B15" s="24" t="s">
        <v>44</v>
      </c>
      <c r="C15" s="2">
        <f t="shared" si="3"/>
        <v>95605.06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4">
        <v>0</v>
      </c>
      <c r="L15" s="3">
        <v>0</v>
      </c>
      <c r="M15" s="3">
        <v>0</v>
      </c>
      <c r="N15" s="2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95605.06</v>
      </c>
      <c r="V15" s="5" t="e">
        <f t="shared" si="4"/>
        <v>#DIV/0!</v>
      </c>
    </row>
    <row r="16" spans="1:24" ht="25.15" customHeight="1" x14ac:dyDescent="0.25">
      <c r="A16" s="21" t="s">
        <v>935</v>
      </c>
      <c r="B16" s="24" t="s">
        <v>45</v>
      </c>
      <c r="C16" s="2">
        <f t="shared" si="3"/>
        <v>2539303.1100000003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4">
        <v>0</v>
      </c>
      <c r="L16" s="3">
        <v>0</v>
      </c>
      <c r="M16" s="3">
        <v>467.35</v>
      </c>
      <c r="N16" s="23">
        <v>2476859.87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62443.24</v>
      </c>
      <c r="V16" s="5">
        <f t="shared" si="4"/>
        <v>5299.7964480582004</v>
      </c>
    </row>
    <row r="17" spans="1:22" ht="25.15" customHeight="1" x14ac:dyDescent="0.25">
      <c r="A17" s="21" t="s">
        <v>936</v>
      </c>
      <c r="B17" s="24" t="s">
        <v>42</v>
      </c>
      <c r="C17" s="2">
        <f t="shared" si="3"/>
        <v>2645045.41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4">
        <v>0</v>
      </c>
      <c r="L17" s="3">
        <v>0</v>
      </c>
      <c r="M17" s="3">
        <v>497</v>
      </c>
      <c r="N17" s="23">
        <v>2561057.37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83988.04</v>
      </c>
      <c r="V17" s="5">
        <f t="shared" si="4"/>
        <v>5153.032937625755</v>
      </c>
    </row>
    <row r="18" spans="1:22" ht="25.15" customHeight="1" x14ac:dyDescent="0.25">
      <c r="A18" s="21" t="s">
        <v>937</v>
      </c>
      <c r="B18" s="24" t="s">
        <v>48</v>
      </c>
      <c r="C18" s="2">
        <f t="shared" si="3"/>
        <v>3039549.67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4">
        <v>0</v>
      </c>
      <c r="L18" s="3">
        <v>0</v>
      </c>
      <c r="M18" s="3">
        <v>547.4</v>
      </c>
      <c r="N18" s="23">
        <v>2901110.4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138439.26999999999</v>
      </c>
      <c r="V18" s="5">
        <f t="shared" si="4"/>
        <v>5299.7997807818783</v>
      </c>
    </row>
    <row r="19" spans="1:22" ht="25.15" customHeight="1" x14ac:dyDescent="0.25">
      <c r="A19" s="21" t="s">
        <v>938</v>
      </c>
      <c r="B19" s="24" t="s">
        <v>50</v>
      </c>
      <c r="C19" s="2">
        <f t="shared" si="3"/>
        <v>1620190.78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4">
        <v>0</v>
      </c>
      <c r="L19" s="3">
        <v>0</v>
      </c>
      <c r="M19" s="3">
        <v>482</v>
      </c>
      <c r="N19" s="23">
        <v>1590599.04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29591.74</v>
      </c>
      <c r="V19" s="5">
        <f t="shared" si="4"/>
        <v>3299.9980082987554</v>
      </c>
    </row>
    <row r="20" spans="1:22" ht="25.15" customHeight="1" x14ac:dyDescent="0.25">
      <c r="A20" s="21" t="s">
        <v>939</v>
      </c>
      <c r="B20" s="24" t="s">
        <v>53</v>
      </c>
      <c r="C20" s="2">
        <f t="shared" si="3"/>
        <v>1518810.69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4">
        <v>0</v>
      </c>
      <c r="L20" s="3">
        <v>0</v>
      </c>
      <c r="M20" s="3">
        <v>283.60000000000002</v>
      </c>
      <c r="N20" s="23">
        <v>1434500.4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84310.29</v>
      </c>
      <c r="V20" s="5">
        <f t="shared" si="4"/>
        <v>5058.1819464033842</v>
      </c>
    </row>
    <row r="21" spans="1:22" ht="25.15" customHeight="1" x14ac:dyDescent="0.25">
      <c r="A21" s="21" t="s">
        <v>940</v>
      </c>
      <c r="B21" s="22" t="s">
        <v>56</v>
      </c>
      <c r="C21" s="2">
        <f t="shared" si="3"/>
        <v>2818103.6199999996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4">
        <v>0</v>
      </c>
      <c r="L21" s="3">
        <v>0</v>
      </c>
      <c r="M21" s="3">
        <v>620</v>
      </c>
      <c r="N21" s="23">
        <v>2734627.8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83475.820000000007</v>
      </c>
      <c r="V21" s="5">
        <f t="shared" si="4"/>
        <v>4410.6899999999996</v>
      </c>
    </row>
    <row r="22" spans="1:22" ht="25.15" customHeight="1" x14ac:dyDescent="0.25">
      <c r="A22" s="21" t="s">
        <v>941</v>
      </c>
      <c r="B22" s="22" t="s">
        <v>57</v>
      </c>
      <c r="C22" s="2">
        <f t="shared" si="3"/>
        <v>2684363.89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4">
        <v>0</v>
      </c>
      <c r="L22" s="3">
        <v>0</v>
      </c>
      <c r="M22" s="3">
        <v>545.6</v>
      </c>
      <c r="N22" s="23">
        <v>2600172.2400000002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84191.65</v>
      </c>
      <c r="V22" s="5">
        <f t="shared" si="4"/>
        <v>4765.7115835777131</v>
      </c>
    </row>
    <row r="23" spans="1:22" ht="25.15" customHeight="1" x14ac:dyDescent="0.25">
      <c r="A23" s="21" t="s">
        <v>942</v>
      </c>
      <c r="B23" s="22" t="s">
        <v>55</v>
      </c>
      <c r="C23" s="2">
        <f t="shared" si="3"/>
        <v>2804119.4899999998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4">
        <v>0</v>
      </c>
      <c r="L23" s="3">
        <v>0</v>
      </c>
      <c r="M23" s="3">
        <v>544.4</v>
      </c>
      <c r="N23" s="23">
        <v>2719927.84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84191.65</v>
      </c>
      <c r="V23" s="5">
        <f t="shared" si="4"/>
        <v>4996.1936811168262</v>
      </c>
    </row>
    <row r="24" spans="1:22" ht="40.15" customHeight="1" x14ac:dyDescent="0.25">
      <c r="A24" s="51" t="s">
        <v>801</v>
      </c>
      <c r="B24" s="51"/>
      <c r="C24" s="2">
        <f t="shared" ref="C24:U24" si="5">SUM(C25)</f>
        <v>2310609.41</v>
      </c>
      <c r="D24" s="2">
        <f t="shared" si="5"/>
        <v>0</v>
      </c>
      <c r="E24" s="2">
        <f t="shared" si="5"/>
        <v>0</v>
      </c>
      <c r="F24" s="2">
        <f t="shared" si="5"/>
        <v>0</v>
      </c>
      <c r="G24" s="2">
        <f t="shared" si="5"/>
        <v>0</v>
      </c>
      <c r="H24" s="2">
        <f t="shared" si="5"/>
        <v>0</v>
      </c>
      <c r="I24" s="2">
        <f t="shared" si="5"/>
        <v>0</v>
      </c>
      <c r="J24" s="2">
        <f t="shared" si="5"/>
        <v>0</v>
      </c>
      <c r="K24" s="18">
        <f t="shared" si="5"/>
        <v>0</v>
      </c>
      <c r="L24" s="2">
        <f t="shared" si="5"/>
        <v>0</v>
      </c>
      <c r="M24" s="2">
        <f t="shared" si="5"/>
        <v>545.4</v>
      </c>
      <c r="N24" s="2">
        <f t="shared" si="5"/>
        <v>2256173.66</v>
      </c>
      <c r="O24" s="2">
        <f t="shared" si="5"/>
        <v>0</v>
      </c>
      <c r="P24" s="2">
        <f t="shared" si="5"/>
        <v>0</v>
      </c>
      <c r="Q24" s="2">
        <f t="shared" si="5"/>
        <v>0</v>
      </c>
      <c r="R24" s="2">
        <f t="shared" si="5"/>
        <v>0</v>
      </c>
      <c r="S24" s="2">
        <f t="shared" si="5"/>
        <v>0</v>
      </c>
      <c r="T24" s="2">
        <f t="shared" si="5"/>
        <v>0</v>
      </c>
      <c r="U24" s="2">
        <f t="shared" si="5"/>
        <v>54435.75</v>
      </c>
      <c r="V24" s="20">
        <f>C24</f>
        <v>2310609.41</v>
      </c>
    </row>
    <row r="25" spans="1:22" ht="25.15" customHeight="1" x14ac:dyDescent="0.25">
      <c r="A25" s="21" t="s">
        <v>943</v>
      </c>
      <c r="B25" s="24" t="s">
        <v>27</v>
      </c>
      <c r="C25" s="2">
        <f>D25+L25+N25+P25+R25+S25+T25+U25</f>
        <v>2310609.41</v>
      </c>
      <c r="D25" s="3">
        <f>SUM(E25:J25)</f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4">
        <v>0</v>
      </c>
      <c r="L25" s="3">
        <v>0</v>
      </c>
      <c r="M25" s="3">
        <v>545.4</v>
      </c>
      <c r="N25" s="23">
        <v>2256173.66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54435.75</v>
      </c>
      <c r="V25" s="5">
        <f>N25/M25</f>
        <v>4136.7320498716545</v>
      </c>
    </row>
    <row r="26" spans="1:22" ht="40.15" customHeight="1" x14ac:dyDescent="0.25">
      <c r="A26" s="51" t="s">
        <v>829</v>
      </c>
      <c r="B26" s="51"/>
      <c r="C26" s="2">
        <f t="shared" ref="C26:U26" si="6">SUM(C27)</f>
        <v>3798369.6</v>
      </c>
      <c r="D26" s="2">
        <f t="shared" si="6"/>
        <v>0</v>
      </c>
      <c r="E26" s="2">
        <f t="shared" si="6"/>
        <v>0</v>
      </c>
      <c r="F26" s="2">
        <f t="shared" si="6"/>
        <v>0</v>
      </c>
      <c r="G26" s="2">
        <f t="shared" si="6"/>
        <v>0</v>
      </c>
      <c r="H26" s="2">
        <f t="shared" si="6"/>
        <v>0</v>
      </c>
      <c r="I26" s="2">
        <f t="shared" si="6"/>
        <v>0</v>
      </c>
      <c r="J26" s="2">
        <f t="shared" si="6"/>
        <v>0</v>
      </c>
      <c r="K26" s="18">
        <f t="shared" si="6"/>
        <v>0</v>
      </c>
      <c r="L26" s="2">
        <f t="shared" si="6"/>
        <v>0</v>
      </c>
      <c r="M26" s="2">
        <f t="shared" si="6"/>
        <v>1341.35</v>
      </c>
      <c r="N26" s="2">
        <f t="shared" si="6"/>
        <v>3798369.6</v>
      </c>
      <c r="O26" s="2">
        <f t="shared" si="6"/>
        <v>0</v>
      </c>
      <c r="P26" s="2">
        <f t="shared" si="6"/>
        <v>0</v>
      </c>
      <c r="Q26" s="2">
        <f t="shared" si="6"/>
        <v>0</v>
      </c>
      <c r="R26" s="2">
        <f t="shared" si="6"/>
        <v>0</v>
      </c>
      <c r="S26" s="2">
        <f t="shared" si="6"/>
        <v>0</v>
      </c>
      <c r="T26" s="2">
        <f t="shared" si="6"/>
        <v>0</v>
      </c>
      <c r="U26" s="2">
        <f t="shared" si="6"/>
        <v>0</v>
      </c>
      <c r="V26" s="20">
        <f>C26</f>
        <v>3798369.6</v>
      </c>
    </row>
    <row r="27" spans="1:22" ht="25.15" customHeight="1" x14ac:dyDescent="0.25">
      <c r="A27" s="21" t="s">
        <v>944</v>
      </c>
      <c r="B27" s="24" t="s">
        <v>830</v>
      </c>
      <c r="C27" s="2">
        <f>D27+L27+N27+P27+R27+S27+T27+U27</f>
        <v>3798369.6</v>
      </c>
      <c r="D27" s="3">
        <f>SUM(E27:J27)</f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4">
        <v>0</v>
      </c>
      <c r="L27" s="3">
        <v>0</v>
      </c>
      <c r="M27" s="3">
        <v>1341.35</v>
      </c>
      <c r="N27" s="23">
        <v>3798369.6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5">
        <f>N27/M27</f>
        <v>2831.7512953367877</v>
      </c>
    </row>
    <row r="28" spans="1:22" ht="40.15" customHeight="1" x14ac:dyDescent="0.25">
      <c r="A28" s="51" t="s">
        <v>73</v>
      </c>
      <c r="B28" s="51"/>
      <c r="C28" s="2">
        <f t="shared" ref="C28:U28" si="7">SUM(C29)</f>
        <v>1334845.79</v>
      </c>
      <c r="D28" s="2">
        <f t="shared" si="7"/>
        <v>98442.83</v>
      </c>
      <c r="E28" s="2">
        <f t="shared" si="7"/>
        <v>98442.83</v>
      </c>
      <c r="F28" s="2">
        <f t="shared" si="7"/>
        <v>0</v>
      </c>
      <c r="G28" s="2">
        <f t="shared" si="7"/>
        <v>0</v>
      </c>
      <c r="H28" s="2">
        <f t="shared" si="7"/>
        <v>0</v>
      </c>
      <c r="I28" s="2">
        <f t="shared" si="7"/>
        <v>0</v>
      </c>
      <c r="J28" s="2">
        <f t="shared" si="7"/>
        <v>0</v>
      </c>
      <c r="K28" s="18">
        <f t="shared" si="7"/>
        <v>0</v>
      </c>
      <c r="L28" s="2">
        <f t="shared" si="7"/>
        <v>0</v>
      </c>
      <c r="M28" s="2">
        <f t="shared" si="7"/>
        <v>254.8</v>
      </c>
      <c r="N28" s="2">
        <f t="shared" si="7"/>
        <v>1159135.44</v>
      </c>
      <c r="O28" s="2">
        <f t="shared" si="7"/>
        <v>0</v>
      </c>
      <c r="P28" s="2">
        <f t="shared" si="7"/>
        <v>0</v>
      </c>
      <c r="Q28" s="2">
        <f t="shared" si="7"/>
        <v>0</v>
      </c>
      <c r="R28" s="2">
        <f t="shared" si="7"/>
        <v>0</v>
      </c>
      <c r="S28" s="2">
        <f t="shared" si="7"/>
        <v>0</v>
      </c>
      <c r="T28" s="2">
        <f t="shared" si="7"/>
        <v>0</v>
      </c>
      <c r="U28" s="2">
        <f t="shared" si="7"/>
        <v>77267.520000000004</v>
      </c>
      <c r="V28" s="20">
        <f>C28+C311+C715</f>
        <v>25715299.25</v>
      </c>
    </row>
    <row r="29" spans="1:22" ht="25.15" customHeight="1" x14ac:dyDescent="0.25">
      <c r="A29" s="15" t="s">
        <v>945</v>
      </c>
      <c r="B29" s="24" t="s">
        <v>72</v>
      </c>
      <c r="C29" s="2">
        <f>D29+L29+N29+P29+R29+S29+T29+U29</f>
        <v>1334845.79</v>
      </c>
      <c r="D29" s="3">
        <f>SUM(E29:J29)</f>
        <v>98442.83</v>
      </c>
      <c r="E29" s="3">
        <v>98442.83</v>
      </c>
      <c r="F29" s="3">
        <f>800*0</f>
        <v>0</v>
      </c>
      <c r="G29" s="3">
        <f>300*0</f>
        <v>0</v>
      </c>
      <c r="H29" s="3">
        <f>500*0</f>
        <v>0</v>
      </c>
      <c r="I29" s="3">
        <f>400*0</f>
        <v>0</v>
      </c>
      <c r="J29" s="3">
        <f>350*0</f>
        <v>0</v>
      </c>
      <c r="K29" s="14">
        <v>0</v>
      </c>
      <c r="L29" s="13">
        <v>0</v>
      </c>
      <c r="M29" s="13">
        <v>254.8</v>
      </c>
      <c r="N29" s="23">
        <v>1159135.44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77267.520000000004</v>
      </c>
      <c r="V29" s="5">
        <f>N29/M29</f>
        <v>4549.1971742543165</v>
      </c>
    </row>
    <row r="30" spans="1:22" ht="40.15" customHeight="1" x14ac:dyDescent="0.25">
      <c r="A30" s="51" t="s">
        <v>2</v>
      </c>
      <c r="B30" s="51"/>
      <c r="C30" s="2">
        <f t="shared" ref="C30:U30" si="8">SUM(C31:C32)</f>
        <v>1938064.1099999999</v>
      </c>
      <c r="D30" s="2">
        <f t="shared" si="8"/>
        <v>0</v>
      </c>
      <c r="E30" s="2">
        <f t="shared" si="8"/>
        <v>0</v>
      </c>
      <c r="F30" s="2">
        <f t="shared" si="8"/>
        <v>0</v>
      </c>
      <c r="G30" s="2">
        <f t="shared" si="8"/>
        <v>0</v>
      </c>
      <c r="H30" s="2">
        <f t="shared" si="8"/>
        <v>0</v>
      </c>
      <c r="I30" s="2">
        <f t="shared" si="8"/>
        <v>0</v>
      </c>
      <c r="J30" s="2">
        <f t="shared" si="8"/>
        <v>0</v>
      </c>
      <c r="K30" s="18">
        <f t="shared" si="8"/>
        <v>0</v>
      </c>
      <c r="L30" s="2">
        <f t="shared" si="8"/>
        <v>0</v>
      </c>
      <c r="M30" s="2">
        <f t="shared" si="8"/>
        <v>496</v>
      </c>
      <c r="N30" s="2">
        <f t="shared" si="8"/>
        <v>1830260.64</v>
      </c>
      <c r="O30" s="2">
        <f t="shared" si="8"/>
        <v>0</v>
      </c>
      <c r="P30" s="2">
        <f t="shared" si="8"/>
        <v>0</v>
      </c>
      <c r="Q30" s="2">
        <f t="shared" si="8"/>
        <v>0</v>
      </c>
      <c r="R30" s="2">
        <f t="shared" si="8"/>
        <v>0</v>
      </c>
      <c r="S30" s="2">
        <f t="shared" si="8"/>
        <v>0</v>
      </c>
      <c r="T30" s="2">
        <f t="shared" si="8"/>
        <v>0</v>
      </c>
      <c r="U30" s="2">
        <f t="shared" si="8"/>
        <v>107803.47</v>
      </c>
      <c r="V30" s="20">
        <f>C30+C315+C721</f>
        <v>18863062.550000001</v>
      </c>
    </row>
    <row r="31" spans="1:22" ht="25.15" customHeight="1" x14ac:dyDescent="0.25">
      <c r="A31" s="21" t="s">
        <v>946</v>
      </c>
      <c r="B31" s="24" t="s">
        <v>76</v>
      </c>
      <c r="C31" s="2">
        <f>D31+L31+N31+P31+R31+S31+T31+U31</f>
        <v>53254.81</v>
      </c>
      <c r="D31" s="3">
        <f>SUM(E31:J31)</f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4">
        <v>0</v>
      </c>
      <c r="L31" s="3">
        <v>0</v>
      </c>
      <c r="M31" s="13">
        <v>0</v>
      </c>
      <c r="N31" s="13">
        <v>0</v>
      </c>
      <c r="O31" s="3">
        <v>0</v>
      </c>
      <c r="P31" s="3">
        <v>0</v>
      </c>
      <c r="Q31" s="3">
        <v>0</v>
      </c>
      <c r="R31" s="3">
        <v>0</v>
      </c>
      <c r="S31" s="13">
        <v>0</v>
      </c>
      <c r="T31" s="3">
        <v>0</v>
      </c>
      <c r="U31" s="3">
        <v>53254.81</v>
      </c>
      <c r="V31" s="5" t="e">
        <f>N31/M31</f>
        <v>#DIV/0!</v>
      </c>
    </row>
    <row r="32" spans="1:22" s="5" customFormat="1" ht="25.15" customHeight="1" x14ac:dyDescent="0.25">
      <c r="A32" s="21" t="s">
        <v>947</v>
      </c>
      <c r="B32" s="24" t="s">
        <v>77</v>
      </c>
      <c r="C32" s="2">
        <f>D32+L32+N32+P32+R32+S32+T32+U32</f>
        <v>1884809.2999999998</v>
      </c>
      <c r="D32" s="3">
        <f>SUM(E32:J32)</f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14">
        <v>0</v>
      </c>
      <c r="L32" s="13">
        <v>0</v>
      </c>
      <c r="M32" s="13">
        <v>496</v>
      </c>
      <c r="N32" s="13">
        <v>1830260.64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3">
        <v>0</v>
      </c>
      <c r="U32" s="13">
        <v>54548.66</v>
      </c>
      <c r="V32" s="5">
        <f>N32/M32</f>
        <v>3690.0416129032255</v>
      </c>
    </row>
    <row r="33" spans="1:22" ht="40.15" customHeight="1" x14ac:dyDescent="0.25">
      <c r="A33" s="51" t="s">
        <v>792</v>
      </c>
      <c r="B33" s="51"/>
      <c r="C33" s="2">
        <f t="shared" ref="C33:U33" si="9">SUM(C34)</f>
        <v>239642.18</v>
      </c>
      <c r="D33" s="2">
        <f t="shared" si="9"/>
        <v>0</v>
      </c>
      <c r="E33" s="2">
        <f t="shared" si="9"/>
        <v>0</v>
      </c>
      <c r="F33" s="2">
        <f t="shared" si="9"/>
        <v>0</v>
      </c>
      <c r="G33" s="2">
        <f t="shared" si="9"/>
        <v>0</v>
      </c>
      <c r="H33" s="2">
        <f t="shared" si="9"/>
        <v>0</v>
      </c>
      <c r="I33" s="2">
        <f t="shared" si="9"/>
        <v>0</v>
      </c>
      <c r="J33" s="2">
        <f t="shared" si="9"/>
        <v>0</v>
      </c>
      <c r="K33" s="18">
        <f t="shared" si="9"/>
        <v>0</v>
      </c>
      <c r="L33" s="2">
        <f t="shared" si="9"/>
        <v>0</v>
      </c>
      <c r="M33" s="2">
        <f t="shared" si="9"/>
        <v>95</v>
      </c>
      <c r="N33" s="2">
        <f t="shared" si="9"/>
        <v>223078.81</v>
      </c>
      <c r="O33" s="2">
        <f t="shared" si="9"/>
        <v>0</v>
      </c>
      <c r="P33" s="2">
        <f t="shared" si="9"/>
        <v>0</v>
      </c>
      <c r="Q33" s="2">
        <f t="shared" si="9"/>
        <v>0</v>
      </c>
      <c r="R33" s="2">
        <f t="shared" si="9"/>
        <v>0</v>
      </c>
      <c r="S33" s="2">
        <f t="shared" si="9"/>
        <v>0</v>
      </c>
      <c r="T33" s="2">
        <f t="shared" si="9"/>
        <v>0</v>
      </c>
      <c r="U33" s="2">
        <f t="shared" si="9"/>
        <v>16563.37</v>
      </c>
      <c r="V33" s="20">
        <f>C33+C320+C727</f>
        <v>23509547.469999999</v>
      </c>
    </row>
    <row r="34" spans="1:22" ht="25.15" customHeight="1" x14ac:dyDescent="0.25">
      <c r="A34" s="21" t="s">
        <v>948</v>
      </c>
      <c r="B34" s="24" t="s">
        <v>84</v>
      </c>
      <c r="C34" s="2">
        <f>D34+L34+N34+P34+R34+S34+T34+U34</f>
        <v>239642.18</v>
      </c>
      <c r="D34" s="3">
        <f>SUM(E34:J34)</f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4">
        <v>0</v>
      </c>
      <c r="L34" s="3">
        <v>0</v>
      </c>
      <c r="M34" s="3">
        <v>95</v>
      </c>
      <c r="N34" s="23">
        <v>223078.81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16563.37</v>
      </c>
      <c r="V34" s="5">
        <f>N34/M34</f>
        <v>2348.1979999999999</v>
      </c>
    </row>
    <row r="35" spans="1:22" ht="45" customHeight="1" x14ac:dyDescent="0.25">
      <c r="A35" s="51" t="s">
        <v>90</v>
      </c>
      <c r="B35" s="51"/>
      <c r="C35" s="2">
        <f t="shared" ref="C35:U35" si="10">SUM(C36:C37)</f>
        <v>6845927.2100000009</v>
      </c>
      <c r="D35" s="2">
        <f t="shared" si="10"/>
        <v>0</v>
      </c>
      <c r="E35" s="2">
        <f t="shared" si="10"/>
        <v>0</v>
      </c>
      <c r="F35" s="2">
        <f t="shared" si="10"/>
        <v>0</v>
      </c>
      <c r="G35" s="2">
        <f t="shared" si="10"/>
        <v>0</v>
      </c>
      <c r="H35" s="2">
        <f t="shared" si="10"/>
        <v>0</v>
      </c>
      <c r="I35" s="2">
        <f t="shared" si="10"/>
        <v>0</v>
      </c>
      <c r="J35" s="2">
        <f t="shared" si="10"/>
        <v>0</v>
      </c>
      <c r="K35" s="18">
        <f t="shared" si="10"/>
        <v>4</v>
      </c>
      <c r="L35" s="2">
        <f t="shared" si="10"/>
        <v>6701917.2800000003</v>
      </c>
      <c r="M35" s="2">
        <f t="shared" si="10"/>
        <v>0</v>
      </c>
      <c r="N35" s="2">
        <f t="shared" si="10"/>
        <v>0</v>
      </c>
      <c r="O35" s="2">
        <f t="shared" si="10"/>
        <v>0</v>
      </c>
      <c r="P35" s="2">
        <f t="shared" si="10"/>
        <v>0</v>
      </c>
      <c r="Q35" s="2">
        <f t="shared" si="10"/>
        <v>0</v>
      </c>
      <c r="R35" s="2">
        <f t="shared" si="10"/>
        <v>0</v>
      </c>
      <c r="S35" s="2">
        <f t="shared" si="10"/>
        <v>0</v>
      </c>
      <c r="T35" s="2">
        <f t="shared" si="10"/>
        <v>0</v>
      </c>
      <c r="U35" s="2">
        <f t="shared" si="10"/>
        <v>144009.93</v>
      </c>
      <c r="V35" s="20">
        <f>C35+C323+C737</f>
        <v>27872830.360000003</v>
      </c>
    </row>
    <row r="36" spans="1:22" ht="25.15" customHeight="1" x14ac:dyDescent="0.25">
      <c r="A36" s="15" t="s">
        <v>949</v>
      </c>
      <c r="B36" s="24" t="s">
        <v>93</v>
      </c>
      <c r="C36" s="2">
        <f>D36+L36+N36+P36+R36+S36+T36+U36</f>
        <v>3423021.89</v>
      </c>
      <c r="D36" s="3">
        <f>SUM(E36:J36)</f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4">
        <v>2</v>
      </c>
      <c r="L36" s="3">
        <v>3351026.41</v>
      </c>
      <c r="M36" s="13">
        <v>0</v>
      </c>
      <c r="N36" s="1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71995.48</v>
      </c>
      <c r="V36" s="5" t="e">
        <f>N36/M36</f>
        <v>#DIV/0!</v>
      </c>
    </row>
    <row r="37" spans="1:22" ht="25.15" customHeight="1" x14ac:dyDescent="0.25">
      <c r="A37" s="15" t="s">
        <v>950</v>
      </c>
      <c r="B37" s="24" t="s">
        <v>96</v>
      </c>
      <c r="C37" s="2">
        <f>D37+L37+N37+P37+R37+S37+T37+U37</f>
        <v>3422905.3200000003</v>
      </c>
      <c r="D37" s="3">
        <f>SUM(E37:J37)</f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4">
        <v>2</v>
      </c>
      <c r="L37" s="3">
        <v>3350890.87</v>
      </c>
      <c r="M37" s="13">
        <v>0</v>
      </c>
      <c r="N37" s="1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72014.45</v>
      </c>
      <c r="V37" s="5" t="e">
        <f>N37/M37</f>
        <v>#DIV/0!</v>
      </c>
    </row>
    <row r="38" spans="1:22" ht="45" customHeight="1" x14ac:dyDescent="0.25">
      <c r="A38" s="51" t="s">
        <v>99</v>
      </c>
      <c r="B38" s="51"/>
      <c r="C38" s="2">
        <f t="shared" ref="C38:U38" si="11">SUM(C39:C42)</f>
        <v>14891706.060000001</v>
      </c>
      <c r="D38" s="2">
        <f t="shared" si="11"/>
        <v>0</v>
      </c>
      <c r="E38" s="2">
        <f t="shared" si="11"/>
        <v>0</v>
      </c>
      <c r="F38" s="2">
        <f t="shared" si="11"/>
        <v>0</v>
      </c>
      <c r="G38" s="2">
        <f t="shared" si="11"/>
        <v>0</v>
      </c>
      <c r="H38" s="2">
        <f t="shared" si="11"/>
        <v>0</v>
      </c>
      <c r="I38" s="2">
        <f t="shared" si="11"/>
        <v>0</v>
      </c>
      <c r="J38" s="2">
        <f t="shared" si="11"/>
        <v>0</v>
      </c>
      <c r="K38" s="18">
        <f t="shared" si="11"/>
        <v>0</v>
      </c>
      <c r="L38" s="2">
        <f t="shared" si="11"/>
        <v>0</v>
      </c>
      <c r="M38" s="2">
        <f t="shared" si="11"/>
        <v>3039.35</v>
      </c>
      <c r="N38" s="2">
        <f t="shared" si="11"/>
        <v>14685718.259999998</v>
      </c>
      <c r="O38" s="2">
        <f t="shared" si="11"/>
        <v>0</v>
      </c>
      <c r="P38" s="2">
        <f t="shared" si="11"/>
        <v>0</v>
      </c>
      <c r="Q38" s="2">
        <f t="shared" si="11"/>
        <v>0</v>
      </c>
      <c r="R38" s="2">
        <f t="shared" si="11"/>
        <v>0</v>
      </c>
      <c r="S38" s="2">
        <f t="shared" si="11"/>
        <v>0</v>
      </c>
      <c r="T38" s="2">
        <f t="shared" si="11"/>
        <v>0</v>
      </c>
      <c r="U38" s="2">
        <f t="shared" si="11"/>
        <v>205987.8</v>
      </c>
      <c r="V38" s="20">
        <f>C38+C328+C741</f>
        <v>58147939.490000002</v>
      </c>
    </row>
    <row r="39" spans="1:22" ht="25.15" customHeight="1" x14ac:dyDescent="0.25">
      <c r="A39" s="21" t="s">
        <v>951</v>
      </c>
      <c r="B39" s="24" t="s">
        <v>105</v>
      </c>
      <c r="C39" s="2">
        <f>D39+L39+N39+P39+R39+S39+T39+U39</f>
        <v>4562400</v>
      </c>
      <c r="D39" s="3">
        <f>SUM(E39:J39)</f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4">
        <v>0</v>
      </c>
      <c r="L39" s="3">
        <v>0</v>
      </c>
      <c r="M39" s="13">
        <v>828.4</v>
      </c>
      <c r="N39" s="13">
        <v>4562400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5">
        <f>N39/M39</f>
        <v>5507.4843070980205</v>
      </c>
    </row>
    <row r="40" spans="1:22" ht="25.15" customHeight="1" x14ac:dyDescent="0.25">
      <c r="A40" s="21" t="s">
        <v>952</v>
      </c>
      <c r="B40" s="24" t="s">
        <v>107</v>
      </c>
      <c r="C40" s="2">
        <f>D40+L40+N40+P40+R40+S40+T40+U40</f>
        <v>3717862.4099999997</v>
      </c>
      <c r="D40" s="3">
        <f>SUM(E40:J40)</f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4">
        <v>0</v>
      </c>
      <c r="L40" s="3">
        <v>0</v>
      </c>
      <c r="M40" s="13">
        <v>775.81</v>
      </c>
      <c r="N40" s="23">
        <v>3649021.61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68840.800000000003</v>
      </c>
      <c r="V40" s="5">
        <f>N40/M40</f>
        <v>4703.4990654928397</v>
      </c>
    </row>
    <row r="41" spans="1:22" ht="25.15" customHeight="1" x14ac:dyDescent="0.25">
      <c r="A41" s="21" t="s">
        <v>953</v>
      </c>
      <c r="B41" s="24" t="s">
        <v>108</v>
      </c>
      <c r="C41" s="2">
        <f>D41+L41+N41+P41+R41+S41+T41+U41</f>
        <v>3672396.42</v>
      </c>
      <c r="D41" s="3">
        <f>SUM(E41:J41)</f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4">
        <v>0</v>
      </c>
      <c r="L41" s="3">
        <v>0</v>
      </c>
      <c r="M41" s="13">
        <v>821.23</v>
      </c>
      <c r="N41" s="23">
        <v>3602604.86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69791.56</v>
      </c>
      <c r="V41" s="5">
        <f>N41/M41</f>
        <v>4386.8403005248219</v>
      </c>
    </row>
    <row r="42" spans="1:22" ht="25.15" customHeight="1" x14ac:dyDescent="0.25">
      <c r="A42" s="21" t="s">
        <v>954</v>
      </c>
      <c r="B42" s="24" t="s">
        <v>109</v>
      </c>
      <c r="C42" s="2">
        <f>D42+L42+N42+P42+R42+S42+T42+U42</f>
        <v>2939047.23</v>
      </c>
      <c r="D42" s="3">
        <f>SUM(E42:J42)</f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4">
        <v>0</v>
      </c>
      <c r="L42" s="3">
        <v>0</v>
      </c>
      <c r="M42" s="3">
        <v>613.91</v>
      </c>
      <c r="N42" s="23">
        <v>2871691.79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67355.44</v>
      </c>
      <c r="V42" s="5">
        <f>N42/M42</f>
        <v>4677.7081168249424</v>
      </c>
    </row>
    <row r="43" spans="1:22" ht="45" customHeight="1" x14ac:dyDescent="0.25">
      <c r="A43" s="51" t="s">
        <v>884</v>
      </c>
      <c r="B43" s="51"/>
      <c r="C43" s="2">
        <f t="shared" ref="C43:U43" si="12">SUM(C44)</f>
        <v>2818731.24</v>
      </c>
      <c r="D43" s="2">
        <f t="shared" si="12"/>
        <v>0</v>
      </c>
      <c r="E43" s="2">
        <f t="shared" si="12"/>
        <v>0</v>
      </c>
      <c r="F43" s="2">
        <f t="shared" si="12"/>
        <v>0</v>
      </c>
      <c r="G43" s="2">
        <f t="shared" si="12"/>
        <v>0</v>
      </c>
      <c r="H43" s="2">
        <f t="shared" si="12"/>
        <v>0</v>
      </c>
      <c r="I43" s="2">
        <f t="shared" si="12"/>
        <v>0</v>
      </c>
      <c r="J43" s="2">
        <f t="shared" si="12"/>
        <v>0</v>
      </c>
      <c r="K43" s="18">
        <f t="shared" si="12"/>
        <v>0</v>
      </c>
      <c r="L43" s="2">
        <f t="shared" si="12"/>
        <v>0</v>
      </c>
      <c r="M43" s="2">
        <f t="shared" si="12"/>
        <v>585.66</v>
      </c>
      <c r="N43" s="2">
        <f t="shared" si="12"/>
        <v>2818731.24</v>
      </c>
      <c r="O43" s="2">
        <f t="shared" si="12"/>
        <v>0</v>
      </c>
      <c r="P43" s="2">
        <f t="shared" si="12"/>
        <v>0</v>
      </c>
      <c r="Q43" s="2">
        <f t="shared" si="12"/>
        <v>0</v>
      </c>
      <c r="R43" s="2">
        <f t="shared" si="12"/>
        <v>0</v>
      </c>
      <c r="S43" s="2">
        <f t="shared" si="12"/>
        <v>0</v>
      </c>
      <c r="T43" s="2">
        <f t="shared" si="12"/>
        <v>0</v>
      </c>
      <c r="U43" s="2">
        <f t="shared" si="12"/>
        <v>0</v>
      </c>
      <c r="V43" s="20">
        <f>C43</f>
        <v>2818731.24</v>
      </c>
    </row>
    <row r="44" spans="1:22" ht="25.15" customHeight="1" x14ac:dyDescent="0.25">
      <c r="A44" s="15" t="s">
        <v>955</v>
      </c>
      <c r="B44" s="24" t="s">
        <v>885</v>
      </c>
      <c r="C44" s="2">
        <f>D44+L44+N44+P44+R44+S44+T44+U44</f>
        <v>2818731.24</v>
      </c>
      <c r="D44" s="3">
        <f>SUM(E44:J44)</f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14">
        <v>0</v>
      </c>
      <c r="L44" s="13">
        <v>0</v>
      </c>
      <c r="M44" s="13">
        <v>585.66</v>
      </c>
      <c r="N44" s="13">
        <v>2818731.24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5">
        <f>N44/M44</f>
        <v>4812.9140456920404</v>
      </c>
    </row>
    <row r="45" spans="1:22" ht="45" customHeight="1" x14ac:dyDescent="0.25">
      <c r="A45" s="51" t="s">
        <v>121</v>
      </c>
      <c r="B45" s="51"/>
      <c r="C45" s="2">
        <f t="shared" ref="C45:U45" si="13">SUM(C46)</f>
        <v>3111460.64</v>
      </c>
      <c r="D45" s="2">
        <f t="shared" si="13"/>
        <v>0</v>
      </c>
      <c r="E45" s="2">
        <f t="shared" si="13"/>
        <v>0</v>
      </c>
      <c r="F45" s="2">
        <f t="shared" si="13"/>
        <v>0</v>
      </c>
      <c r="G45" s="2">
        <f t="shared" si="13"/>
        <v>0</v>
      </c>
      <c r="H45" s="2">
        <f t="shared" si="13"/>
        <v>0</v>
      </c>
      <c r="I45" s="2">
        <f t="shared" si="13"/>
        <v>0</v>
      </c>
      <c r="J45" s="2">
        <f t="shared" si="13"/>
        <v>0</v>
      </c>
      <c r="K45" s="18">
        <f t="shared" si="13"/>
        <v>0</v>
      </c>
      <c r="L45" s="2">
        <f t="shared" si="13"/>
        <v>0</v>
      </c>
      <c r="M45" s="2">
        <f t="shared" si="13"/>
        <v>550</v>
      </c>
      <c r="N45" s="2">
        <f t="shared" si="13"/>
        <v>1812377.05</v>
      </c>
      <c r="O45" s="2">
        <f t="shared" si="13"/>
        <v>0</v>
      </c>
      <c r="P45" s="2">
        <f t="shared" si="13"/>
        <v>0</v>
      </c>
      <c r="Q45" s="2">
        <f t="shared" si="13"/>
        <v>600</v>
      </c>
      <c r="R45" s="2">
        <f t="shared" si="13"/>
        <v>1248132.32</v>
      </c>
      <c r="S45" s="2">
        <f t="shared" si="13"/>
        <v>0</v>
      </c>
      <c r="T45" s="2">
        <f t="shared" si="13"/>
        <v>0</v>
      </c>
      <c r="U45" s="2">
        <f t="shared" si="13"/>
        <v>50951.27</v>
      </c>
      <c r="V45" s="20">
        <f>C45+C338+C756</f>
        <v>17442945.98</v>
      </c>
    </row>
    <row r="46" spans="1:22" ht="25.15" customHeight="1" x14ac:dyDescent="0.25">
      <c r="A46" s="15" t="s">
        <v>956</v>
      </c>
      <c r="B46" s="24" t="s">
        <v>824</v>
      </c>
      <c r="C46" s="2">
        <f>D46+L46+N46+P46+R46+S46+T46+U46</f>
        <v>3111460.64</v>
      </c>
      <c r="D46" s="3">
        <f>SUM(E46:J46)</f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14">
        <v>0</v>
      </c>
      <c r="L46" s="13">
        <v>0</v>
      </c>
      <c r="M46" s="13">
        <v>550</v>
      </c>
      <c r="N46" s="13">
        <v>1812377.05</v>
      </c>
      <c r="O46" s="13">
        <v>0</v>
      </c>
      <c r="P46" s="13">
        <v>0</v>
      </c>
      <c r="Q46" s="13">
        <v>600</v>
      </c>
      <c r="R46" s="13">
        <v>1248132.32</v>
      </c>
      <c r="S46" s="13">
        <v>0</v>
      </c>
      <c r="T46" s="13">
        <v>0</v>
      </c>
      <c r="U46" s="13">
        <v>50951.27</v>
      </c>
      <c r="V46" s="5">
        <f>N46/M46</f>
        <v>3295.2310000000002</v>
      </c>
    </row>
    <row r="47" spans="1:22" ht="45" customHeight="1" x14ac:dyDescent="0.25">
      <c r="A47" s="51" t="s">
        <v>127</v>
      </c>
      <c r="B47" s="51"/>
      <c r="C47" s="2">
        <f t="shared" ref="C47:U47" si="14">SUM(C48)</f>
        <v>43691.17</v>
      </c>
      <c r="D47" s="2">
        <f t="shared" si="14"/>
        <v>0</v>
      </c>
      <c r="E47" s="2">
        <f t="shared" si="14"/>
        <v>0</v>
      </c>
      <c r="F47" s="2">
        <f t="shared" si="14"/>
        <v>0</v>
      </c>
      <c r="G47" s="2">
        <f t="shared" si="14"/>
        <v>0</v>
      </c>
      <c r="H47" s="2">
        <f t="shared" si="14"/>
        <v>0</v>
      </c>
      <c r="I47" s="2">
        <f t="shared" si="14"/>
        <v>0</v>
      </c>
      <c r="J47" s="2">
        <f t="shared" si="14"/>
        <v>0</v>
      </c>
      <c r="K47" s="18">
        <f t="shared" si="14"/>
        <v>0</v>
      </c>
      <c r="L47" s="2">
        <f t="shared" si="14"/>
        <v>0</v>
      </c>
      <c r="M47" s="2">
        <f t="shared" si="14"/>
        <v>0</v>
      </c>
      <c r="N47" s="2">
        <f t="shared" si="14"/>
        <v>0</v>
      </c>
      <c r="O47" s="2">
        <f t="shared" si="14"/>
        <v>0</v>
      </c>
      <c r="P47" s="2">
        <f t="shared" si="14"/>
        <v>0</v>
      </c>
      <c r="Q47" s="2">
        <f t="shared" si="14"/>
        <v>0</v>
      </c>
      <c r="R47" s="2">
        <f t="shared" si="14"/>
        <v>0</v>
      </c>
      <c r="S47" s="2">
        <f t="shared" si="14"/>
        <v>0</v>
      </c>
      <c r="T47" s="2">
        <f t="shared" si="14"/>
        <v>0</v>
      </c>
      <c r="U47" s="2">
        <f t="shared" si="14"/>
        <v>43691.17</v>
      </c>
      <c r="V47" s="20">
        <f>C47+C343</f>
        <v>6400053.5300000003</v>
      </c>
    </row>
    <row r="48" spans="1:22" ht="25.15" customHeight="1" x14ac:dyDescent="0.25">
      <c r="A48" s="21" t="s">
        <v>957</v>
      </c>
      <c r="B48" s="24" t="s">
        <v>125</v>
      </c>
      <c r="C48" s="2">
        <f>D48+L48+N48+P48+R48+S48+T48+U48</f>
        <v>43691.17</v>
      </c>
      <c r="D48" s="3">
        <f>SUM(E48:J48)</f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4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13">
        <v>0</v>
      </c>
      <c r="S48" s="3">
        <v>0</v>
      </c>
      <c r="T48" s="3">
        <v>0</v>
      </c>
      <c r="U48" s="3">
        <v>43691.17</v>
      </c>
      <c r="V48" s="5" t="e">
        <f>N48/M48</f>
        <v>#DIV/0!</v>
      </c>
    </row>
    <row r="49" spans="1:22" ht="45" customHeight="1" x14ac:dyDescent="0.25">
      <c r="A49" s="51" t="s">
        <v>129</v>
      </c>
      <c r="B49" s="51"/>
      <c r="C49" s="2">
        <f t="shared" ref="C49:U49" si="15">SUM(C50:C52)</f>
        <v>16217698.190000001</v>
      </c>
      <c r="D49" s="2">
        <f t="shared" si="15"/>
        <v>0</v>
      </c>
      <c r="E49" s="2">
        <f t="shared" si="15"/>
        <v>0</v>
      </c>
      <c r="F49" s="2">
        <f t="shared" si="15"/>
        <v>0</v>
      </c>
      <c r="G49" s="2">
        <f t="shared" si="15"/>
        <v>0</v>
      </c>
      <c r="H49" s="2">
        <f t="shared" si="15"/>
        <v>0</v>
      </c>
      <c r="I49" s="2">
        <f t="shared" si="15"/>
        <v>0</v>
      </c>
      <c r="J49" s="2">
        <f t="shared" si="15"/>
        <v>0</v>
      </c>
      <c r="K49" s="18">
        <f t="shared" si="15"/>
        <v>0</v>
      </c>
      <c r="L49" s="2">
        <f t="shared" si="15"/>
        <v>0</v>
      </c>
      <c r="M49" s="2">
        <f t="shared" si="15"/>
        <v>3389.0600000000004</v>
      </c>
      <c r="N49" s="2">
        <f t="shared" si="15"/>
        <v>9709603.2300000004</v>
      </c>
      <c r="O49" s="2">
        <f t="shared" si="15"/>
        <v>0</v>
      </c>
      <c r="P49" s="2">
        <f t="shared" si="15"/>
        <v>0</v>
      </c>
      <c r="Q49" s="2">
        <f t="shared" si="15"/>
        <v>2934</v>
      </c>
      <c r="R49" s="2">
        <f t="shared" si="15"/>
        <v>6223562.8200000003</v>
      </c>
      <c r="S49" s="2">
        <f t="shared" si="15"/>
        <v>0</v>
      </c>
      <c r="T49" s="2">
        <f t="shared" si="15"/>
        <v>0</v>
      </c>
      <c r="U49" s="2">
        <f t="shared" si="15"/>
        <v>284532.14</v>
      </c>
      <c r="V49" s="20">
        <f>C49+C348</f>
        <v>19589472.590000004</v>
      </c>
    </row>
    <row r="50" spans="1:22" ht="25.15" customHeight="1" x14ac:dyDescent="0.25">
      <c r="A50" s="21" t="s">
        <v>958</v>
      </c>
      <c r="B50" s="24" t="s">
        <v>130</v>
      </c>
      <c r="C50" s="2">
        <f>D50+L50+N50+P50+R50+S50+T50+U50</f>
        <v>3640602.32</v>
      </c>
      <c r="D50" s="3">
        <f>SUM(E50:J50)</f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4">
        <v>0</v>
      </c>
      <c r="L50" s="3">
        <v>0</v>
      </c>
      <c r="M50" s="3">
        <v>1140.68</v>
      </c>
      <c r="N50" s="3">
        <v>3580928.98</v>
      </c>
      <c r="O50" s="3">
        <v>0</v>
      </c>
      <c r="P50" s="3">
        <v>0</v>
      </c>
      <c r="Q50" s="3">
        <v>0</v>
      </c>
      <c r="R50" s="13">
        <v>0</v>
      </c>
      <c r="S50" s="3">
        <v>0</v>
      </c>
      <c r="T50" s="3">
        <v>0</v>
      </c>
      <c r="U50" s="3">
        <v>59673.34</v>
      </c>
      <c r="V50" s="5">
        <f>N50/M50</f>
        <v>3139.2932110670827</v>
      </c>
    </row>
    <row r="51" spans="1:22" ht="25.15" customHeight="1" x14ac:dyDescent="0.25">
      <c r="A51" s="21" t="s">
        <v>959</v>
      </c>
      <c r="B51" s="24" t="s">
        <v>131</v>
      </c>
      <c r="C51" s="2">
        <f>D51+L51+N51+P51+R51+S51+T51+U51</f>
        <v>3997560.56</v>
      </c>
      <c r="D51" s="3">
        <f>SUM(E51:J51)</f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4">
        <v>0</v>
      </c>
      <c r="L51" s="3">
        <v>0</v>
      </c>
      <c r="M51" s="3">
        <v>1296.6400000000001</v>
      </c>
      <c r="N51" s="3">
        <v>3937291.42</v>
      </c>
      <c r="O51" s="3">
        <v>0</v>
      </c>
      <c r="P51" s="3">
        <v>0</v>
      </c>
      <c r="Q51" s="3">
        <v>0</v>
      </c>
      <c r="R51" s="13">
        <v>0</v>
      </c>
      <c r="S51" s="3">
        <v>0</v>
      </c>
      <c r="T51" s="3">
        <v>0</v>
      </c>
      <c r="U51" s="3">
        <v>60269.14</v>
      </c>
      <c r="V51" s="5">
        <f>N51/M51</f>
        <v>3036.5339801332671</v>
      </c>
    </row>
    <row r="52" spans="1:22" ht="25.15" customHeight="1" x14ac:dyDescent="0.25">
      <c r="A52" s="21" t="s">
        <v>960</v>
      </c>
      <c r="B52" s="24" t="s">
        <v>132</v>
      </c>
      <c r="C52" s="2">
        <f>D52+L52+N52+P52+R52+S52+T52+U52</f>
        <v>8579535.3100000005</v>
      </c>
      <c r="D52" s="3">
        <f>SUM(E52:J52)</f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4">
        <v>0</v>
      </c>
      <c r="L52" s="3">
        <v>0</v>
      </c>
      <c r="M52" s="3">
        <v>951.74</v>
      </c>
      <c r="N52" s="3">
        <v>2191382.83</v>
      </c>
      <c r="O52" s="3">
        <v>0</v>
      </c>
      <c r="P52" s="3">
        <v>0</v>
      </c>
      <c r="Q52" s="3">
        <v>2934</v>
      </c>
      <c r="R52" s="13">
        <v>6223562.8200000003</v>
      </c>
      <c r="S52" s="3">
        <v>0</v>
      </c>
      <c r="T52" s="3">
        <v>0</v>
      </c>
      <c r="U52" s="3">
        <v>164589.66</v>
      </c>
      <c r="V52" s="5">
        <f>N52/M52</f>
        <v>2302.5015550465464</v>
      </c>
    </row>
    <row r="53" spans="1:22" ht="45" customHeight="1" x14ac:dyDescent="0.25">
      <c r="A53" s="51" t="s">
        <v>807</v>
      </c>
      <c r="B53" s="51"/>
      <c r="C53" s="2">
        <f t="shared" ref="C53:U53" si="16">SUM(C54)</f>
        <v>1199702.6400000001</v>
      </c>
      <c r="D53" s="2">
        <f t="shared" si="16"/>
        <v>0</v>
      </c>
      <c r="E53" s="2">
        <f t="shared" si="16"/>
        <v>0</v>
      </c>
      <c r="F53" s="2">
        <f t="shared" si="16"/>
        <v>0</v>
      </c>
      <c r="G53" s="2">
        <f t="shared" si="16"/>
        <v>0</v>
      </c>
      <c r="H53" s="2">
        <f t="shared" si="16"/>
        <v>0</v>
      </c>
      <c r="I53" s="2">
        <f t="shared" si="16"/>
        <v>0</v>
      </c>
      <c r="J53" s="2">
        <f t="shared" si="16"/>
        <v>0</v>
      </c>
      <c r="K53" s="18">
        <f t="shared" si="16"/>
        <v>0</v>
      </c>
      <c r="L53" s="2">
        <f t="shared" si="16"/>
        <v>0</v>
      </c>
      <c r="M53" s="2">
        <f t="shared" si="16"/>
        <v>367.1</v>
      </c>
      <c r="N53" s="2">
        <f t="shared" si="16"/>
        <v>1172693.07</v>
      </c>
      <c r="O53" s="2">
        <f t="shared" si="16"/>
        <v>0</v>
      </c>
      <c r="P53" s="2">
        <f t="shared" si="16"/>
        <v>0</v>
      </c>
      <c r="Q53" s="2">
        <f t="shared" si="16"/>
        <v>0</v>
      </c>
      <c r="R53" s="2">
        <f t="shared" si="16"/>
        <v>0</v>
      </c>
      <c r="S53" s="2">
        <f t="shared" si="16"/>
        <v>0</v>
      </c>
      <c r="T53" s="2">
        <f t="shared" si="16"/>
        <v>0</v>
      </c>
      <c r="U53" s="2">
        <f t="shared" si="16"/>
        <v>27009.57</v>
      </c>
      <c r="V53" s="20">
        <f>C53</f>
        <v>1199702.6400000001</v>
      </c>
    </row>
    <row r="54" spans="1:22" ht="25.15" customHeight="1" x14ac:dyDescent="0.25">
      <c r="A54" s="21" t="s">
        <v>961</v>
      </c>
      <c r="B54" s="24" t="s">
        <v>808</v>
      </c>
      <c r="C54" s="2">
        <f>D54+L54+N54+P54+R54+S54+T54+U54</f>
        <v>1199702.6400000001</v>
      </c>
      <c r="D54" s="3">
        <f>SUM(E54:J54)</f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4">
        <v>0</v>
      </c>
      <c r="L54" s="3">
        <v>0</v>
      </c>
      <c r="M54" s="3">
        <v>367.1</v>
      </c>
      <c r="N54" s="3">
        <v>1172693.07</v>
      </c>
      <c r="O54" s="3">
        <v>0</v>
      </c>
      <c r="P54" s="3">
        <v>0</v>
      </c>
      <c r="Q54" s="3">
        <v>0</v>
      </c>
      <c r="R54" s="13">
        <v>0</v>
      </c>
      <c r="S54" s="3">
        <v>0</v>
      </c>
      <c r="T54" s="3">
        <v>0</v>
      </c>
      <c r="U54" s="3">
        <v>27009.57</v>
      </c>
      <c r="V54" s="5">
        <f>N54/M54</f>
        <v>3194.4785344592756</v>
      </c>
    </row>
    <row r="55" spans="1:22" ht="45" customHeight="1" x14ac:dyDescent="0.25">
      <c r="A55" s="52" t="s">
        <v>128</v>
      </c>
      <c r="B55" s="53"/>
      <c r="C55" s="2">
        <f t="shared" ref="C55:U55" si="17">SUM(C56)</f>
        <v>1474519.93</v>
      </c>
      <c r="D55" s="2">
        <f t="shared" si="17"/>
        <v>0</v>
      </c>
      <c r="E55" s="2">
        <f t="shared" si="17"/>
        <v>0</v>
      </c>
      <c r="F55" s="2">
        <f t="shared" si="17"/>
        <v>0</v>
      </c>
      <c r="G55" s="2">
        <f t="shared" si="17"/>
        <v>0</v>
      </c>
      <c r="H55" s="2">
        <f t="shared" si="17"/>
        <v>0</v>
      </c>
      <c r="I55" s="2">
        <f t="shared" si="17"/>
        <v>0</v>
      </c>
      <c r="J55" s="2">
        <f t="shared" si="17"/>
        <v>0</v>
      </c>
      <c r="K55" s="18">
        <f t="shared" si="17"/>
        <v>0</v>
      </c>
      <c r="L55" s="2">
        <f t="shared" si="17"/>
        <v>0</v>
      </c>
      <c r="M55" s="2">
        <f t="shared" si="17"/>
        <v>336.44</v>
      </c>
      <c r="N55" s="2">
        <f t="shared" si="17"/>
        <v>1474519.93</v>
      </c>
      <c r="O55" s="2">
        <f t="shared" si="17"/>
        <v>0</v>
      </c>
      <c r="P55" s="2">
        <f t="shared" si="17"/>
        <v>0</v>
      </c>
      <c r="Q55" s="2">
        <f t="shared" si="17"/>
        <v>0</v>
      </c>
      <c r="R55" s="2">
        <f t="shared" si="17"/>
        <v>0</v>
      </c>
      <c r="S55" s="2">
        <f t="shared" si="17"/>
        <v>0</v>
      </c>
      <c r="T55" s="2">
        <f t="shared" si="17"/>
        <v>0</v>
      </c>
      <c r="U55" s="2">
        <f t="shared" si="17"/>
        <v>0</v>
      </c>
      <c r="V55" s="20" t="e">
        <f>C55+#REF!</f>
        <v>#REF!</v>
      </c>
    </row>
    <row r="56" spans="1:22" ht="25.15" customHeight="1" x14ac:dyDescent="0.25">
      <c r="A56" s="21" t="s">
        <v>962</v>
      </c>
      <c r="B56" s="24" t="s">
        <v>877</v>
      </c>
      <c r="C56" s="2">
        <f>D56+L56+N56+P56+R56+S56+T56+U56</f>
        <v>1474519.93</v>
      </c>
      <c r="D56" s="3">
        <f>SUM(E56:J56)</f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4">
        <v>0</v>
      </c>
      <c r="L56" s="3">
        <v>0</v>
      </c>
      <c r="M56" s="3">
        <v>336.44</v>
      </c>
      <c r="N56" s="3">
        <v>1474519.93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5">
        <f>N56/M56</f>
        <v>4382.7129057187012</v>
      </c>
    </row>
    <row r="57" spans="1:22" ht="45" customHeight="1" x14ac:dyDescent="0.25">
      <c r="A57" s="51" t="s">
        <v>135</v>
      </c>
      <c r="B57" s="51"/>
      <c r="C57" s="2">
        <f t="shared" ref="C57:U57" si="18">SUM(C58:C58)</f>
        <v>642013.23</v>
      </c>
      <c r="D57" s="2">
        <f t="shared" si="18"/>
        <v>0</v>
      </c>
      <c r="E57" s="2">
        <f t="shared" si="18"/>
        <v>0</v>
      </c>
      <c r="F57" s="2">
        <f t="shared" si="18"/>
        <v>0</v>
      </c>
      <c r="G57" s="2">
        <f t="shared" si="18"/>
        <v>0</v>
      </c>
      <c r="H57" s="2">
        <f t="shared" si="18"/>
        <v>0</v>
      </c>
      <c r="I57" s="2">
        <f t="shared" si="18"/>
        <v>0</v>
      </c>
      <c r="J57" s="2">
        <f t="shared" si="18"/>
        <v>0</v>
      </c>
      <c r="K57" s="18">
        <f t="shared" si="18"/>
        <v>0</v>
      </c>
      <c r="L57" s="2">
        <f t="shared" si="18"/>
        <v>0</v>
      </c>
      <c r="M57" s="2">
        <f t="shared" si="18"/>
        <v>374.54</v>
      </c>
      <c r="N57" s="2">
        <f t="shared" si="18"/>
        <v>592997.37</v>
      </c>
      <c r="O57" s="2">
        <f t="shared" si="18"/>
        <v>0</v>
      </c>
      <c r="P57" s="2">
        <f t="shared" si="18"/>
        <v>0</v>
      </c>
      <c r="Q57" s="2">
        <f t="shared" si="18"/>
        <v>0</v>
      </c>
      <c r="R57" s="2">
        <f t="shared" si="18"/>
        <v>0</v>
      </c>
      <c r="S57" s="2">
        <f t="shared" si="18"/>
        <v>0</v>
      </c>
      <c r="T57" s="2">
        <f t="shared" si="18"/>
        <v>0</v>
      </c>
      <c r="U57" s="2">
        <f t="shared" si="18"/>
        <v>49015.86</v>
      </c>
      <c r="V57" s="20">
        <f>C57+C352</f>
        <v>6986981.0300000012</v>
      </c>
    </row>
    <row r="58" spans="1:22" ht="25.15" customHeight="1" x14ac:dyDescent="0.25">
      <c r="A58" s="21" t="s">
        <v>963</v>
      </c>
      <c r="B58" s="24" t="s">
        <v>137</v>
      </c>
      <c r="C58" s="2">
        <f>D58+L58+N58+P58+R58+S58+T58+U58</f>
        <v>642013.23</v>
      </c>
      <c r="D58" s="3">
        <f>SUM(E58:J58)</f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4">
        <v>0</v>
      </c>
      <c r="L58" s="3">
        <v>0</v>
      </c>
      <c r="M58" s="3">
        <v>374.54</v>
      </c>
      <c r="N58" s="13">
        <v>592997.37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49015.86</v>
      </c>
      <c r="V58" s="5">
        <f>N58/M58</f>
        <v>1583.2684626475143</v>
      </c>
    </row>
    <row r="59" spans="1:22" ht="45" customHeight="1" x14ac:dyDescent="0.25">
      <c r="A59" s="51" t="s">
        <v>141</v>
      </c>
      <c r="B59" s="51"/>
      <c r="C59" s="2">
        <f t="shared" ref="C59:U59" si="19">SUM(C60)</f>
        <v>4680715.3900000006</v>
      </c>
      <c r="D59" s="2">
        <f t="shared" si="19"/>
        <v>1109206.1199999999</v>
      </c>
      <c r="E59" s="2">
        <f t="shared" si="19"/>
        <v>343775.49</v>
      </c>
      <c r="F59" s="2">
        <f t="shared" si="19"/>
        <v>579500.93999999994</v>
      </c>
      <c r="G59" s="2">
        <f t="shared" si="19"/>
        <v>111741.49</v>
      </c>
      <c r="H59" s="2">
        <f t="shared" si="19"/>
        <v>0</v>
      </c>
      <c r="I59" s="2">
        <f t="shared" si="19"/>
        <v>74188.2</v>
      </c>
      <c r="J59" s="2">
        <f t="shared" si="19"/>
        <v>0</v>
      </c>
      <c r="K59" s="18">
        <f t="shared" si="19"/>
        <v>0</v>
      </c>
      <c r="L59" s="2">
        <f t="shared" si="19"/>
        <v>0</v>
      </c>
      <c r="M59" s="2">
        <f t="shared" si="19"/>
        <v>684</v>
      </c>
      <c r="N59" s="2">
        <f t="shared" si="19"/>
        <v>3414950.45</v>
      </c>
      <c r="O59" s="2">
        <f t="shared" si="19"/>
        <v>0</v>
      </c>
      <c r="P59" s="2">
        <f t="shared" si="19"/>
        <v>0</v>
      </c>
      <c r="Q59" s="2">
        <f t="shared" si="19"/>
        <v>0</v>
      </c>
      <c r="R59" s="2">
        <f t="shared" si="19"/>
        <v>0</v>
      </c>
      <c r="S59" s="2">
        <f t="shared" si="19"/>
        <v>0</v>
      </c>
      <c r="T59" s="2">
        <f t="shared" si="19"/>
        <v>0</v>
      </c>
      <c r="U59" s="2">
        <f t="shared" si="19"/>
        <v>156558.82</v>
      </c>
      <c r="V59" s="20">
        <f>C59</f>
        <v>4680715.3900000006</v>
      </c>
    </row>
    <row r="60" spans="1:22" ht="25.15" customHeight="1" x14ac:dyDescent="0.25">
      <c r="A60" s="21" t="s">
        <v>964</v>
      </c>
      <c r="B60" s="24" t="s">
        <v>823</v>
      </c>
      <c r="C60" s="2">
        <f>D60+L60+N60+P60+R60+S60+T60+U60</f>
        <v>4680715.3900000006</v>
      </c>
      <c r="D60" s="3">
        <f>SUM(E60:J60)</f>
        <v>1109206.1199999999</v>
      </c>
      <c r="E60" s="3">
        <v>343775.49</v>
      </c>
      <c r="F60" s="3">
        <v>579500.93999999994</v>
      </c>
      <c r="G60" s="3">
        <v>111741.49</v>
      </c>
      <c r="H60" s="3">
        <f>500*0</f>
        <v>0</v>
      </c>
      <c r="I60" s="3">
        <v>74188.2</v>
      </c>
      <c r="J60" s="3">
        <f>350*0</f>
        <v>0</v>
      </c>
      <c r="K60" s="4">
        <v>0</v>
      </c>
      <c r="L60" s="3">
        <v>0</v>
      </c>
      <c r="M60" s="3">
        <v>684</v>
      </c>
      <c r="N60" s="3">
        <v>3414950.45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156558.82</v>
      </c>
      <c r="V60" s="5">
        <f>N60/M60</f>
        <v>4992.6176169590644</v>
      </c>
    </row>
    <row r="61" spans="1:22" ht="45" customHeight="1" x14ac:dyDescent="0.25">
      <c r="A61" s="51" t="s">
        <v>144</v>
      </c>
      <c r="B61" s="51"/>
      <c r="C61" s="2">
        <f t="shared" ref="C61:U61" si="20">SUM(C62:C63)</f>
        <v>4603498.0599999996</v>
      </c>
      <c r="D61" s="2">
        <f t="shared" si="20"/>
        <v>0</v>
      </c>
      <c r="E61" s="2">
        <f t="shared" si="20"/>
        <v>0</v>
      </c>
      <c r="F61" s="2">
        <f t="shared" si="20"/>
        <v>0</v>
      </c>
      <c r="G61" s="2">
        <f t="shared" si="20"/>
        <v>0</v>
      </c>
      <c r="H61" s="2">
        <f t="shared" si="20"/>
        <v>0</v>
      </c>
      <c r="I61" s="2">
        <f t="shared" si="20"/>
        <v>0</v>
      </c>
      <c r="J61" s="2">
        <f t="shared" si="20"/>
        <v>0</v>
      </c>
      <c r="K61" s="18">
        <f t="shared" si="20"/>
        <v>0</v>
      </c>
      <c r="L61" s="2">
        <f t="shared" si="20"/>
        <v>0</v>
      </c>
      <c r="M61" s="2">
        <f t="shared" si="20"/>
        <v>1228.1500000000001</v>
      </c>
      <c r="N61" s="2">
        <f t="shared" si="20"/>
        <v>4458689.3599999994</v>
      </c>
      <c r="O61" s="2">
        <f t="shared" si="20"/>
        <v>0</v>
      </c>
      <c r="P61" s="2">
        <f t="shared" si="20"/>
        <v>0</v>
      </c>
      <c r="Q61" s="2">
        <f t="shared" si="20"/>
        <v>0</v>
      </c>
      <c r="R61" s="2">
        <f t="shared" si="20"/>
        <v>0</v>
      </c>
      <c r="S61" s="2">
        <f t="shared" si="20"/>
        <v>0</v>
      </c>
      <c r="T61" s="2">
        <f t="shared" si="20"/>
        <v>0</v>
      </c>
      <c r="U61" s="2">
        <f t="shared" si="20"/>
        <v>144808.70000000001</v>
      </c>
      <c r="V61" s="20">
        <f>C61+C356+C777</f>
        <v>41371060.590000004</v>
      </c>
    </row>
    <row r="62" spans="1:22" ht="25.15" customHeight="1" x14ac:dyDescent="0.25">
      <c r="A62" s="21" t="s">
        <v>965</v>
      </c>
      <c r="B62" s="24" t="s">
        <v>146</v>
      </c>
      <c r="C62" s="2">
        <f>D62+L62+N62+P62+R62+S62+T62+U62</f>
        <v>3593361.92</v>
      </c>
      <c r="D62" s="3">
        <f>SUM(E62:J62)</f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4">
        <v>0</v>
      </c>
      <c r="L62" s="3">
        <v>0</v>
      </c>
      <c r="M62" s="3">
        <v>833.65</v>
      </c>
      <c r="N62" s="3">
        <v>3472004.82</v>
      </c>
      <c r="O62" s="3">
        <v>0</v>
      </c>
      <c r="P62" s="3">
        <v>0</v>
      </c>
      <c r="Q62" s="3">
        <v>0</v>
      </c>
      <c r="R62" s="13">
        <v>0</v>
      </c>
      <c r="S62" s="3">
        <v>0</v>
      </c>
      <c r="T62" s="3">
        <v>0</v>
      </c>
      <c r="U62" s="3">
        <v>121357.1</v>
      </c>
      <c r="V62" s="5">
        <f>N62/M62</f>
        <v>4164.8231512025432</v>
      </c>
    </row>
    <row r="63" spans="1:22" ht="25.15" customHeight="1" x14ac:dyDescent="0.25">
      <c r="A63" s="21" t="s">
        <v>966</v>
      </c>
      <c r="B63" s="24" t="s">
        <v>148</v>
      </c>
      <c r="C63" s="2">
        <f>D63+L63+N63+P63+R63+S63+T63+U63</f>
        <v>1010136.14</v>
      </c>
      <c r="D63" s="3">
        <f>SUM(E63:J63)</f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4">
        <v>0</v>
      </c>
      <c r="L63" s="3">
        <v>0</v>
      </c>
      <c r="M63" s="3">
        <v>394.5</v>
      </c>
      <c r="N63" s="3">
        <v>986684.54</v>
      </c>
      <c r="O63" s="3">
        <v>0</v>
      </c>
      <c r="P63" s="3">
        <v>0</v>
      </c>
      <c r="Q63" s="3">
        <v>0</v>
      </c>
      <c r="R63" s="13">
        <v>0</v>
      </c>
      <c r="S63" s="3">
        <v>0</v>
      </c>
      <c r="T63" s="3">
        <v>0</v>
      </c>
      <c r="U63" s="3">
        <v>23451.599999999999</v>
      </c>
      <c r="V63" s="5">
        <f>N63/M63</f>
        <v>2501.1014955640053</v>
      </c>
    </row>
    <row r="64" spans="1:22" ht="40.15" customHeight="1" x14ac:dyDescent="0.25">
      <c r="A64" s="51" t="s">
        <v>925</v>
      </c>
      <c r="B64" s="51"/>
      <c r="C64" s="2">
        <f t="shared" ref="C64:U64" si="21">SUM(C65)</f>
        <v>1038347.45</v>
      </c>
      <c r="D64" s="2">
        <f t="shared" si="21"/>
        <v>0</v>
      </c>
      <c r="E64" s="2">
        <f t="shared" si="21"/>
        <v>0</v>
      </c>
      <c r="F64" s="2">
        <f t="shared" si="21"/>
        <v>0</v>
      </c>
      <c r="G64" s="2">
        <f t="shared" si="21"/>
        <v>0</v>
      </c>
      <c r="H64" s="2">
        <f t="shared" si="21"/>
        <v>0</v>
      </c>
      <c r="I64" s="2">
        <f t="shared" si="21"/>
        <v>0</v>
      </c>
      <c r="J64" s="2">
        <f t="shared" si="21"/>
        <v>0</v>
      </c>
      <c r="K64" s="18">
        <f t="shared" si="21"/>
        <v>0</v>
      </c>
      <c r="L64" s="2">
        <f t="shared" si="21"/>
        <v>0</v>
      </c>
      <c r="M64" s="2">
        <f t="shared" si="21"/>
        <v>297</v>
      </c>
      <c r="N64" s="2">
        <f t="shared" si="21"/>
        <v>989234.72</v>
      </c>
      <c r="O64" s="2">
        <f t="shared" si="21"/>
        <v>0</v>
      </c>
      <c r="P64" s="2">
        <f t="shared" si="21"/>
        <v>0</v>
      </c>
      <c r="Q64" s="2">
        <f t="shared" si="21"/>
        <v>0</v>
      </c>
      <c r="R64" s="2">
        <f t="shared" si="21"/>
        <v>0</v>
      </c>
      <c r="S64" s="2">
        <f t="shared" si="21"/>
        <v>0</v>
      </c>
      <c r="T64" s="2">
        <f t="shared" si="21"/>
        <v>0</v>
      </c>
      <c r="U64" s="2">
        <f t="shared" si="21"/>
        <v>49112.73</v>
      </c>
      <c r="V64" s="20">
        <f>C64+C360+C784</f>
        <v>4213687.8499999996</v>
      </c>
    </row>
    <row r="65" spans="1:22" ht="25.15" customHeight="1" x14ac:dyDescent="0.25">
      <c r="A65" s="21" t="s">
        <v>967</v>
      </c>
      <c r="B65" s="24" t="s">
        <v>149</v>
      </c>
      <c r="C65" s="2">
        <f>D65+L65+N65+P65+R65+S65+T65+U65</f>
        <v>1038347.45</v>
      </c>
      <c r="D65" s="3">
        <f>SUM(E65:J65)</f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4">
        <v>0</v>
      </c>
      <c r="L65" s="3">
        <v>0</v>
      </c>
      <c r="M65" s="3">
        <v>297</v>
      </c>
      <c r="N65" s="3">
        <v>989234.72</v>
      </c>
      <c r="O65" s="3">
        <v>0</v>
      </c>
      <c r="P65" s="3">
        <v>0</v>
      </c>
      <c r="Q65" s="3">
        <v>0</v>
      </c>
      <c r="R65" s="13">
        <v>0</v>
      </c>
      <c r="S65" s="3">
        <v>0</v>
      </c>
      <c r="T65" s="3">
        <v>0</v>
      </c>
      <c r="U65" s="3">
        <v>49112.73</v>
      </c>
      <c r="V65" s="5">
        <f>N65/M65</f>
        <v>3330.756632996633</v>
      </c>
    </row>
    <row r="66" spans="1:22" ht="40.15" customHeight="1" x14ac:dyDescent="0.25">
      <c r="A66" s="51" t="s">
        <v>152</v>
      </c>
      <c r="B66" s="51"/>
      <c r="C66" s="2">
        <f t="shared" ref="C66:U66" si="22">SUM(C67)</f>
        <v>2269053.58</v>
      </c>
      <c r="D66" s="2">
        <f t="shared" si="22"/>
        <v>0</v>
      </c>
      <c r="E66" s="2">
        <f t="shared" si="22"/>
        <v>0</v>
      </c>
      <c r="F66" s="2">
        <f t="shared" si="22"/>
        <v>0</v>
      </c>
      <c r="G66" s="2">
        <f t="shared" si="22"/>
        <v>0</v>
      </c>
      <c r="H66" s="2">
        <f t="shared" si="22"/>
        <v>0</v>
      </c>
      <c r="I66" s="2">
        <f t="shared" si="22"/>
        <v>0</v>
      </c>
      <c r="J66" s="2">
        <f t="shared" si="22"/>
        <v>0</v>
      </c>
      <c r="K66" s="18">
        <f t="shared" si="22"/>
        <v>0</v>
      </c>
      <c r="L66" s="2">
        <f t="shared" si="22"/>
        <v>0</v>
      </c>
      <c r="M66" s="2">
        <f t="shared" si="22"/>
        <v>710</v>
      </c>
      <c r="N66" s="2">
        <f t="shared" si="22"/>
        <v>2234087.79</v>
      </c>
      <c r="O66" s="2">
        <f t="shared" si="22"/>
        <v>0</v>
      </c>
      <c r="P66" s="2">
        <f t="shared" si="22"/>
        <v>0</v>
      </c>
      <c r="Q66" s="2">
        <f t="shared" si="22"/>
        <v>0</v>
      </c>
      <c r="R66" s="2">
        <f t="shared" si="22"/>
        <v>0</v>
      </c>
      <c r="S66" s="2">
        <f t="shared" si="22"/>
        <v>0</v>
      </c>
      <c r="T66" s="2">
        <f t="shared" si="22"/>
        <v>0</v>
      </c>
      <c r="U66" s="2">
        <f t="shared" si="22"/>
        <v>34965.79</v>
      </c>
      <c r="V66" s="20">
        <f>C66</f>
        <v>2269053.58</v>
      </c>
    </row>
    <row r="67" spans="1:22" ht="25.15" customHeight="1" x14ac:dyDescent="0.25">
      <c r="A67" s="21" t="s">
        <v>968</v>
      </c>
      <c r="B67" s="24" t="s">
        <v>153</v>
      </c>
      <c r="C67" s="2">
        <f>D67+L67+N67+P67+R67+S67+T67+U67</f>
        <v>2269053.58</v>
      </c>
      <c r="D67" s="3">
        <f>SUM(E67:J67)</f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4">
        <v>0</v>
      </c>
      <c r="L67" s="3">
        <v>0</v>
      </c>
      <c r="M67" s="3">
        <v>710</v>
      </c>
      <c r="N67" s="3">
        <v>2234087.79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34965.79</v>
      </c>
      <c r="V67" s="5">
        <f>N67/M67</f>
        <v>3146.6025211267606</v>
      </c>
    </row>
    <row r="68" spans="1:22" ht="40.15" customHeight="1" x14ac:dyDescent="0.25">
      <c r="A68" s="51" t="s">
        <v>154</v>
      </c>
      <c r="B68" s="51"/>
      <c r="C68" s="2">
        <f>SUM(C69:C85)</f>
        <v>94628257.640000015</v>
      </c>
      <c r="D68" s="2">
        <f t="shared" ref="D68:M68" si="23">SUM(D70:D85)</f>
        <v>23558992.600000001</v>
      </c>
      <c r="E68" s="2">
        <f t="shared" si="23"/>
        <v>3114461.6900000004</v>
      </c>
      <c r="F68" s="2">
        <f t="shared" si="23"/>
        <v>12001018.830000002</v>
      </c>
      <c r="G68" s="2">
        <f t="shared" si="23"/>
        <v>1803595.94</v>
      </c>
      <c r="H68" s="2">
        <f t="shared" si="23"/>
        <v>4526478.5600000005</v>
      </c>
      <c r="I68" s="2">
        <f t="shared" si="23"/>
        <v>2113437.58</v>
      </c>
      <c r="J68" s="2">
        <f t="shared" si="23"/>
        <v>0</v>
      </c>
      <c r="K68" s="18">
        <f t="shared" si="23"/>
        <v>0</v>
      </c>
      <c r="L68" s="2">
        <f t="shared" si="23"/>
        <v>0</v>
      </c>
      <c r="M68" s="2">
        <f t="shared" si="23"/>
        <v>7767.29</v>
      </c>
      <c r="N68" s="2">
        <f>SUM(N69:N85)</f>
        <v>32004630.640000001</v>
      </c>
      <c r="O68" s="2">
        <f>SUM(O70:O85)</f>
        <v>0</v>
      </c>
      <c r="P68" s="2">
        <f>SUM(P70:P85)</f>
        <v>0</v>
      </c>
      <c r="Q68" s="2">
        <f>SUM(Q70:Q85)</f>
        <v>12887.32</v>
      </c>
      <c r="R68" s="2">
        <f>SUM(R69:R85)</f>
        <v>36515734.180000007</v>
      </c>
      <c r="S68" s="2">
        <f>SUM(S70:S85)</f>
        <v>0</v>
      </c>
      <c r="T68" s="2">
        <f>SUM(T70:T85)</f>
        <v>0</v>
      </c>
      <c r="U68" s="2">
        <f>SUM(U69:U85)</f>
        <v>2548900.2199999997</v>
      </c>
      <c r="V68" s="20">
        <f>C68+C362+C788</f>
        <v>320635878.10000002</v>
      </c>
    </row>
    <row r="69" spans="1:22" ht="24" customHeight="1" x14ac:dyDescent="0.25">
      <c r="A69" s="21" t="s">
        <v>994</v>
      </c>
      <c r="B69" s="25" t="s">
        <v>156</v>
      </c>
      <c r="C69" s="2">
        <f t="shared" ref="C69:C85" si="24">D69+L69+N69+P69+R69+S69+T69+U69</f>
        <v>15306941.550000001</v>
      </c>
      <c r="D69" s="3">
        <f t="shared" ref="D69:D85" si="25">SUM(E69:J69)</f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4">
        <v>0</v>
      </c>
      <c r="L69" s="3">
        <v>0</v>
      </c>
      <c r="M69" s="3">
        <v>1739.49</v>
      </c>
      <c r="N69" s="3">
        <v>4959902.4000000004</v>
      </c>
      <c r="O69" s="3">
        <v>0</v>
      </c>
      <c r="P69" s="3">
        <v>0</v>
      </c>
      <c r="Q69" s="13">
        <v>3485</v>
      </c>
      <c r="R69" s="3">
        <v>10155964.800000001</v>
      </c>
      <c r="S69" s="3">
        <v>0</v>
      </c>
      <c r="T69" s="3">
        <v>0</v>
      </c>
      <c r="U69" s="3">
        <v>191074.35</v>
      </c>
      <c r="V69" s="5">
        <f t="shared" ref="V69:V85" si="26">N69/M69</f>
        <v>2851.3543624855565</v>
      </c>
    </row>
    <row r="70" spans="1:22" ht="24" customHeight="1" x14ac:dyDescent="0.25">
      <c r="A70" s="21" t="s">
        <v>995</v>
      </c>
      <c r="B70" s="25" t="s">
        <v>157</v>
      </c>
      <c r="C70" s="2">
        <f t="shared" si="24"/>
        <v>16536342.01</v>
      </c>
      <c r="D70" s="3">
        <f t="shared" si="25"/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4">
        <v>0</v>
      </c>
      <c r="L70" s="3">
        <v>0</v>
      </c>
      <c r="M70" s="3">
        <v>1338.87</v>
      </c>
      <c r="N70" s="3">
        <v>3764455.14</v>
      </c>
      <c r="O70" s="3">
        <v>0</v>
      </c>
      <c r="P70" s="3">
        <v>0</v>
      </c>
      <c r="Q70" s="13">
        <v>6041.48</v>
      </c>
      <c r="R70" s="3">
        <v>12572886.859999999</v>
      </c>
      <c r="S70" s="3">
        <v>0</v>
      </c>
      <c r="T70" s="3">
        <v>0</v>
      </c>
      <c r="U70" s="3">
        <v>199000.01</v>
      </c>
      <c r="V70" s="5">
        <f t="shared" si="26"/>
        <v>2811.6659122991782</v>
      </c>
    </row>
    <row r="71" spans="1:22" ht="24" customHeight="1" x14ac:dyDescent="0.25">
      <c r="A71" s="21" t="s">
        <v>996</v>
      </c>
      <c r="B71" s="25" t="s">
        <v>160</v>
      </c>
      <c r="C71" s="2">
        <f t="shared" si="24"/>
        <v>12696722.070000002</v>
      </c>
      <c r="D71" s="3">
        <f t="shared" si="25"/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4">
        <v>0</v>
      </c>
      <c r="L71" s="3">
        <v>0</v>
      </c>
      <c r="M71" s="3">
        <v>1580.96</v>
      </c>
      <c r="N71" s="3">
        <v>4992225.04</v>
      </c>
      <c r="O71" s="3">
        <v>0</v>
      </c>
      <c r="P71" s="3">
        <v>0</v>
      </c>
      <c r="Q71" s="13">
        <v>3570.84</v>
      </c>
      <c r="R71" s="3">
        <v>7518300.4000000004</v>
      </c>
      <c r="S71" s="3">
        <v>0</v>
      </c>
      <c r="T71" s="3">
        <v>0</v>
      </c>
      <c r="U71" s="3">
        <v>186196.63</v>
      </c>
      <c r="V71" s="5">
        <f t="shared" si="26"/>
        <v>3157.7174881084911</v>
      </c>
    </row>
    <row r="72" spans="1:22" ht="24" customHeight="1" x14ac:dyDescent="0.25">
      <c r="A72" s="21" t="s">
        <v>997</v>
      </c>
      <c r="B72" s="25" t="s">
        <v>161</v>
      </c>
      <c r="C72" s="2">
        <f t="shared" si="24"/>
        <v>15553270.66</v>
      </c>
      <c r="D72" s="3">
        <f t="shared" si="25"/>
        <v>10651150.620000001</v>
      </c>
      <c r="E72" s="3">
        <v>2086057.91</v>
      </c>
      <c r="F72" s="3">
        <v>5166607.25</v>
      </c>
      <c r="G72" s="3">
        <v>705614.98</v>
      </c>
      <c r="H72" s="3">
        <v>1961688.56</v>
      </c>
      <c r="I72" s="3">
        <v>731181.92</v>
      </c>
      <c r="J72" s="3">
        <f>350*0</f>
        <v>0</v>
      </c>
      <c r="K72" s="4">
        <v>0</v>
      </c>
      <c r="L72" s="3">
        <v>0</v>
      </c>
      <c r="M72" s="3">
        <v>1476.41</v>
      </c>
      <c r="N72" s="3">
        <v>4704120.04</v>
      </c>
      <c r="O72" s="3">
        <v>0</v>
      </c>
      <c r="P72" s="3">
        <v>0</v>
      </c>
      <c r="Q72" s="13">
        <v>0</v>
      </c>
      <c r="R72" s="3">
        <v>0</v>
      </c>
      <c r="S72" s="3">
        <v>0</v>
      </c>
      <c r="T72" s="3">
        <v>0</v>
      </c>
      <c r="U72" s="3">
        <v>198000</v>
      </c>
      <c r="V72" s="5">
        <f t="shared" si="26"/>
        <v>3186.1881455693201</v>
      </c>
    </row>
    <row r="73" spans="1:22" ht="24" customHeight="1" x14ac:dyDescent="0.25">
      <c r="A73" s="21" t="s">
        <v>998</v>
      </c>
      <c r="B73" s="25" t="s">
        <v>158</v>
      </c>
      <c r="C73" s="2">
        <f t="shared" si="24"/>
        <v>3384995.6</v>
      </c>
      <c r="D73" s="3">
        <f t="shared" si="25"/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4">
        <v>0</v>
      </c>
      <c r="L73" s="3">
        <v>0</v>
      </c>
      <c r="M73" s="3">
        <v>1032.0999999999999</v>
      </c>
      <c r="N73" s="3">
        <v>3289346.4</v>
      </c>
      <c r="O73" s="3">
        <v>0</v>
      </c>
      <c r="P73" s="3">
        <v>0</v>
      </c>
      <c r="Q73" s="13">
        <v>0</v>
      </c>
      <c r="R73" s="3">
        <v>0</v>
      </c>
      <c r="S73" s="3">
        <v>0</v>
      </c>
      <c r="T73" s="3">
        <v>0</v>
      </c>
      <c r="U73" s="3">
        <v>95649.2</v>
      </c>
      <c r="V73" s="5">
        <f t="shared" si="26"/>
        <v>3187.0423408584443</v>
      </c>
    </row>
    <row r="74" spans="1:22" ht="24" customHeight="1" x14ac:dyDescent="0.25">
      <c r="A74" s="21" t="s">
        <v>999</v>
      </c>
      <c r="B74" s="25" t="s">
        <v>159</v>
      </c>
      <c r="C74" s="2">
        <f t="shared" si="24"/>
        <v>9965702</v>
      </c>
      <c r="D74" s="3">
        <f t="shared" si="25"/>
        <v>9765702</v>
      </c>
      <c r="E74" s="3">
        <v>0</v>
      </c>
      <c r="F74" s="3">
        <v>5235004.8</v>
      </c>
      <c r="G74" s="3">
        <v>919459.2</v>
      </c>
      <c r="H74" s="3">
        <v>2564790</v>
      </c>
      <c r="I74" s="3">
        <v>1046448</v>
      </c>
      <c r="J74" s="3">
        <f>350*0</f>
        <v>0</v>
      </c>
      <c r="K74" s="4">
        <v>0</v>
      </c>
      <c r="L74" s="3">
        <v>0</v>
      </c>
      <c r="M74" s="3">
        <v>0</v>
      </c>
      <c r="N74" s="3">
        <f>M74*3300</f>
        <v>0</v>
      </c>
      <c r="O74" s="3">
        <v>0</v>
      </c>
      <c r="P74" s="3">
        <v>0</v>
      </c>
      <c r="Q74" s="13">
        <v>0</v>
      </c>
      <c r="R74" s="3">
        <f>Q74*2605</f>
        <v>0</v>
      </c>
      <c r="S74" s="3">
        <v>0</v>
      </c>
      <c r="T74" s="3">
        <v>0</v>
      </c>
      <c r="U74" s="3">
        <v>200000</v>
      </c>
      <c r="V74" s="5" t="e">
        <f t="shared" si="26"/>
        <v>#DIV/0!</v>
      </c>
    </row>
    <row r="75" spans="1:22" ht="24" customHeight="1" x14ac:dyDescent="0.25">
      <c r="A75" s="21" t="s">
        <v>1000</v>
      </c>
      <c r="B75" s="1" t="s">
        <v>162</v>
      </c>
      <c r="C75" s="2">
        <f t="shared" si="24"/>
        <v>2190763.4900000002</v>
      </c>
      <c r="D75" s="3">
        <f t="shared" si="25"/>
        <v>246557.52</v>
      </c>
      <c r="E75" s="3">
        <v>113918.51</v>
      </c>
      <c r="F75" s="3">
        <v>103701.71</v>
      </c>
      <c r="G75" s="3">
        <v>18613.580000000002</v>
      </c>
      <c r="H75" s="3">
        <v>0</v>
      </c>
      <c r="I75" s="3">
        <v>10323.719999999999</v>
      </c>
      <c r="J75" s="3">
        <f>350*0</f>
        <v>0</v>
      </c>
      <c r="K75" s="4">
        <v>0</v>
      </c>
      <c r="L75" s="3">
        <v>0</v>
      </c>
      <c r="M75" s="3">
        <v>268</v>
      </c>
      <c r="N75" s="3">
        <v>1108047.6000000001</v>
      </c>
      <c r="O75" s="3">
        <v>0</v>
      </c>
      <c r="P75" s="3">
        <v>0</v>
      </c>
      <c r="Q75" s="13">
        <v>520</v>
      </c>
      <c r="R75" s="3">
        <v>651824.71</v>
      </c>
      <c r="S75" s="3">
        <f>S876</f>
        <v>0</v>
      </c>
      <c r="T75" s="3">
        <v>0</v>
      </c>
      <c r="U75" s="3">
        <v>184333.66</v>
      </c>
      <c r="V75" s="5">
        <f t="shared" si="26"/>
        <v>4134.5059701492537</v>
      </c>
    </row>
    <row r="76" spans="1:22" ht="24" customHeight="1" x14ac:dyDescent="0.25">
      <c r="A76" s="21" t="s">
        <v>1001</v>
      </c>
      <c r="B76" s="1" t="s">
        <v>163</v>
      </c>
      <c r="C76" s="2">
        <f t="shared" si="24"/>
        <v>2306617.94</v>
      </c>
      <c r="D76" s="3">
        <f t="shared" si="25"/>
        <v>254595.78999999998</v>
      </c>
      <c r="E76" s="3">
        <v>188278.99</v>
      </c>
      <c r="F76" s="3">
        <f>800*0</f>
        <v>0</v>
      </c>
      <c r="G76" s="3">
        <v>17206.8</v>
      </c>
      <c r="H76" s="3">
        <f>500*0</f>
        <v>0</v>
      </c>
      <c r="I76" s="3">
        <v>49110</v>
      </c>
      <c r="J76" s="3">
        <f>350*0</f>
        <v>0</v>
      </c>
      <c r="K76" s="4">
        <v>0</v>
      </c>
      <c r="L76" s="3">
        <v>0</v>
      </c>
      <c r="M76" s="3">
        <v>276.5</v>
      </c>
      <c r="N76" s="3">
        <v>1059726</v>
      </c>
      <c r="O76" s="3">
        <v>0</v>
      </c>
      <c r="P76" s="3">
        <v>0</v>
      </c>
      <c r="Q76" s="3">
        <v>450</v>
      </c>
      <c r="R76" s="3">
        <v>827373.6</v>
      </c>
      <c r="S76" s="3">
        <f>S910</f>
        <v>0</v>
      </c>
      <c r="T76" s="3">
        <v>0</v>
      </c>
      <c r="U76" s="3">
        <v>164922.54999999999</v>
      </c>
      <c r="V76" s="5">
        <f t="shared" si="26"/>
        <v>3832.6437613019893</v>
      </c>
    </row>
    <row r="77" spans="1:22" ht="24" customHeight="1" x14ac:dyDescent="0.25">
      <c r="A77" s="21" t="s">
        <v>1002</v>
      </c>
      <c r="B77" s="1" t="s">
        <v>796</v>
      </c>
      <c r="C77" s="2">
        <f t="shared" si="24"/>
        <v>58827.5</v>
      </c>
      <c r="D77" s="3">
        <f t="shared" si="25"/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4">
        <v>0</v>
      </c>
      <c r="L77" s="3">
        <v>0</v>
      </c>
      <c r="M77" s="3">
        <v>0</v>
      </c>
      <c r="N77" s="3">
        <f>M77*5300</f>
        <v>0</v>
      </c>
      <c r="O77" s="3">
        <v>0</v>
      </c>
      <c r="P77" s="3">
        <f>O77*410</f>
        <v>0</v>
      </c>
      <c r="Q77" s="3">
        <v>0</v>
      </c>
      <c r="R77" s="3">
        <f>Q77*2605</f>
        <v>0</v>
      </c>
      <c r="S77" s="3">
        <v>0</v>
      </c>
      <c r="T77" s="3">
        <v>0</v>
      </c>
      <c r="U77" s="3">
        <v>58827.5</v>
      </c>
      <c r="V77" s="5" t="e">
        <f t="shared" si="26"/>
        <v>#DIV/0!</v>
      </c>
    </row>
    <row r="78" spans="1:22" ht="24" customHeight="1" x14ac:dyDescent="0.25">
      <c r="A78" s="21" t="s">
        <v>1003</v>
      </c>
      <c r="B78" s="1" t="s">
        <v>164</v>
      </c>
      <c r="C78" s="2">
        <f t="shared" si="24"/>
        <v>5261291.6399999997</v>
      </c>
      <c r="D78" s="3">
        <f t="shared" si="25"/>
        <v>765959.44</v>
      </c>
      <c r="E78" s="3">
        <v>182430.47</v>
      </c>
      <c r="F78" s="3">
        <v>411937.81</v>
      </c>
      <c r="G78" s="3">
        <v>70034.98</v>
      </c>
      <c r="H78" s="3">
        <f>500*0</f>
        <v>0</v>
      </c>
      <c r="I78" s="3">
        <v>101556.18</v>
      </c>
      <c r="J78" s="3">
        <f>350*0</f>
        <v>0</v>
      </c>
      <c r="K78" s="4">
        <v>0</v>
      </c>
      <c r="L78" s="3">
        <v>0</v>
      </c>
      <c r="M78" s="3">
        <v>595</v>
      </c>
      <c r="N78" s="3">
        <v>2692274.11</v>
      </c>
      <c r="O78" s="3">
        <v>0</v>
      </c>
      <c r="P78" s="3">
        <v>0</v>
      </c>
      <c r="Q78" s="3">
        <v>761</v>
      </c>
      <c r="R78" s="3">
        <v>1605058.09</v>
      </c>
      <c r="S78" s="3">
        <f>S911</f>
        <v>0</v>
      </c>
      <c r="T78" s="3">
        <v>0</v>
      </c>
      <c r="U78" s="3">
        <v>198000</v>
      </c>
      <c r="V78" s="5">
        <f t="shared" si="26"/>
        <v>4524.8304369747893</v>
      </c>
    </row>
    <row r="79" spans="1:22" ht="24" customHeight="1" x14ac:dyDescent="0.25">
      <c r="A79" s="21" t="s">
        <v>1004</v>
      </c>
      <c r="B79" s="1" t="s">
        <v>165</v>
      </c>
      <c r="C79" s="2">
        <f t="shared" si="24"/>
        <v>7324935.5599999996</v>
      </c>
      <c r="D79" s="3">
        <f t="shared" si="25"/>
        <v>1668226.43</v>
      </c>
      <c r="E79" s="3">
        <v>336975.01</v>
      </c>
      <c r="F79" s="3">
        <v>1083767.26</v>
      </c>
      <c r="G79" s="3">
        <v>72666.399999999994</v>
      </c>
      <c r="H79" s="3">
        <f>500*0</f>
        <v>0</v>
      </c>
      <c r="I79" s="3">
        <v>174817.76</v>
      </c>
      <c r="J79" s="3">
        <f>350*0</f>
        <v>0</v>
      </c>
      <c r="K79" s="4">
        <v>0</v>
      </c>
      <c r="L79" s="3">
        <v>0</v>
      </c>
      <c r="M79" s="3">
        <v>820</v>
      </c>
      <c r="N79" s="3">
        <v>3423448.91</v>
      </c>
      <c r="O79" s="3">
        <v>0</v>
      </c>
      <c r="P79" s="3">
        <f>O79*410</f>
        <v>0</v>
      </c>
      <c r="Q79" s="3">
        <v>1040</v>
      </c>
      <c r="R79" s="3">
        <v>2035260.22</v>
      </c>
      <c r="S79" s="3">
        <f>S912</f>
        <v>0</v>
      </c>
      <c r="T79" s="3">
        <v>0</v>
      </c>
      <c r="U79" s="3">
        <v>198000</v>
      </c>
      <c r="V79" s="5">
        <f t="shared" si="26"/>
        <v>4174.937695121951</v>
      </c>
    </row>
    <row r="80" spans="1:22" ht="24" customHeight="1" x14ac:dyDescent="0.25">
      <c r="A80" s="21" t="s">
        <v>1005</v>
      </c>
      <c r="B80" s="1" t="s">
        <v>166</v>
      </c>
      <c r="C80" s="2">
        <f t="shared" si="24"/>
        <v>124764.64</v>
      </c>
      <c r="D80" s="3">
        <f t="shared" si="25"/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4">
        <v>0</v>
      </c>
      <c r="L80" s="3">
        <v>0</v>
      </c>
      <c r="M80" s="3">
        <v>0</v>
      </c>
      <c r="N80" s="3">
        <v>0</v>
      </c>
      <c r="O80" s="3">
        <v>0</v>
      </c>
      <c r="P80" s="3">
        <f>O80*410</f>
        <v>0</v>
      </c>
      <c r="Q80" s="3">
        <v>0</v>
      </c>
      <c r="R80" s="3">
        <f>Q80*2605</f>
        <v>0</v>
      </c>
      <c r="S80" s="3">
        <v>0</v>
      </c>
      <c r="T80" s="3">
        <v>0</v>
      </c>
      <c r="U80" s="3">
        <v>124764.64</v>
      </c>
      <c r="V80" s="5" t="e">
        <f t="shared" si="26"/>
        <v>#DIV/0!</v>
      </c>
    </row>
    <row r="81" spans="1:22" ht="24" customHeight="1" x14ac:dyDescent="0.25">
      <c r="A81" s="21" t="s">
        <v>1006</v>
      </c>
      <c r="B81" s="1" t="s">
        <v>167</v>
      </c>
      <c r="C81" s="2">
        <f t="shared" si="24"/>
        <v>3505682.2199999997</v>
      </c>
      <c r="D81" s="3">
        <f t="shared" si="25"/>
        <v>206800.8</v>
      </c>
      <c r="E81" s="3">
        <v>206800.8</v>
      </c>
      <c r="F81" s="3">
        <v>0</v>
      </c>
      <c r="G81" s="3">
        <v>0</v>
      </c>
      <c r="H81" s="3">
        <f>500*0</f>
        <v>0</v>
      </c>
      <c r="I81" s="3">
        <v>0</v>
      </c>
      <c r="J81" s="3">
        <f>350*0</f>
        <v>0</v>
      </c>
      <c r="K81" s="4">
        <v>0</v>
      </c>
      <c r="L81" s="3">
        <v>0</v>
      </c>
      <c r="M81" s="3">
        <v>379.45</v>
      </c>
      <c r="N81" s="3">
        <f>M81*5300</f>
        <v>2011085</v>
      </c>
      <c r="O81" s="3">
        <v>0</v>
      </c>
      <c r="P81" s="3">
        <v>0</v>
      </c>
      <c r="Q81" s="3">
        <v>504</v>
      </c>
      <c r="R81" s="3">
        <v>1149065.5</v>
      </c>
      <c r="S81" s="3">
        <v>0</v>
      </c>
      <c r="T81" s="3">
        <v>0</v>
      </c>
      <c r="U81" s="3">
        <v>138730.92000000001</v>
      </c>
      <c r="V81" s="5">
        <f t="shared" si="26"/>
        <v>5300</v>
      </c>
    </row>
    <row r="82" spans="1:22" ht="24" customHeight="1" x14ac:dyDescent="0.25">
      <c r="A82" s="21" t="s">
        <v>1007</v>
      </c>
      <c r="B82" s="1" t="s">
        <v>168</v>
      </c>
      <c r="C82" s="2">
        <f t="shared" si="24"/>
        <v>140954.04</v>
      </c>
      <c r="D82" s="3">
        <f t="shared" si="25"/>
        <v>0</v>
      </c>
      <c r="E82" s="3">
        <v>0</v>
      </c>
      <c r="F82" s="3">
        <v>0</v>
      </c>
      <c r="G82" s="3">
        <v>0</v>
      </c>
      <c r="H82" s="3">
        <f>500*0</f>
        <v>0</v>
      </c>
      <c r="I82" s="3">
        <v>0</v>
      </c>
      <c r="J82" s="3">
        <f>350*0</f>
        <v>0</v>
      </c>
      <c r="K82" s="4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f>S854</f>
        <v>0</v>
      </c>
      <c r="T82" s="3">
        <v>0</v>
      </c>
      <c r="U82" s="3">
        <v>140954.04</v>
      </c>
      <c r="V82" s="5" t="e">
        <f t="shared" si="26"/>
        <v>#DIV/0!</v>
      </c>
    </row>
    <row r="83" spans="1:22" ht="24" customHeight="1" x14ac:dyDescent="0.25">
      <c r="A83" s="21" t="s">
        <v>1008</v>
      </c>
      <c r="B83" s="25" t="s">
        <v>169</v>
      </c>
      <c r="C83" s="2">
        <f t="shared" si="24"/>
        <v>52206.080000000002</v>
      </c>
      <c r="D83" s="3">
        <f t="shared" si="25"/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4">
        <v>0</v>
      </c>
      <c r="L83" s="3">
        <v>0</v>
      </c>
      <c r="M83" s="3">
        <v>0</v>
      </c>
      <c r="N83" s="3">
        <f>M83*5300</f>
        <v>0</v>
      </c>
      <c r="O83" s="3">
        <v>0</v>
      </c>
      <c r="P83" s="3">
        <v>0</v>
      </c>
      <c r="Q83" s="3">
        <v>0</v>
      </c>
      <c r="R83" s="3">
        <f>Q83*2605</f>
        <v>0</v>
      </c>
      <c r="S83" s="3">
        <f>S855</f>
        <v>0</v>
      </c>
      <c r="T83" s="3">
        <v>0</v>
      </c>
      <c r="U83" s="3">
        <v>52206.080000000002</v>
      </c>
      <c r="V83" s="5" t="e">
        <f t="shared" si="26"/>
        <v>#DIV/0!</v>
      </c>
    </row>
    <row r="84" spans="1:22" ht="24" customHeight="1" x14ac:dyDescent="0.25">
      <c r="A84" s="21" t="s">
        <v>1009</v>
      </c>
      <c r="B84" s="25" t="s">
        <v>170</v>
      </c>
      <c r="C84" s="2">
        <f t="shared" si="24"/>
        <v>49933.51</v>
      </c>
      <c r="D84" s="3">
        <f t="shared" si="25"/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4">
        <v>0</v>
      </c>
      <c r="L84" s="3">
        <v>0</v>
      </c>
      <c r="M84" s="3">
        <v>0</v>
      </c>
      <c r="N84" s="3">
        <f>M84*5300</f>
        <v>0</v>
      </c>
      <c r="O84" s="3">
        <v>0</v>
      </c>
      <c r="P84" s="3">
        <v>0</v>
      </c>
      <c r="Q84" s="3">
        <v>0</v>
      </c>
      <c r="R84" s="3">
        <f>Q84*2605</f>
        <v>0</v>
      </c>
      <c r="S84" s="3">
        <f>S856</f>
        <v>0</v>
      </c>
      <c r="T84" s="3">
        <v>0</v>
      </c>
      <c r="U84" s="3">
        <v>49933.51</v>
      </c>
      <c r="V84" s="5" t="e">
        <f t="shared" si="26"/>
        <v>#DIV/0!</v>
      </c>
    </row>
    <row r="85" spans="1:22" ht="24" customHeight="1" x14ac:dyDescent="0.25">
      <c r="A85" s="21" t="s">
        <v>1010</v>
      </c>
      <c r="B85" s="24" t="s">
        <v>860</v>
      </c>
      <c r="C85" s="2">
        <f t="shared" si="24"/>
        <v>168307.13</v>
      </c>
      <c r="D85" s="3">
        <f t="shared" si="25"/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4">
        <v>0</v>
      </c>
      <c r="L85" s="3">
        <v>0</v>
      </c>
      <c r="M85" s="13">
        <v>0</v>
      </c>
      <c r="N85" s="1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168307.13</v>
      </c>
      <c r="V85" s="5" t="e">
        <f t="shared" si="26"/>
        <v>#DIV/0!</v>
      </c>
    </row>
    <row r="86" spans="1:22" ht="45" customHeight="1" x14ac:dyDescent="0.25">
      <c r="A86" s="51" t="s">
        <v>210</v>
      </c>
      <c r="B86" s="51"/>
      <c r="C86" s="2">
        <f t="shared" ref="C86:U86" si="27">SUM(C87:C88)</f>
        <v>2602069.1</v>
      </c>
      <c r="D86" s="2">
        <f t="shared" si="27"/>
        <v>454084.26000000007</v>
      </c>
      <c r="E86" s="2">
        <f t="shared" si="27"/>
        <v>145809.64000000001</v>
      </c>
      <c r="F86" s="2">
        <f t="shared" si="27"/>
        <v>202522</v>
      </c>
      <c r="G86" s="2">
        <f t="shared" si="27"/>
        <v>48192.91</v>
      </c>
      <c r="H86" s="2">
        <f t="shared" si="27"/>
        <v>0</v>
      </c>
      <c r="I86" s="2">
        <f t="shared" si="27"/>
        <v>57559.71</v>
      </c>
      <c r="J86" s="2">
        <f t="shared" si="27"/>
        <v>0</v>
      </c>
      <c r="K86" s="18">
        <f t="shared" si="27"/>
        <v>0</v>
      </c>
      <c r="L86" s="2">
        <f t="shared" si="27"/>
        <v>0</v>
      </c>
      <c r="M86" s="2">
        <f t="shared" si="27"/>
        <v>240</v>
      </c>
      <c r="N86" s="2">
        <f t="shared" si="27"/>
        <v>1032050.92</v>
      </c>
      <c r="O86" s="2">
        <f t="shared" si="27"/>
        <v>0</v>
      </c>
      <c r="P86" s="2">
        <f t="shared" si="27"/>
        <v>0</v>
      </c>
      <c r="Q86" s="2">
        <f t="shared" si="27"/>
        <v>408.6</v>
      </c>
      <c r="R86" s="2">
        <f t="shared" si="27"/>
        <v>1063447.25</v>
      </c>
      <c r="S86" s="2">
        <f t="shared" si="27"/>
        <v>0</v>
      </c>
      <c r="T86" s="2">
        <f t="shared" si="27"/>
        <v>0</v>
      </c>
      <c r="U86" s="2">
        <f t="shared" si="27"/>
        <v>52486.67</v>
      </c>
      <c r="V86" s="20">
        <f>C86+C806</f>
        <v>6997013.0999999996</v>
      </c>
    </row>
    <row r="87" spans="1:22" ht="25.15" customHeight="1" x14ac:dyDescent="0.25">
      <c r="A87" s="21" t="s">
        <v>1011</v>
      </c>
      <c r="B87" s="24" t="s">
        <v>211</v>
      </c>
      <c r="C87" s="2">
        <f>D87+L87+N87+P87+R87+S87+T87+U87</f>
        <v>2549582.4300000002</v>
      </c>
      <c r="D87" s="3">
        <f>SUM(E87:J87)</f>
        <v>454084.26000000007</v>
      </c>
      <c r="E87" s="3">
        <v>145809.64000000001</v>
      </c>
      <c r="F87" s="3">
        <v>202522</v>
      </c>
      <c r="G87" s="3">
        <v>48192.91</v>
      </c>
      <c r="H87" s="3">
        <v>0</v>
      </c>
      <c r="I87" s="3">
        <v>57559.71</v>
      </c>
      <c r="J87" s="3">
        <f>350*0</f>
        <v>0</v>
      </c>
      <c r="K87" s="4">
        <v>0</v>
      </c>
      <c r="L87" s="3">
        <v>0</v>
      </c>
      <c r="M87" s="3">
        <v>240</v>
      </c>
      <c r="N87" s="3">
        <v>1032050.92</v>
      </c>
      <c r="O87" s="3">
        <v>0</v>
      </c>
      <c r="P87" s="3">
        <v>0</v>
      </c>
      <c r="Q87" s="3">
        <v>408.6</v>
      </c>
      <c r="R87" s="3">
        <v>1063447.25</v>
      </c>
      <c r="S87" s="3">
        <v>0</v>
      </c>
      <c r="T87" s="3">
        <v>0</v>
      </c>
      <c r="U87" s="3">
        <v>0</v>
      </c>
      <c r="V87" s="5">
        <f>N87/M87</f>
        <v>4300.2121666666671</v>
      </c>
    </row>
    <row r="88" spans="1:22" ht="25.15" customHeight="1" x14ac:dyDescent="0.25">
      <c r="A88" s="21" t="s">
        <v>1012</v>
      </c>
      <c r="B88" s="24" t="s">
        <v>212</v>
      </c>
      <c r="C88" s="2">
        <f>D88+L88+N88+P88+R88+S88+T88+U88</f>
        <v>52486.67</v>
      </c>
      <c r="D88" s="3">
        <f>SUM(E88:J88)</f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4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52486.67</v>
      </c>
      <c r="V88" s="5" t="e">
        <f>N88/M88</f>
        <v>#DIV/0!</v>
      </c>
    </row>
    <row r="89" spans="1:22" ht="40.15" customHeight="1" x14ac:dyDescent="0.25">
      <c r="A89" s="51" t="s">
        <v>209</v>
      </c>
      <c r="B89" s="51"/>
      <c r="C89" s="2">
        <f t="shared" ref="C89:U89" si="28">SUM(C90:C95)</f>
        <v>5065932.63</v>
      </c>
      <c r="D89" s="2">
        <f t="shared" si="28"/>
        <v>203812.47</v>
      </c>
      <c r="E89" s="2">
        <f t="shared" si="28"/>
        <v>203812.47</v>
      </c>
      <c r="F89" s="2">
        <f t="shared" si="28"/>
        <v>0</v>
      </c>
      <c r="G89" s="2">
        <f t="shared" si="28"/>
        <v>0</v>
      </c>
      <c r="H89" s="2">
        <f t="shared" si="28"/>
        <v>0</v>
      </c>
      <c r="I89" s="2">
        <f t="shared" si="28"/>
        <v>0</v>
      </c>
      <c r="J89" s="2">
        <f t="shared" si="28"/>
        <v>0</v>
      </c>
      <c r="K89" s="18">
        <f t="shared" si="28"/>
        <v>0</v>
      </c>
      <c r="L89" s="2">
        <f t="shared" si="28"/>
        <v>0</v>
      </c>
      <c r="M89" s="2">
        <f t="shared" si="28"/>
        <v>370</v>
      </c>
      <c r="N89" s="2">
        <f t="shared" si="28"/>
        <v>1939364.18</v>
      </c>
      <c r="O89" s="2">
        <f t="shared" si="28"/>
        <v>0</v>
      </c>
      <c r="P89" s="2">
        <f t="shared" si="28"/>
        <v>0</v>
      </c>
      <c r="Q89" s="2">
        <f t="shared" si="28"/>
        <v>1390.05</v>
      </c>
      <c r="R89" s="2">
        <f t="shared" si="28"/>
        <v>2774118.74</v>
      </c>
      <c r="S89" s="2">
        <f t="shared" si="28"/>
        <v>0</v>
      </c>
      <c r="T89" s="2">
        <f t="shared" si="28"/>
        <v>0</v>
      </c>
      <c r="U89" s="2">
        <f t="shared" si="28"/>
        <v>148637.24</v>
      </c>
      <c r="V89" s="20">
        <f>C89+C382+C808</f>
        <v>54068179.509999998</v>
      </c>
    </row>
    <row r="90" spans="1:22" ht="25.15" customHeight="1" x14ac:dyDescent="0.25">
      <c r="A90" s="21" t="s">
        <v>1013</v>
      </c>
      <c r="B90" s="24" t="s">
        <v>200</v>
      </c>
      <c r="C90" s="2">
        <f t="shared" ref="C90:C95" si="29">D90+L90+N90+P90+R90+S90+T90+U90</f>
        <v>61829.57</v>
      </c>
      <c r="D90" s="3">
        <f t="shared" ref="D90:D95" si="30">SUM(E90:J90)</f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4">
        <v>0</v>
      </c>
      <c r="L90" s="3">
        <v>0</v>
      </c>
      <c r="M90" s="13">
        <v>0</v>
      </c>
      <c r="N90" s="1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61829.57</v>
      </c>
      <c r="V90" s="5" t="e">
        <f t="shared" ref="V90:V95" si="31">N90/M90</f>
        <v>#DIV/0!</v>
      </c>
    </row>
    <row r="91" spans="1:22" ht="25.15" customHeight="1" x14ac:dyDescent="0.25">
      <c r="A91" s="21" t="s">
        <v>1014</v>
      </c>
      <c r="B91" s="24" t="s">
        <v>203</v>
      </c>
      <c r="C91" s="2">
        <f t="shared" si="29"/>
        <v>32637.59</v>
      </c>
      <c r="D91" s="3">
        <f t="shared" si="30"/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4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32637.59</v>
      </c>
      <c r="V91" s="5" t="e">
        <f t="shared" si="31"/>
        <v>#DIV/0!</v>
      </c>
    </row>
    <row r="92" spans="1:22" ht="25.15" customHeight="1" x14ac:dyDescent="0.25">
      <c r="A92" s="21" t="s">
        <v>1015</v>
      </c>
      <c r="B92" s="24" t="s">
        <v>872</v>
      </c>
      <c r="C92" s="2">
        <f t="shared" si="29"/>
        <v>1326633.6000000001</v>
      </c>
      <c r="D92" s="3">
        <f t="shared" si="30"/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4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526.04999999999995</v>
      </c>
      <c r="R92" s="3">
        <v>1326633.6000000001</v>
      </c>
      <c r="S92" s="3">
        <v>0</v>
      </c>
      <c r="T92" s="3">
        <v>0</v>
      </c>
      <c r="U92" s="3">
        <v>0</v>
      </c>
      <c r="V92" s="5" t="e">
        <f t="shared" si="31"/>
        <v>#DIV/0!</v>
      </c>
    </row>
    <row r="93" spans="1:22" ht="25.15" customHeight="1" x14ac:dyDescent="0.25">
      <c r="A93" s="21" t="s">
        <v>1016</v>
      </c>
      <c r="B93" s="24" t="s">
        <v>204</v>
      </c>
      <c r="C93" s="2">
        <f t="shared" si="29"/>
        <v>54170.080000000002</v>
      </c>
      <c r="D93" s="3">
        <f t="shared" si="30"/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4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54170.080000000002</v>
      </c>
      <c r="V93" s="5" t="e">
        <f t="shared" si="31"/>
        <v>#DIV/0!</v>
      </c>
    </row>
    <row r="94" spans="1:22" ht="25.15" customHeight="1" x14ac:dyDescent="0.25">
      <c r="A94" s="21" t="s">
        <v>1017</v>
      </c>
      <c r="B94" s="24" t="s">
        <v>873</v>
      </c>
      <c r="C94" s="2">
        <f t="shared" si="29"/>
        <v>2637062.5499999998</v>
      </c>
      <c r="D94" s="3">
        <f t="shared" si="30"/>
        <v>102147.08</v>
      </c>
      <c r="E94" s="3">
        <v>102147.08</v>
      </c>
      <c r="F94" s="3">
        <f>800*0</f>
        <v>0</v>
      </c>
      <c r="G94" s="3">
        <f>300*0</f>
        <v>0</v>
      </c>
      <c r="H94" s="3">
        <f>500*0</f>
        <v>0</v>
      </c>
      <c r="I94" s="3">
        <f>400*0</f>
        <v>0</v>
      </c>
      <c r="J94" s="3">
        <f>350*0</f>
        <v>0</v>
      </c>
      <c r="K94" s="4">
        <v>0</v>
      </c>
      <c r="L94" s="3">
        <v>0</v>
      </c>
      <c r="M94" s="13">
        <v>370</v>
      </c>
      <c r="N94" s="13">
        <v>1939364.18</v>
      </c>
      <c r="O94" s="3">
        <v>0</v>
      </c>
      <c r="P94" s="3">
        <v>0</v>
      </c>
      <c r="Q94" s="3">
        <v>432</v>
      </c>
      <c r="R94" s="3">
        <v>595551.29</v>
      </c>
      <c r="S94" s="3">
        <v>0</v>
      </c>
      <c r="T94" s="3">
        <v>0</v>
      </c>
      <c r="U94" s="3">
        <v>0</v>
      </c>
      <c r="V94" s="5">
        <f t="shared" si="31"/>
        <v>5241.5248108108108</v>
      </c>
    </row>
    <row r="95" spans="1:22" ht="25.15" customHeight="1" x14ac:dyDescent="0.25">
      <c r="A95" s="21" t="s">
        <v>1018</v>
      </c>
      <c r="B95" s="24" t="s">
        <v>874</v>
      </c>
      <c r="C95" s="2">
        <f t="shared" si="29"/>
        <v>953599.24</v>
      </c>
      <c r="D95" s="3">
        <f t="shared" si="30"/>
        <v>101665.39</v>
      </c>
      <c r="E95" s="3">
        <v>101665.39</v>
      </c>
      <c r="F95" s="3">
        <f>800*0</f>
        <v>0</v>
      </c>
      <c r="G95" s="3">
        <f>300*0</f>
        <v>0</v>
      </c>
      <c r="H95" s="3">
        <f>500*0</f>
        <v>0</v>
      </c>
      <c r="I95" s="3">
        <f>400*0</f>
        <v>0</v>
      </c>
      <c r="J95" s="3">
        <f>350*0</f>
        <v>0</v>
      </c>
      <c r="K95" s="4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13">
        <v>432</v>
      </c>
      <c r="R95" s="13">
        <v>851933.85</v>
      </c>
      <c r="S95" s="3">
        <v>0</v>
      </c>
      <c r="T95" s="3">
        <v>0</v>
      </c>
      <c r="U95" s="3">
        <v>0</v>
      </c>
      <c r="V95" s="5" t="e">
        <f t="shared" si="31"/>
        <v>#DIV/0!</v>
      </c>
    </row>
    <row r="96" spans="1:22" ht="40.15" customHeight="1" x14ac:dyDescent="0.25">
      <c r="A96" s="51" t="s">
        <v>213</v>
      </c>
      <c r="B96" s="51"/>
      <c r="C96" s="2">
        <f>SUM(C97:C103)</f>
        <v>10285380.459999999</v>
      </c>
      <c r="D96" s="2">
        <f t="shared" ref="D96:M96" si="32">SUM(D98:D103)</f>
        <v>3102953.3</v>
      </c>
      <c r="E96" s="2">
        <f t="shared" si="32"/>
        <v>359199.98</v>
      </c>
      <c r="F96" s="2">
        <f t="shared" si="32"/>
        <v>1930196.5299999998</v>
      </c>
      <c r="G96" s="2">
        <f t="shared" si="32"/>
        <v>165331.20000000001</v>
      </c>
      <c r="H96" s="2">
        <f t="shared" si="32"/>
        <v>648225.59000000008</v>
      </c>
      <c r="I96" s="2">
        <f t="shared" si="32"/>
        <v>0</v>
      </c>
      <c r="J96" s="2">
        <f t="shared" si="32"/>
        <v>0</v>
      </c>
      <c r="K96" s="18">
        <f t="shared" si="32"/>
        <v>0</v>
      </c>
      <c r="L96" s="2">
        <f t="shared" si="32"/>
        <v>0</v>
      </c>
      <c r="M96" s="2">
        <f t="shared" si="32"/>
        <v>1610</v>
      </c>
      <c r="N96" s="2">
        <f>SUM(N97:N103)</f>
        <v>5424455.4399999995</v>
      </c>
      <c r="O96" s="2">
        <f>SUM(O98:O103)</f>
        <v>0</v>
      </c>
      <c r="P96" s="2">
        <f>SUM(P98:P103)</f>
        <v>0</v>
      </c>
      <c r="Q96" s="2">
        <f>SUM(Q98:Q103)</f>
        <v>660</v>
      </c>
      <c r="R96" s="2">
        <f>SUM(R97:R103)</f>
        <v>1240574.96</v>
      </c>
      <c r="S96" s="2">
        <f>SUM(S98:S103)</f>
        <v>0</v>
      </c>
      <c r="T96" s="2">
        <f>SUM(T98:T103)</f>
        <v>0</v>
      </c>
      <c r="U96" s="2">
        <f>SUM(U97:U103)</f>
        <v>517396.75999999995</v>
      </c>
      <c r="V96" s="20">
        <f>C96+C389+C818</f>
        <v>56682914.619999997</v>
      </c>
    </row>
    <row r="97" spans="1:22" ht="25.15" customHeight="1" x14ac:dyDescent="0.25">
      <c r="A97" s="21" t="s">
        <v>1019</v>
      </c>
      <c r="B97" s="24" t="s">
        <v>219</v>
      </c>
      <c r="C97" s="2">
        <f t="shared" ref="C97:C103" si="33">D97+L97+N97+P97+R97+S97+T97+U97</f>
        <v>67931.94</v>
      </c>
      <c r="D97" s="3">
        <f t="shared" ref="D97:D103" si="34">SUM(E97:J97)</f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4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67931.94</v>
      </c>
      <c r="V97" s="5" t="e">
        <f t="shared" ref="V97:V103" si="35">N97/M97</f>
        <v>#DIV/0!</v>
      </c>
    </row>
    <row r="98" spans="1:22" ht="25.15" customHeight="1" x14ac:dyDescent="0.25">
      <c r="A98" s="21" t="s">
        <v>1020</v>
      </c>
      <c r="B98" s="24" t="s">
        <v>216</v>
      </c>
      <c r="C98" s="2">
        <f t="shared" si="33"/>
        <v>1896196.86</v>
      </c>
      <c r="D98" s="3">
        <f t="shared" si="34"/>
        <v>1767781.6900000002</v>
      </c>
      <c r="E98" s="3">
        <v>190863.89</v>
      </c>
      <c r="F98" s="3">
        <v>1171927.92</v>
      </c>
      <c r="G98" s="3">
        <v>85513.29</v>
      </c>
      <c r="H98" s="3">
        <v>319476.59000000003</v>
      </c>
      <c r="I98" s="3">
        <v>0</v>
      </c>
      <c r="J98" s="3">
        <f>350*0</f>
        <v>0</v>
      </c>
      <c r="K98" s="4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128415.17</v>
      </c>
      <c r="V98" s="5" t="e">
        <f t="shared" si="35"/>
        <v>#DIV/0!</v>
      </c>
    </row>
    <row r="99" spans="1:22" ht="25.15" customHeight="1" x14ac:dyDescent="0.25">
      <c r="A99" s="21" t="s">
        <v>1021</v>
      </c>
      <c r="B99" s="24" t="s">
        <v>217</v>
      </c>
      <c r="C99" s="2">
        <f t="shared" si="33"/>
        <v>3214200.37</v>
      </c>
      <c r="D99" s="3">
        <f t="shared" si="34"/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4">
        <v>0</v>
      </c>
      <c r="L99" s="3">
        <v>0</v>
      </c>
      <c r="M99" s="3">
        <v>1108</v>
      </c>
      <c r="N99" s="3">
        <v>3158911.08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55289.29</v>
      </c>
      <c r="V99" s="5">
        <f t="shared" si="35"/>
        <v>2851.0027797833936</v>
      </c>
    </row>
    <row r="100" spans="1:22" ht="25.15" customHeight="1" x14ac:dyDescent="0.25">
      <c r="A100" s="21" t="s">
        <v>1022</v>
      </c>
      <c r="B100" s="24" t="s">
        <v>218</v>
      </c>
      <c r="C100" s="2">
        <f t="shared" si="33"/>
        <v>1436634.3299999998</v>
      </c>
      <c r="D100" s="3">
        <f t="shared" si="34"/>
        <v>1335171.6099999999</v>
      </c>
      <c r="E100" s="3">
        <v>168336.09</v>
      </c>
      <c r="F100" s="3">
        <v>758268.61</v>
      </c>
      <c r="G100" s="3">
        <v>79817.91</v>
      </c>
      <c r="H100" s="3">
        <v>328749</v>
      </c>
      <c r="I100" s="3">
        <v>0</v>
      </c>
      <c r="J100" s="3">
        <f>350*0</f>
        <v>0</v>
      </c>
      <c r="K100" s="4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101462.72</v>
      </c>
      <c r="V100" s="5" t="e">
        <f t="shared" si="35"/>
        <v>#DIV/0!</v>
      </c>
    </row>
    <row r="101" spans="1:22" ht="25.15" customHeight="1" x14ac:dyDescent="0.25">
      <c r="A101" s="21" t="s">
        <v>1023</v>
      </c>
      <c r="B101" s="24" t="s">
        <v>225</v>
      </c>
      <c r="C101" s="2">
        <f t="shared" si="33"/>
        <v>43502.720000000001</v>
      </c>
      <c r="D101" s="3">
        <f t="shared" si="34"/>
        <v>0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4">
        <v>0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43502.720000000001</v>
      </c>
      <c r="V101" s="5" t="e">
        <f t="shared" si="35"/>
        <v>#DIV/0!</v>
      </c>
    </row>
    <row r="102" spans="1:22" ht="25.15" customHeight="1" x14ac:dyDescent="0.25">
      <c r="A102" s="21" t="s">
        <v>1024</v>
      </c>
      <c r="B102" s="24" t="s">
        <v>226</v>
      </c>
      <c r="C102" s="2">
        <f t="shared" si="33"/>
        <v>3590879.9499999997</v>
      </c>
      <c r="D102" s="3">
        <f t="shared" si="34"/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4">
        <v>0</v>
      </c>
      <c r="L102" s="3">
        <v>0</v>
      </c>
      <c r="M102" s="3">
        <v>502</v>
      </c>
      <c r="N102" s="3">
        <v>2265544.36</v>
      </c>
      <c r="O102" s="3">
        <v>0</v>
      </c>
      <c r="P102" s="3">
        <v>0</v>
      </c>
      <c r="Q102" s="3">
        <v>660</v>
      </c>
      <c r="R102" s="3">
        <v>1240574.96</v>
      </c>
      <c r="S102" s="3">
        <v>0</v>
      </c>
      <c r="T102" s="3">
        <v>0</v>
      </c>
      <c r="U102" s="3">
        <v>84760.63</v>
      </c>
      <c r="V102" s="5">
        <f t="shared" si="35"/>
        <v>4513.0365737051789</v>
      </c>
    </row>
    <row r="103" spans="1:22" ht="25.15" customHeight="1" x14ac:dyDescent="0.25">
      <c r="A103" s="21" t="s">
        <v>1025</v>
      </c>
      <c r="B103" s="24" t="s">
        <v>227</v>
      </c>
      <c r="C103" s="2">
        <f t="shared" si="33"/>
        <v>36034.29</v>
      </c>
      <c r="D103" s="3">
        <f t="shared" si="34"/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4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36034.29</v>
      </c>
      <c r="V103" s="5" t="e">
        <f t="shared" si="35"/>
        <v>#DIV/0!</v>
      </c>
    </row>
    <row r="104" spans="1:22" ht="40.15" customHeight="1" x14ac:dyDescent="0.25">
      <c r="A104" s="51" t="s">
        <v>255</v>
      </c>
      <c r="B104" s="51"/>
      <c r="C104" s="2">
        <f t="shared" ref="C104:U104" si="36">SUM(C105:C113)</f>
        <v>21052476.790000003</v>
      </c>
      <c r="D104" s="2">
        <f t="shared" si="36"/>
        <v>2996229.58</v>
      </c>
      <c r="E104" s="2">
        <f t="shared" si="36"/>
        <v>776561.23</v>
      </c>
      <c r="F104" s="2">
        <f t="shared" si="36"/>
        <v>1654258.34</v>
      </c>
      <c r="G104" s="2">
        <f t="shared" si="36"/>
        <v>228876.97000000003</v>
      </c>
      <c r="H104" s="2">
        <f t="shared" si="36"/>
        <v>0</v>
      </c>
      <c r="I104" s="2">
        <f t="shared" si="36"/>
        <v>336533.04</v>
      </c>
      <c r="J104" s="2">
        <f t="shared" si="36"/>
        <v>0</v>
      </c>
      <c r="K104" s="18">
        <f t="shared" si="36"/>
        <v>0</v>
      </c>
      <c r="L104" s="2">
        <f t="shared" si="36"/>
        <v>0</v>
      </c>
      <c r="M104" s="2">
        <f t="shared" si="36"/>
        <v>1739.9</v>
      </c>
      <c r="N104" s="2">
        <f t="shared" si="36"/>
        <v>8597281.5099999998</v>
      </c>
      <c r="O104" s="2">
        <f t="shared" si="36"/>
        <v>1281.5</v>
      </c>
      <c r="P104" s="2">
        <f t="shared" si="36"/>
        <v>1244201.9099999999</v>
      </c>
      <c r="Q104" s="2">
        <f t="shared" si="36"/>
        <v>3032</v>
      </c>
      <c r="R104" s="2">
        <f t="shared" si="36"/>
        <v>6762381.1899999995</v>
      </c>
      <c r="S104" s="2">
        <f t="shared" si="36"/>
        <v>0</v>
      </c>
      <c r="T104" s="2">
        <f t="shared" si="36"/>
        <v>0</v>
      </c>
      <c r="U104" s="2">
        <f t="shared" si="36"/>
        <v>1452382.5999999999</v>
      </c>
      <c r="V104" s="20">
        <f>C104+C399+C831</f>
        <v>231707099.03000003</v>
      </c>
    </row>
    <row r="105" spans="1:22" ht="25.15" customHeight="1" x14ac:dyDescent="0.25">
      <c r="A105" s="21" t="s">
        <v>1026</v>
      </c>
      <c r="B105" s="26" t="s">
        <v>231</v>
      </c>
      <c r="C105" s="2">
        <f t="shared" ref="C105:C113" si="37">D105+L105+N105+P105+R105+S105+T105+U105</f>
        <v>11569870.460000001</v>
      </c>
      <c r="D105" s="3">
        <f t="shared" ref="D105:D113" si="38">SUM(E105:J105)</f>
        <v>2087863.34</v>
      </c>
      <c r="E105" s="3">
        <v>401451.44</v>
      </c>
      <c r="F105" s="3">
        <v>1229649.27</v>
      </c>
      <c r="G105" s="3">
        <v>172503.14</v>
      </c>
      <c r="H105" s="3">
        <f>500*0</f>
        <v>0</v>
      </c>
      <c r="I105" s="3">
        <v>284259.49</v>
      </c>
      <c r="J105" s="3">
        <f>350*0</f>
        <v>0</v>
      </c>
      <c r="K105" s="4">
        <v>0</v>
      </c>
      <c r="L105" s="3">
        <v>0</v>
      </c>
      <c r="M105" s="3">
        <v>965.9</v>
      </c>
      <c r="N105" s="3">
        <v>4920285.6500000004</v>
      </c>
      <c r="O105" s="3">
        <v>776.1</v>
      </c>
      <c r="P105" s="3">
        <v>887651.47</v>
      </c>
      <c r="Q105" s="3">
        <v>1540</v>
      </c>
      <c r="R105" s="3">
        <v>3475070</v>
      </c>
      <c r="S105" s="3">
        <v>0</v>
      </c>
      <c r="T105" s="3">
        <v>0</v>
      </c>
      <c r="U105" s="3">
        <v>199000</v>
      </c>
      <c r="V105" s="5">
        <f t="shared" ref="V105:V113" si="39">N105/M105</f>
        <v>5093.990734030438</v>
      </c>
    </row>
    <row r="106" spans="1:22" ht="25.15" customHeight="1" x14ac:dyDescent="0.25">
      <c r="A106" s="21" t="s">
        <v>1027</v>
      </c>
      <c r="B106" s="26" t="s">
        <v>232</v>
      </c>
      <c r="C106" s="2">
        <f t="shared" si="37"/>
        <v>8428223.7300000004</v>
      </c>
      <c r="D106" s="3">
        <f t="shared" si="38"/>
        <v>908366.24</v>
      </c>
      <c r="E106" s="3">
        <v>375109.79</v>
      </c>
      <c r="F106" s="3">
        <v>424609.07</v>
      </c>
      <c r="G106" s="3">
        <v>56373.83</v>
      </c>
      <c r="H106" s="3">
        <f>500*0</f>
        <v>0</v>
      </c>
      <c r="I106" s="3">
        <v>52273.55</v>
      </c>
      <c r="J106" s="3">
        <f>350*0</f>
        <v>0</v>
      </c>
      <c r="K106" s="4">
        <v>0</v>
      </c>
      <c r="L106" s="3">
        <v>0</v>
      </c>
      <c r="M106" s="3">
        <v>774</v>
      </c>
      <c r="N106" s="3">
        <v>3676995.86</v>
      </c>
      <c r="O106" s="3">
        <v>505.4</v>
      </c>
      <c r="P106" s="3">
        <v>356550.44</v>
      </c>
      <c r="Q106" s="3">
        <v>1492</v>
      </c>
      <c r="R106" s="3">
        <v>3287311.19</v>
      </c>
      <c r="S106" s="3">
        <v>0</v>
      </c>
      <c r="T106" s="3">
        <v>0</v>
      </c>
      <c r="U106" s="3">
        <v>199000</v>
      </c>
      <c r="V106" s="5">
        <f t="shared" si="39"/>
        <v>4750.6406459948321</v>
      </c>
    </row>
    <row r="107" spans="1:22" ht="25.15" customHeight="1" x14ac:dyDescent="0.25">
      <c r="A107" s="21" t="s">
        <v>1028</v>
      </c>
      <c r="B107" s="26" t="s">
        <v>233</v>
      </c>
      <c r="C107" s="2">
        <f t="shared" si="37"/>
        <v>199000</v>
      </c>
      <c r="D107" s="3">
        <f t="shared" si="38"/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f>350*0</f>
        <v>0</v>
      </c>
      <c r="K107" s="4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  <c r="U107" s="3">
        <v>199000</v>
      </c>
      <c r="V107" s="5" t="e">
        <f t="shared" si="39"/>
        <v>#DIV/0!</v>
      </c>
    </row>
    <row r="108" spans="1:22" ht="25.15" customHeight="1" x14ac:dyDescent="0.25">
      <c r="A108" s="21" t="s">
        <v>969</v>
      </c>
      <c r="B108" s="24" t="s">
        <v>235</v>
      </c>
      <c r="C108" s="2">
        <f t="shared" si="37"/>
        <v>317122.92</v>
      </c>
      <c r="D108" s="3">
        <f t="shared" si="38"/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4">
        <v>0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317122.92</v>
      </c>
      <c r="V108" s="5" t="e">
        <f t="shared" si="39"/>
        <v>#DIV/0!</v>
      </c>
    </row>
    <row r="109" spans="1:22" ht="25.15" customHeight="1" x14ac:dyDescent="0.25">
      <c r="A109" s="21" t="s">
        <v>1029</v>
      </c>
      <c r="B109" s="26" t="s">
        <v>234</v>
      </c>
      <c r="C109" s="2">
        <f t="shared" si="37"/>
        <v>62427.49</v>
      </c>
      <c r="D109" s="3">
        <f t="shared" si="38"/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4">
        <v>0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3">
        <v>0</v>
      </c>
      <c r="U109" s="3">
        <v>62427.49</v>
      </c>
      <c r="V109" s="5" t="e">
        <f t="shared" si="39"/>
        <v>#DIV/0!</v>
      </c>
    </row>
    <row r="110" spans="1:22" ht="25.15" customHeight="1" x14ac:dyDescent="0.25">
      <c r="A110" s="21" t="s">
        <v>1030</v>
      </c>
      <c r="B110" s="26" t="s">
        <v>236</v>
      </c>
      <c r="C110" s="2">
        <f t="shared" si="37"/>
        <v>76336.39</v>
      </c>
      <c r="D110" s="3">
        <f t="shared" si="38"/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4">
        <v>0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v>0</v>
      </c>
      <c r="T110" s="3">
        <v>0</v>
      </c>
      <c r="U110" s="3">
        <v>76336.39</v>
      </c>
      <c r="V110" s="5" t="e">
        <f t="shared" si="39"/>
        <v>#DIV/0!</v>
      </c>
    </row>
    <row r="111" spans="1:22" ht="25.15" customHeight="1" x14ac:dyDescent="0.25">
      <c r="A111" s="21" t="s">
        <v>1031</v>
      </c>
      <c r="B111" s="26" t="s">
        <v>237</v>
      </c>
      <c r="C111" s="2">
        <f t="shared" si="37"/>
        <v>199000</v>
      </c>
      <c r="D111" s="3">
        <f t="shared" si="38"/>
        <v>0</v>
      </c>
      <c r="E111" s="3">
        <v>0</v>
      </c>
      <c r="F111" s="3">
        <v>0</v>
      </c>
      <c r="G111" s="3">
        <v>0</v>
      </c>
      <c r="H111" s="3">
        <f>500*0</f>
        <v>0</v>
      </c>
      <c r="I111" s="3">
        <v>0</v>
      </c>
      <c r="J111" s="3">
        <f>350*0</f>
        <v>0</v>
      </c>
      <c r="K111" s="4">
        <v>0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  <c r="U111" s="3">
        <v>199000</v>
      </c>
      <c r="V111" s="5" t="e">
        <f t="shared" si="39"/>
        <v>#DIV/0!</v>
      </c>
    </row>
    <row r="112" spans="1:22" ht="25.15" customHeight="1" x14ac:dyDescent="0.25">
      <c r="A112" s="21" t="s">
        <v>970</v>
      </c>
      <c r="B112" s="26" t="s">
        <v>246</v>
      </c>
      <c r="C112" s="2">
        <f t="shared" si="37"/>
        <v>81875.320000000007</v>
      </c>
      <c r="D112" s="3">
        <f t="shared" si="38"/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4">
        <v>0</v>
      </c>
      <c r="L112" s="3">
        <v>0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  <c r="U112" s="3">
        <v>81875.320000000007</v>
      </c>
      <c r="V112" s="5" t="e">
        <f t="shared" si="39"/>
        <v>#DIV/0!</v>
      </c>
    </row>
    <row r="113" spans="1:22" ht="25.15" customHeight="1" x14ac:dyDescent="0.25">
      <c r="A113" s="21" t="s">
        <v>1032</v>
      </c>
      <c r="B113" s="26" t="s">
        <v>249</v>
      </c>
      <c r="C113" s="2">
        <f t="shared" si="37"/>
        <v>118620.48</v>
      </c>
      <c r="D113" s="3">
        <f t="shared" si="38"/>
        <v>0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4">
        <v>0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  <c r="U113" s="3">
        <v>118620.48</v>
      </c>
      <c r="V113" s="5" t="e">
        <f t="shared" si="39"/>
        <v>#DIV/0!</v>
      </c>
    </row>
    <row r="114" spans="1:22" ht="40.15" customHeight="1" x14ac:dyDescent="0.25">
      <c r="A114" s="51" t="s">
        <v>819</v>
      </c>
      <c r="B114" s="51"/>
      <c r="C114" s="2">
        <f t="shared" ref="C114:U114" si="40">SUM(C115)</f>
        <v>1686325.08</v>
      </c>
      <c r="D114" s="2">
        <f t="shared" si="40"/>
        <v>0</v>
      </c>
      <c r="E114" s="2">
        <f t="shared" si="40"/>
        <v>0</v>
      </c>
      <c r="F114" s="2">
        <f t="shared" si="40"/>
        <v>0</v>
      </c>
      <c r="G114" s="2">
        <f t="shared" si="40"/>
        <v>0</v>
      </c>
      <c r="H114" s="2">
        <f t="shared" si="40"/>
        <v>0</v>
      </c>
      <c r="I114" s="2">
        <f t="shared" si="40"/>
        <v>0</v>
      </c>
      <c r="J114" s="2">
        <f t="shared" si="40"/>
        <v>0</v>
      </c>
      <c r="K114" s="18">
        <f t="shared" si="40"/>
        <v>0</v>
      </c>
      <c r="L114" s="2">
        <f t="shared" si="40"/>
        <v>0</v>
      </c>
      <c r="M114" s="2">
        <f t="shared" si="40"/>
        <v>536.4</v>
      </c>
      <c r="N114" s="2">
        <f t="shared" si="40"/>
        <v>1654017.3</v>
      </c>
      <c r="O114" s="2">
        <f t="shared" si="40"/>
        <v>0</v>
      </c>
      <c r="P114" s="2">
        <f t="shared" si="40"/>
        <v>0</v>
      </c>
      <c r="Q114" s="2">
        <f t="shared" si="40"/>
        <v>0</v>
      </c>
      <c r="R114" s="2">
        <f t="shared" si="40"/>
        <v>0</v>
      </c>
      <c r="S114" s="2">
        <f t="shared" si="40"/>
        <v>0</v>
      </c>
      <c r="T114" s="2">
        <f t="shared" si="40"/>
        <v>0</v>
      </c>
      <c r="U114" s="2">
        <f t="shared" si="40"/>
        <v>32307.78</v>
      </c>
      <c r="V114" s="20">
        <f>C114+C416</f>
        <v>3666325.08</v>
      </c>
    </row>
    <row r="115" spans="1:22" ht="25.15" customHeight="1" x14ac:dyDescent="0.25">
      <c r="A115" s="21" t="s">
        <v>1033</v>
      </c>
      <c r="B115" s="26" t="s">
        <v>820</v>
      </c>
      <c r="C115" s="2">
        <f>D115+L115+N115+P115+R115+S115+T115+U115</f>
        <v>1686325.08</v>
      </c>
      <c r="D115" s="3">
        <f>SUM(E115:J115)</f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4">
        <v>0</v>
      </c>
      <c r="L115" s="3">
        <v>0</v>
      </c>
      <c r="M115" s="3">
        <v>536.4</v>
      </c>
      <c r="N115" s="3">
        <v>1654017.3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3">
        <v>32307.78</v>
      </c>
      <c r="V115" s="5">
        <f>N115/M115</f>
        <v>3083.5520134228191</v>
      </c>
    </row>
    <row r="116" spans="1:22" ht="40.15" customHeight="1" x14ac:dyDescent="0.25">
      <c r="A116" s="51" t="s">
        <v>256</v>
      </c>
      <c r="B116" s="51"/>
      <c r="C116" s="2">
        <f t="shared" ref="C116:U116" si="41">SUM(C117)</f>
        <v>166377.20000000001</v>
      </c>
      <c r="D116" s="2">
        <f t="shared" si="41"/>
        <v>0</v>
      </c>
      <c r="E116" s="2">
        <f t="shared" si="41"/>
        <v>0</v>
      </c>
      <c r="F116" s="2">
        <f t="shared" si="41"/>
        <v>0</v>
      </c>
      <c r="G116" s="2">
        <f t="shared" si="41"/>
        <v>0</v>
      </c>
      <c r="H116" s="2">
        <f t="shared" si="41"/>
        <v>0</v>
      </c>
      <c r="I116" s="2">
        <f t="shared" si="41"/>
        <v>0</v>
      </c>
      <c r="J116" s="2">
        <f t="shared" si="41"/>
        <v>0</v>
      </c>
      <c r="K116" s="18">
        <f t="shared" si="41"/>
        <v>0</v>
      </c>
      <c r="L116" s="2">
        <f t="shared" si="41"/>
        <v>0</v>
      </c>
      <c r="M116" s="2">
        <f t="shared" si="41"/>
        <v>0</v>
      </c>
      <c r="N116" s="2">
        <f t="shared" si="41"/>
        <v>0</v>
      </c>
      <c r="O116" s="2">
        <f t="shared" si="41"/>
        <v>0</v>
      </c>
      <c r="P116" s="2">
        <f t="shared" si="41"/>
        <v>0</v>
      </c>
      <c r="Q116" s="2">
        <f t="shared" si="41"/>
        <v>0</v>
      </c>
      <c r="R116" s="2">
        <f t="shared" si="41"/>
        <v>0</v>
      </c>
      <c r="S116" s="2">
        <f t="shared" si="41"/>
        <v>0</v>
      </c>
      <c r="T116" s="2">
        <f t="shared" si="41"/>
        <v>0</v>
      </c>
      <c r="U116" s="2">
        <f t="shared" si="41"/>
        <v>166377.20000000001</v>
      </c>
      <c r="V116" s="20">
        <f>C116</f>
        <v>166377.20000000001</v>
      </c>
    </row>
    <row r="117" spans="1:22" ht="25.15" customHeight="1" x14ac:dyDescent="0.25">
      <c r="A117" s="21" t="s">
        <v>1034</v>
      </c>
      <c r="B117" s="26" t="s">
        <v>257</v>
      </c>
      <c r="C117" s="2">
        <f>D117+L117+N117+P117+R117+S117+T117+U117</f>
        <v>166377.20000000001</v>
      </c>
      <c r="D117" s="3">
        <f>SUM(E117:J117)</f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f>350*0</f>
        <v>0</v>
      </c>
      <c r="K117" s="4">
        <v>0</v>
      </c>
      <c r="L117" s="3">
        <v>0</v>
      </c>
      <c r="M117" s="3">
        <v>0</v>
      </c>
      <c r="N117" s="3">
        <v>0</v>
      </c>
      <c r="O117" s="3">
        <v>0</v>
      </c>
      <c r="P117" s="3">
        <v>0</v>
      </c>
      <c r="Q117" s="3">
        <v>0</v>
      </c>
      <c r="R117" s="3">
        <v>0</v>
      </c>
      <c r="S117" s="3">
        <v>0</v>
      </c>
      <c r="T117" s="3">
        <v>0</v>
      </c>
      <c r="U117" s="3">
        <v>166377.20000000001</v>
      </c>
      <c r="V117" s="5" t="e">
        <f>N117/M117</f>
        <v>#DIV/0!</v>
      </c>
    </row>
    <row r="118" spans="1:22" ht="40.15" customHeight="1" x14ac:dyDescent="0.25">
      <c r="A118" s="51" t="s">
        <v>875</v>
      </c>
      <c r="B118" s="51"/>
      <c r="C118" s="2">
        <f t="shared" ref="C118:U118" si="42">SUM(C119)</f>
        <v>2170164.9699999997</v>
      </c>
      <c r="D118" s="2">
        <f t="shared" si="42"/>
        <v>280113.19</v>
      </c>
      <c r="E118" s="2">
        <f t="shared" si="42"/>
        <v>198739.27</v>
      </c>
      <c r="F118" s="2">
        <f t="shared" si="42"/>
        <v>0</v>
      </c>
      <c r="G118" s="2">
        <f t="shared" si="42"/>
        <v>0</v>
      </c>
      <c r="H118" s="2">
        <f t="shared" si="42"/>
        <v>0</v>
      </c>
      <c r="I118" s="2">
        <f t="shared" si="42"/>
        <v>81373.919999999998</v>
      </c>
      <c r="J118" s="2">
        <f t="shared" si="42"/>
        <v>0</v>
      </c>
      <c r="K118" s="18">
        <f t="shared" si="42"/>
        <v>0</v>
      </c>
      <c r="L118" s="2">
        <f t="shared" si="42"/>
        <v>0</v>
      </c>
      <c r="M118" s="2">
        <f t="shared" si="42"/>
        <v>0</v>
      </c>
      <c r="N118" s="2">
        <f t="shared" si="42"/>
        <v>0</v>
      </c>
      <c r="O118" s="2">
        <f t="shared" si="42"/>
        <v>0</v>
      </c>
      <c r="P118" s="2">
        <f t="shared" si="42"/>
        <v>0</v>
      </c>
      <c r="Q118" s="2">
        <f t="shared" si="42"/>
        <v>710</v>
      </c>
      <c r="R118" s="2">
        <f t="shared" si="42"/>
        <v>1743230.17</v>
      </c>
      <c r="S118" s="2">
        <f t="shared" si="42"/>
        <v>0</v>
      </c>
      <c r="T118" s="2">
        <f t="shared" si="42"/>
        <v>0</v>
      </c>
      <c r="U118" s="2">
        <f t="shared" si="42"/>
        <v>146821.60999999999</v>
      </c>
      <c r="V118" s="20">
        <f>C118</f>
        <v>2170164.9699999997</v>
      </c>
    </row>
    <row r="119" spans="1:22" ht="25.15" customHeight="1" x14ac:dyDescent="0.25">
      <c r="A119" s="21" t="s">
        <v>971</v>
      </c>
      <c r="B119" s="26" t="s">
        <v>876</v>
      </c>
      <c r="C119" s="2">
        <f>D119+L119+N119+P119+R119+S119+T119+U119</f>
        <v>2170164.9699999997</v>
      </c>
      <c r="D119" s="3">
        <f>SUM(E119:J119)</f>
        <v>280113.19</v>
      </c>
      <c r="E119" s="3">
        <v>198739.27</v>
      </c>
      <c r="F119" s="3">
        <f>670.53*0</f>
        <v>0</v>
      </c>
      <c r="G119" s="3">
        <v>0</v>
      </c>
      <c r="H119" s="3">
        <f>500*0</f>
        <v>0</v>
      </c>
      <c r="I119" s="3">
        <v>81373.919999999998</v>
      </c>
      <c r="J119" s="3">
        <f>350*0</f>
        <v>0</v>
      </c>
      <c r="K119" s="4">
        <v>0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710</v>
      </c>
      <c r="R119" s="3">
        <v>1743230.17</v>
      </c>
      <c r="S119" s="3">
        <v>0</v>
      </c>
      <c r="T119" s="3">
        <v>0</v>
      </c>
      <c r="U119" s="3">
        <v>146821.60999999999</v>
      </c>
      <c r="V119" s="5" t="e">
        <f>N119/M119</f>
        <v>#DIV/0!</v>
      </c>
    </row>
    <row r="120" spans="1:22" ht="34.9" customHeight="1" x14ac:dyDescent="0.25">
      <c r="A120" s="51" t="s">
        <v>360</v>
      </c>
      <c r="B120" s="51"/>
      <c r="C120" s="2">
        <f t="shared" ref="C120:U120" si="43">SUM(C121:C236)</f>
        <v>305918620.67000008</v>
      </c>
      <c r="D120" s="2">
        <f t="shared" si="43"/>
        <v>113103388.14000002</v>
      </c>
      <c r="E120" s="2">
        <f t="shared" si="43"/>
        <v>17706561.520000003</v>
      </c>
      <c r="F120" s="2">
        <f t="shared" si="43"/>
        <v>69731826.920000002</v>
      </c>
      <c r="G120" s="2">
        <f t="shared" si="43"/>
        <v>8199732.6899999995</v>
      </c>
      <c r="H120" s="2">
        <f t="shared" si="43"/>
        <v>10460029.600000001</v>
      </c>
      <c r="I120" s="2">
        <f t="shared" si="43"/>
        <v>7005237.4100000001</v>
      </c>
      <c r="J120" s="2">
        <f t="shared" si="43"/>
        <v>0</v>
      </c>
      <c r="K120" s="18">
        <f t="shared" si="43"/>
        <v>2</v>
      </c>
      <c r="L120" s="2">
        <f t="shared" si="43"/>
        <v>3467713.03</v>
      </c>
      <c r="M120" s="2">
        <f t="shared" si="43"/>
        <v>25419.300000000007</v>
      </c>
      <c r="N120" s="2">
        <f t="shared" si="43"/>
        <v>116337857.07000002</v>
      </c>
      <c r="O120" s="2">
        <f t="shared" si="43"/>
        <v>1032</v>
      </c>
      <c r="P120" s="2">
        <f t="shared" si="43"/>
        <v>1229693.94</v>
      </c>
      <c r="Q120" s="2">
        <f t="shared" si="43"/>
        <v>25327.71</v>
      </c>
      <c r="R120" s="2">
        <f t="shared" si="43"/>
        <v>57600037.990000002</v>
      </c>
      <c r="S120" s="2">
        <f t="shared" si="43"/>
        <v>60982.93</v>
      </c>
      <c r="T120" s="2">
        <f t="shared" si="43"/>
        <v>678303.6</v>
      </c>
      <c r="U120" s="2">
        <f t="shared" si="43"/>
        <v>13440643.969999997</v>
      </c>
      <c r="V120" s="20">
        <f>C120+C425+C859</f>
        <v>2134394940.2599995</v>
      </c>
    </row>
    <row r="121" spans="1:22" ht="25.15" customHeight="1" x14ac:dyDescent="0.25">
      <c r="A121" s="21" t="s">
        <v>1035</v>
      </c>
      <c r="B121" s="24" t="s">
        <v>452</v>
      </c>
      <c r="C121" s="2">
        <f t="shared" ref="C121:C152" si="44">D121+L121+N121+P121+R121+S121+T121+U121</f>
        <v>3323627.13</v>
      </c>
      <c r="D121" s="3">
        <f t="shared" ref="D121:D152" si="45">SUM(E121:J121)</f>
        <v>0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4">
        <v>0</v>
      </c>
      <c r="L121" s="3">
        <v>0</v>
      </c>
      <c r="M121" s="3">
        <v>661</v>
      </c>
      <c r="N121" s="3">
        <v>3215902.69</v>
      </c>
      <c r="O121" s="3">
        <v>0</v>
      </c>
      <c r="P121" s="3">
        <v>0</v>
      </c>
      <c r="Q121" s="3">
        <v>0</v>
      </c>
      <c r="R121" s="3">
        <v>0</v>
      </c>
      <c r="S121" s="3">
        <v>0</v>
      </c>
      <c r="T121" s="3">
        <v>0</v>
      </c>
      <c r="U121" s="3">
        <v>107724.44</v>
      </c>
      <c r="V121" s="5">
        <f t="shared" ref="V121:V152" si="46">N121/M121</f>
        <v>4865.2083055975791</v>
      </c>
    </row>
    <row r="122" spans="1:22" ht="25.15" customHeight="1" x14ac:dyDescent="0.25">
      <c r="A122" s="21" t="s">
        <v>1036</v>
      </c>
      <c r="B122" s="24" t="s">
        <v>453</v>
      </c>
      <c r="C122" s="2">
        <f t="shared" si="44"/>
        <v>3234332.3800000004</v>
      </c>
      <c r="D122" s="3">
        <f t="shared" si="45"/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4">
        <v>0</v>
      </c>
      <c r="L122" s="3">
        <v>0</v>
      </c>
      <c r="M122" s="3">
        <v>627</v>
      </c>
      <c r="N122" s="3">
        <v>3134023.14</v>
      </c>
      <c r="O122" s="3">
        <v>0</v>
      </c>
      <c r="P122" s="3">
        <v>0</v>
      </c>
      <c r="Q122" s="3">
        <v>0</v>
      </c>
      <c r="R122" s="3">
        <v>0</v>
      </c>
      <c r="S122" s="3">
        <v>0</v>
      </c>
      <c r="T122" s="3">
        <v>0</v>
      </c>
      <c r="U122" s="3">
        <v>100309.24</v>
      </c>
      <c r="V122" s="5">
        <f t="shared" si="46"/>
        <v>4998.4420095693786</v>
      </c>
    </row>
    <row r="123" spans="1:22" ht="25.15" customHeight="1" x14ac:dyDescent="0.25">
      <c r="A123" s="21" t="s">
        <v>1037</v>
      </c>
      <c r="B123" s="24" t="s">
        <v>468</v>
      </c>
      <c r="C123" s="2">
        <f t="shared" si="44"/>
        <v>4313501.8099999996</v>
      </c>
      <c r="D123" s="3">
        <f t="shared" si="45"/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4">
        <v>0</v>
      </c>
      <c r="L123" s="3">
        <v>0</v>
      </c>
      <c r="M123" s="3">
        <v>813.2</v>
      </c>
      <c r="N123" s="3">
        <v>4225936.1399999997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3">
        <v>87565.67</v>
      </c>
      <c r="V123" s="5">
        <f t="shared" si="46"/>
        <v>5196.6750368912926</v>
      </c>
    </row>
    <row r="124" spans="1:22" ht="25.15" customHeight="1" x14ac:dyDescent="0.25">
      <c r="A124" s="21" t="s">
        <v>1038</v>
      </c>
      <c r="B124" s="24" t="s">
        <v>410</v>
      </c>
      <c r="C124" s="2">
        <f t="shared" si="44"/>
        <v>163490.91</v>
      </c>
      <c r="D124" s="3">
        <f t="shared" si="45"/>
        <v>126601.81</v>
      </c>
      <c r="E124" s="3">
        <v>126601.81</v>
      </c>
      <c r="F124" s="3">
        <f>800*0</f>
        <v>0</v>
      </c>
      <c r="G124" s="3">
        <v>0</v>
      </c>
      <c r="H124" s="3">
        <f>500*0</f>
        <v>0</v>
      </c>
      <c r="I124" s="3">
        <f>400*0</f>
        <v>0</v>
      </c>
      <c r="J124" s="3">
        <f>350*0</f>
        <v>0</v>
      </c>
      <c r="K124" s="4">
        <v>0</v>
      </c>
      <c r="L124" s="3">
        <v>0</v>
      </c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  <c r="U124" s="3">
        <v>36889.1</v>
      </c>
      <c r="V124" s="5" t="e">
        <f t="shared" si="46"/>
        <v>#DIV/0!</v>
      </c>
    </row>
    <row r="125" spans="1:22" ht="25.15" customHeight="1" x14ac:dyDescent="0.25">
      <c r="A125" s="21" t="s">
        <v>1039</v>
      </c>
      <c r="B125" s="24" t="s">
        <v>469</v>
      </c>
      <c r="C125" s="2">
        <f t="shared" si="44"/>
        <v>5015105.75</v>
      </c>
      <c r="D125" s="3">
        <f t="shared" si="45"/>
        <v>0</v>
      </c>
      <c r="E125" s="3">
        <v>0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  <c r="K125" s="4">
        <v>0</v>
      </c>
      <c r="L125" s="3">
        <v>0</v>
      </c>
      <c r="M125" s="3">
        <v>574</v>
      </c>
      <c r="N125" s="3">
        <v>3042199.57</v>
      </c>
      <c r="O125" s="3">
        <v>0</v>
      </c>
      <c r="P125" s="3">
        <v>0</v>
      </c>
      <c r="Q125" s="3">
        <v>824</v>
      </c>
      <c r="R125" s="3">
        <v>1873871.56</v>
      </c>
      <c r="S125" s="3">
        <v>0</v>
      </c>
      <c r="T125" s="3">
        <v>0</v>
      </c>
      <c r="U125" s="3">
        <v>99034.62</v>
      </c>
      <c r="V125" s="5">
        <f t="shared" si="46"/>
        <v>5299.9992508710802</v>
      </c>
    </row>
    <row r="126" spans="1:22" ht="25.15" customHeight="1" x14ac:dyDescent="0.25">
      <c r="A126" s="21" t="s">
        <v>1040</v>
      </c>
      <c r="B126" s="24" t="s">
        <v>404</v>
      </c>
      <c r="C126" s="2">
        <f t="shared" si="44"/>
        <v>173076.4</v>
      </c>
      <c r="D126" s="3">
        <f t="shared" si="45"/>
        <v>134089.19</v>
      </c>
      <c r="E126" s="3">
        <v>134089.19</v>
      </c>
      <c r="F126" s="3">
        <f>800*0</f>
        <v>0</v>
      </c>
      <c r="G126" s="3">
        <v>0</v>
      </c>
      <c r="H126" s="3">
        <f>500*0</f>
        <v>0</v>
      </c>
      <c r="I126" s="3">
        <f>400*0</f>
        <v>0</v>
      </c>
      <c r="J126" s="3">
        <f>350*0</f>
        <v>0</v>
      </c>
      <c r="K126" s="4">
        <v>0</v>
      </c>
      <c r="L126" s="3">
        <v>0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  <c r="U126" s="3">
        <v>38987.21</v>
      </c>
      <c r="V126" s="5" t="e">
        <f t="shared" si="46"/>
        <v>#DIV/0!</v>
      </c>
    </row>
    <row r="127" spans="1:22" ht="25.15" customHeight="1" x14ac:dyDescent="0.25">
      <c r="A127" s="21" t="s">
        <v>1041</v>
      </c>
      <c r="B127" s="27" t="s">
        <v>361</v>
      </c>
      <c r="C127" s="2">
        <f t="shared" si="44"/>
        <v>1822584.59</v>
      </c>
      <c r="D127" s="3">
        <f t="shared" si="45"/>
        <v>0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4">
        <v>0</v>
      </c>
      <c r="L127" s="3">
        <v>0</v>
      </c>
      <c r="M127" s="3">
        <v>451.8</v>
      </c>
      <c r="N127" s="3">
        <v>1768292.11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3">
        <v>54292.480000000003</v>
      </c>
      <c r="V127" s="5">
        <f t="shared" si="46"/>
        <v>3913.8824922532094</v>
      </c>
    </row>
    <row r="128" spans="1:22" ht="25.15" customHeight="1" x14ac:dyDescent="0.25">
      <c r="A128" s="21" t="s">
        <v>1042</v>
      </c>
      <c r="B128" s="28" t="s">
        <v>856</v>
      </c>
      <c r="C128" s="2">
        <f t="shared" si="44"/>
        <v>431384.7</v>
      </c>
      <c r="D128" s="3">
        <f t="shared" si="45"/>
        <v>0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4">
        <v>0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3">
        <v>0</v>
      </c>
      <c r="U128" s="3">
        <v>431384.7</v>
      </c>
      <c r="V128" s="5" t="e">
        <f t="shared" si="46"/>
        <v>#DIV/0!</v>
      </c>
    </row>
    <row r="129" spans="1:22" ht="25.15" customHeight="1" x14ac:dyDescent="0.25">
      <c r="A129" s="21" t="s">
        <v>1043</v>
      </c>
      <c r="B129" s="28" t="s">
        <v>857</v>
      </c>
      <c r="C129" s="2">
        <f t="shared" si="44"/>
        <v>404313.16</v>
      </c>
      <c r="D129" s="3">
        <f t="shared" si="45"/>
        <v>0</v>
      </c>
      <c r="E129" s="3">
        <v>0</v>
      </c>
      <c r="F129" s="3">
        <v>0</v>
      </c>
      <c r="G129" s="3">
        <v>0</v>
      </c>
      <c r="H129" s="3">
        <v>0</v>
      </c>
      <c r="I129" s="3">
        <v>0</v>
      </c>
      <c r="J129" s="3">
        <v>0</v>
      </c>
      <c r="K129" s="4">
        <v>0</v>
      </c>
      <c r="L129" s="3">
        <v>0</v>
      </c>
      <c r="M129" s="3">
        <v>0</v>
      </c>
      <c r="N129" s="3">
        <v>0</v>
      </c>
      <c r="O129" s="3">
        <v>0</v>
      </c>
      <c r="P129" s="3">
        <v>0</v>
      </c>
      <c r="Q129" s="3">
        <v>0</v>
      </c>
      <c r="R129" s="3">
        <v>0</v>
      </c>
      <c r="S129" s="3">
        <v>0</v>
      </c>
      <c r="T129" s="3">
        <v>0</v>
      </c>
      <c r="U129" s="3">
        <v>404313.16</v>
      </c>
      <c r="V129" s="5" t="e">
        <f t="shared" si="46"/>
        <v>#DIV/0!</v>
      </c>
    </row>
    <row r="130" spans="1:22" ht="25.15" customHeight="1" x14ac:dyDescent="0.25">
      <c r="A130" s="21" t="s">
        <v>1044</v>
      </c>
      <c r="B130" s="28" t="s">
        <v>858</v>
      </c>
      <c r="C130" s="2">
        <f t="shared" si="44"/>
        <v>400760.45</v>
      </c>
      <c r="D130" s="3">
        <f t="shared" si="45"/>
        <v>0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  <c r="K130" s="4">
        <v>0</v>
      </c>
      <c r="L130" s="3">
        <v>0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3">
        <v>400760.45</v>
      </c>
      <c r="V130" s="5" t="e">
        <f t="shared" si="46"/>
        <v>#DIV/0!</v>
      </c>
    </row>
    <row r="131" spans="1:22" ht="25.15" customHeight="1" x14ac:dyDescent="0.25">
      <c r="A131" s="21" t="s">
        <v>1045</v>
      </c>
      <c r="B131" s="24" t="s">
        <v>405</v>
      </c>
      <c r="C131" s="2">
        <f t="shared" si="44"/>
        <v>39639.949999999997</v>
      </c>
      <c r="D131" s="3">
        <f t="shared" si="45"/>
        <v>0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4">
        <v>0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  <c r="U131" s="3">
        <v>39639.949999999997</v>
      </c>
      <c r="V131" s="5" t="e">
        <f t="shared" si="46"/>
        <v>#DIV/0!</v>
      </c>
    </row>
    <row r="132" spans="1:22" ht="25.15" customHeight="1" x14ac:dyDescent="0.25">
      <c r="A132" s="21" t="s">
        <v>1046</v>
      </c>
      <c r="B132" s="27" t="s">
        <v>406</v>
      </c>
      <c r="C132" s="2">
        <f t="shared" si="44"/>
        <v>55918.46</v>
      </c>
      <c r="D132" s="3">
        <f t="shared" si="45"/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4">
        <v>0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  <c r="U132" s="3">
        <v>55918.46</v>
      </c>
      <c r="V132" s="5" t="e">
        <f t="shared" si="46"/>
        <v>#DIV/0!</v>
      </c>
    </row>
    <row r="133" spans="1:22" ht="25.15" customHeight="1" x14ac:dyDescent="0.25">
      <c r="A133" s="21" t="s">
        <v>1047</v>
      </c>
      <c r="B133" s="27" t="s">
        <v>425</v>
      </c>
      <c r="C133" s="2">
        <f t="shared" si="44"/>
        <v>64358.54</v>
      </c>
      <c r="D133" s="3">
        <f t="shared" si="45"/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4">
        <v>0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  <c r="T133" s="3">
        <v>0</v>
      </c>
      <c r="U133" s="3">
        <v>64358.54</v>
      </c>
      <c r="V133" s="5" t="e">
        <f t="shared" si="46"/>
        <v>#DIV/0!</v>
      </c>
    </row>
    <row r="134" spans="1:22" ht="25.15" customHeight="1" x14ac:dyDescent="0.25">
      <c r="A134" s="21" t="s">
        <v>1048</v>
      </c>
      <c r="B134" s="24" t="s">
        <v>470</v>
      </c>
      <c r="C134" s="2">
        <f t="shared" si="44"/>
        <v>2558331.8400000003</v>
      </c>
      <c r="D134" s="3">
        <f t="shared" si="45"/>
        <v>0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  <c r="K134" s="4">
        <v>0</v>
      </c>
      <c r="L134" s="3">
        <v>0</v>
      </c>
      <c r="M134" s="3">
        <v>707.6</v>
      </c>
      <c r="N134" s="3">
        <v>2504665.7400000002</v>
      </c>
      <c r="O134" s="3">
        <v>0</v>
      </c>
      <c r="P134" s="3">
        <v>0</v>
      </c>
      <c r="Q134" s="3">
        <v>0</v>
      </c>
      <c r="R134" s="3">
        <v>0</v>
      </c>
      <c r="S134" s="3">
        <v>0</v>
      </c>
      <c r="T134" s="3">
        <v>0</v>
      </c>
      <c r="U134" s="3">
        <v>53666.1</v>
      </c>
      <c r="V134" s="5">
        <f t="shared" si="46"/>
        <v>3539.6632843414359</v>
      </c>
    </row>
    <row r="135" spans="1:22" ht="25.15" customHeight="1" x14ac:dyDescent="0.25">
      <c r="A135" s="21" t="s">
        <v>1049</v>
      </c>
      <c r="B135" s="24" t="s">
        <v>471</v>
      </c>
      <c r="C135" s="2">
        <f t="shared" si="44"/>
        <v>53597.85</v>
      </c>
      <c r="D135" s="3">
        <f t="shared" si="45"/>
        <v>0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4">
        <v>0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3">
        <v>53597.85</v>
      </c>
      <c r="V135" s="5" t="e">
        <f t="shared" si="46"/>
        <v>#DIV/0!</v>
      </c>
    </row>
    <row r="136" spans="1:22" ht="25.15" customHeight="1" x14ac:dyDescent="0.25">
      <c r="A136" s="21" t="s">
        <v>1050</v>
      </c>
      <c r="B136" s="24" t="s">
        <v>472</v>
      </c>
      <c r="C136" s="2">
        <f t="shared" si="44"/>
        <v>68863.03</v>
      </c>
      <c r="D136" s="3">
        <f t="shared" si="45"/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4">
        <v>0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0</v>
      </c>
      <c r="T136" s="3">
        <v>0</v>
      </c>
      <c r="U136" s="3">
        <v>68863.03</v>
      </c>
      <c r="V136" s="5" t="e">
        <f t="shared" si="46"/>
        <v>#DIV/0!</v>
      </c>
    </row>
    <row r="137" spans="1:22" ht="25.15" customHeight="1" x14ac:dyDescent="0.25">
      <c r="A137" s="21" t="s">
        <v>1051</v>
      </c>
      <c r="B137" s="24" t="s">
        <v>454</v>
      </c>
      <c r="C137" s="2">
        <f t="shared" si="44"/>
        <v>84581.04</v>
      </c>
      <c r="D137" s="3">
        <f t="shared" si="45"/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4">
        <v>0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0</v>
      </c>
      <c r="T137" s="3">
        <v>0</v>
      </c>
      <c r="U137" s="3">
        <v>84581.04</v>
      </c>
      <c r="V137" s="5" t="e">
        <f t="shared" si="46"/>
        <v>#DIV/0!</v>
      </c>
    </row>
    <row r="138" spans="1:22" ht="25.15" customHeight="1" x14ac:dyDescent="0.25">
      <c r="A138" s="21" t="s">
        <v>1052</v>
      </c>
      <c r="B138" s="24" t="s">
        <v>473</v>
      </c>
      <c r="C138" s="2">
        <f t="shared" si="44"/>
        <v>41774.69</v>
      </c>
      <c r="D138" s="3">
        <f t="shared" si="45"/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4">
        <v>0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0</v>
      </c>
      <c r="T138" s="3">
        <v>0</v>
      </c>
      <c r="U138" s="3">
        <v>41774.69</v>
      </c>
      <c r="V138" s="5" t="e">
        <f t="shared" si="46"/>
        <v>#DIV/0!</v>
      </c>
    </row>
    <row r="139" spans="1:22" ht="25.15" customHeight="1" x14ac:dyDescent="0.25">
      <c r="A139" s="21" t="s">
        <v>1053</v>
      </c>
      <c r="B139" s="24" t="s">
        <v>398</v>
      </c>
      <c r="C139" s="2">
        <f t="shared" si="44"/>
        <v>95551.6</v>
      </c>
      <c r="D139" s="3">
        <f t="shared" si="45"/>
        <v>0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4">
        <v>0</v>
      </c>
      <c r="L139" s="3">
        <v>0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v>0</v>
      </c>
      <c r="T139" s="3">
        <v>0</v>
      </c>
      <c r="U139" s="3">
        <v>95551.6</v>
      </c>
      <c r="V139" s="5" t="e">
        <f t="shared" si="46"/>
        <v>#DIV/0!</v>
      </c>
    </row>
    <row r="140" spans="1:22" ht="24" customHeight="1" x14ac:dyDescent="0.25">
      <c r="A140" s="21" t="s">
        <v>1054</v>
      </c>
      <c r="B140" s="27" t="s">
        <v>455</v>
      </c>
      <c r="C140" s="2">
        <f t="shared" si="44"/>
        <v>108492.72</v>
      </c>
      <c r="D140" s="3">
        <f t="shared" si="45"/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4">
        <v>0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3">
        <v>0</v>
      </c>
      <c r="U140" s="3">
        <v>108492.72</v>
      </c>
      <c r="V140" s="5" t="e">
        <f t="shared" si="46"/>
        <v>#DIV/0!</v>
      </c>
    </row>
    <row r="141" spans="1:22" ht="24" customHeight="1" x14ac:dyDescent="0.25">
      <c r="A141" s="21" t="s">
        <v>1055</v>
      </c>
      <c r="B141" s="24" t="s">
        <v>370</v>
      </c>
      <c r="C141" s="2">
        <f t="shared" si="44"/>
        <v>3164401.52</v>
      </c>
      <c r="D141" s="3">
        <f t="shared" si="45"/>
        <v>0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4">
        <v>0</v>
      </c>
      <c r="L141" s="3">
        <v>0</v>
      </c>
      <c r="M141" s="3">
        <v>537.03</v>
      </c>
      <c r="N141" s="3">
        <v>3032137.93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3">
        <v>0</v>
      </c>
      <c r="U141" s="3">
        <v>132263.59</v>
      </c>
      <c r="V141" s="5">
        <f t="shared" si="46"/>
        <v>5646.1239223134653</v>
      </c>
    </row>
    <row r="142" spans="1:22" ht="24" customHeight="1" x14ac:dyDescent="0.25">
      <c r="A142" s="21" t="s">
        <v>1056</v>
      </c>
      <c r="B142" s="24" t="s">
        <v>474</v>
      </c>
      <c r="C142" s="2">
        <f t="shared" si="44"/>
        <v>2763011.6300000004</v>
      </c>
      <c r="D142" s="3">
        <f t="shared" si="45"/>
        <v>0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4">
        <v>0</v>
      </c>
      <c r="L142" s="3">
        <v>0</v>
      </c>
      <c r="M142" s="3">
        <v>508.94</v>
      </c>
      <c r="N142" s="3">
        <v>2697370.18</v>
      </c>
      <c r="O142" s="3">
        <v>0</v>
      </c>
      <c r="P142" s="3">
        <v>0</v>
      </c>
      <c r="Q142" s="3">
        <v>0</v>
      </c>
      <c r="R142" s="3">
        <v>0</v>
      </c>
      <c r="S142" s="3">
        <v>0</v>
      </c>
      <c r="T142" s="3">
        <v>0</v>
      </c>
      <c r="U142" s="3">
        <v>65641.45</v>
      </c>
      <c r="V142" s="5">
        <f t="shared" si="46"/>
        <v>5299.9767752583803</v>
      </c>
    </row>
    <row r="143" spans="1:22" ht="24" customHeight="1" x14ac:dyDescent="0.25">
      <c r="A143" s="21" t="s">
        <v>1057</v>
      </c>
      <c r="B143" s="24" t="s">
        <v>475</v>
      </c>
      <c r="C143" s="2">
        <f t="shared" si="44"/>
        <v>1935029.82</v>
      </c>
      <c r="D143" s="3">
        <f t="shared" si="45"/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4">
        <v>0</v>
      </c>
      <c r="L143" s="3">
        <v>0</v>
      </c>
      <c r="M143" s="3">
        <v>430.8</v>
      </c>
      <c r="N143" s="3">
        <v>1874295.83</v>
      </c>
      <c r="O143" s="3">
        <v>0</v>
      </c>
      <c r="P143" s="3">
        <v>0</v>
      </c>
      <c r="Q143" s="3">
        <v>0</v>
      </c>
      <c r="R143" s="3">
        <v>0</v>
      </c>
      <c r="S143" s="3">
        <v>0</v>
      </c>
      <c r="T143" s="3">
        <v>0</v>
      </c>
      <c r="U143" s="3">
        <v>60733.99</v>
      </c>
      <c r="V143" s="5">
        <f t="shared" si="46"/>
        <v>4350.7331244196839</v>
      </c>
    </row>
    <row r="144" spans="1:22" ht="24" customHeight="1" x14ac:dyDescent="0.25">
      <c r="A144" s="21" t="s">
        <v>1058</v>
      </c>
      <c r="B144" s="24" t="s">
        <v>439</v>
      </c>
      <c r="C144" s="2">
        <f t="shared" si="44"/>
        <v>1988523.26</v>
      </c>
      <c r="D144" s="3">
        <f t="shared" si="45"/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4">
        <v>0</v>
      </c>
      <c r="L144" s="3">
        <v>0</v>
      </c>
      <c r="M144" s="3">
        <v>382.05</v>
      </c>
      <c r="N144" s="3">
        <v>1929074.16</v>
      </c>
      <c r="O144" s="3">
        <v>0</v>
      </c>
      <c r="P144" s="3">
        <v>0</v>
      </c>
      <c r="Q144" s="3">
        <v>0</v>
      </c>
      <c r="R144" s="3">
        <v>0</v>
      </c>
      <c r="S144" s="3">
        <v>0</v>
      </c>
      <c r="T144" s="3">
        <v>0</v>
      </c>
      <c r="U144" s="3">
        <v>59449.1</v>
      </c>
      <c r="V144" s="5">
        <f t="shared" si="46"/>
        <v>5049.2714566156255</v>
      </c>
    </row>
    <row r="145" spans="1:22" ht="24" customHeight="1" x14ac:dyDescent="0.25">
      <c r="A145" s="21" t="s">
        <v>1059</v>
      </c>
      <c r="B145" s="24" t="s">
        <v>476</v>
      </c>
      <c r="C145" s="2">
        <f t="shared" si="44"/>
        <v>1313592.3500000001</v>
      </c>
      <c r="D145" s="3">
        <f t="shared" si="45"/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4">
        <v>0</v>
      </c>
      <c r="L145" s="3">
        <v>0</v>
      </c>
      <c r="M145" s="3">
        <v>279.5</v>
      </c>
      <c r="N145" s="3">
        <v>1256956.8</v>
      </c>
      <c r="O145" s="3">
        <v>0</v>
      </c>
      <c r="P145" s="3">
        <v>0</v>
      </c>
      <c r="Q145" s="3">
        <v>0</v>
      </c>
      <c r="R145" s="3">
        <v>0</v>
      </c>
      <c r="S145" s="3">
        <v>0</v>
      </c>
      <c r="T145" s="3">
        <v>0</v>
      </c>
      <c r="U145" s="3">
        <v>56635.55</v>
      </c>
      <c r="V145" s="5">
        <f t="shared" si="46"/>
        <v>4497.1620751341679</v>
      </c>
    </row>
    <row r="146" spans="1:22" ht="24" customHeight="1" x14ac:dyDescent="0.25">
      <c r="A146" s="21" t="s">
        <v>1060</v>
      </c>
      <c r="B146" s="24" t="s">
        <v>477</v>
      </c>
      <c r="C146" s="2">
        <f t="shared" si="44"/>
        <v>1315989.95</v>
      </c>
      <c r="D146" s="3">
        <f t="shared" si="45"/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4">
        <v>0</v>
      </c>
      <c r="L146" s="3">
        <v>0</v>
      </c>
      <c r="M146" s="3">
        <v>279</v>
      </c>
      <c r="N146" s="3">
        <v>1259354.3999999999</v>
      </c>
      <c r="O146" s="3">
        <v>0</v>
      </c>
      <c r="P146" s="3">
        <v>0</v>
      </c>
      <c r="Q146" s="3">
        <v>0</v>
      </c>
      <c r="R146" s="3">
        <v>0</v>
      </c>
      <c r="S146" s="3">
        <v>0</v>
      </c>
      <c r="T146" s="3">
        <v>0</v>
      </c>
      <c r="U146" s="3">
        <v>56635.55</v>
      </c>
      <c r="V146" s="5">
        <f t="shared" si="46"/>
        <v>4513.8150537634401</v>
      </c>
    </row>
    <row r="147" spans="1:22" ht="24" customHeight="1" x14ac:dyDescent="0.25">
      <c r="A147" s="21" t="s">
        <v>1061</v>
      </c>
      <c r="B147" s="24" t="s">
        <v>417</v>
      </c>
      <c r="C147" s="2">
        <f t="shared" si="44"/>
        <v>58699.22</v>
      </c>
      <c r="D147" s="3">
        <f t="shared" si="45"/>
        <v>0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4">
        <v>0</v>
      </c>
      <c r="L147" s="3">
        <v>0</v>
      </c>
      <c r="M147" s="3">
        <v>0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  <c r="U147" s="3">
        <v>58699.22</v>
      </c>
      <c r="V147" s="5" t="e">
        <f t="shared" si="46"/>
        <v>#DIV/0!</v>
      </c>
    </row>
    <row r="148" spans="1:22" ht="24" customHeight="1" x14ac:dyDescent="0.25">
      <c r="A148" s="21" t="s">
        <v>1062</v>
      </c>
      <c r="B148" s="24" t="s">
        <v>418</v>
      </c>
      <c r="C148" s="2">
        <f t="shared" si="44"/>
        <v>44647.56</v>
      </c>
      <c r="D148" s="3">
        <f t="shared" si="45"/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4">
        <v>0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  <c r="S148" s="3">
        <v>0</v>
      </c>
      <c r="T148" s="3">
        <v>0</v>
      </c>
      <c r="U148" s="3">
        <v>44647.56</v>
      </c>
      <c r="V148" s="5" t="e">
        <f t="shared" si="46"/>
        <v>#DIV/0!</v>
      </c>
    </row>
    <row r="149" spans="1:22" ht="24" customHeight="1" x14ac:dyDescent="0.25">
      <c r="A149" s="21" t="s">
        <v>1063</v>
      </c>
      <c r="B149" s="24" t="s">
        <v>375</v>
      </c>
      <c r="C149" s="2">
        <f t="shared" si="44"/>
        <v>47629.84</v>
      </c>
      <c r="D149" s="3">
        <f t="shared" si="45"/>
        <v>0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4">
        <v>0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  <c r="S149" s="3">
        <v>0</v>
      </c>
      <c r="T149" s="3">
        <v>0</v>
      </c>
      <c r="U149" s="3">
        <v>47629.84</v>
      </c>
      <c r="V149" s="5" t="e">
        <f t="shared" si="46"/>
        <v>#DIV/0!</v>
      </c>
    </row>
    <row r="150" spans="1:22" ht="24" customHeight="1" x14ac:dyDescent="0.25">
      <c r="A150" s="21" t="s">
        <v>1064</v>
      </c>
      <c r="B150" s="24" t="s">
        <v>655</v>
      </c>
      <c r="C150" s="2">
        <f t="shared" si="44"/>
        <v>46183.66</v>
      </c>
      <c r="D150" s="3">
        <f t="shared" si="45"/>
        <v>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4">
        <v>0</v>
      </c>
      <c r="L150" s="3">
        <v>0</v>
      </c>
      <c r="M150" s="3">
        <v>0</v>
      </c>
      <c r="N150" s="3">
        <v>0</v>
      </c>
      <c r="O150" s="3">
        <v>0</v>
      </c>
      <c r="P150" s="3">
        <v>0</v>
      </c>
      <c r="Q150" s="3">
        <v>0</v>
      </c>
      <c r="R150" s="3">
        <v>0</v>
      </c>
      <c r="S150" s="3">
        <v>0</v>
      </c>
      <c r="T150" s="3">
        <v>0</v>
      </c>
      <c r="U150" s="3">
        <v>46183.66</v>
      </c>
      <c r="V150" s="5" t="e">
        <f t="shared" si="46"/>
        <v>#DIV/0!</v>
      </c>
    </row>
    <row r="151" spans="1:22" ht="24" customHeight="1" x14ac:dyDescent="0.25">
      <c r="A151" s="21" t="s">
        <v>1065</v>
      </c>
      <c r="B151" s="24" t="s">
        <v>426</v>
      </c>
      <c r="C151" s="2">
        <f t="shared" si="44"/>
        <v>2465982.14</v>
      </c>
      <c r="D151" s="3">
        <f t="shared" si="45"/>
        <v>2266982.14</v>
      </c>
      <c r="E151" s="3">
        <v>516175.16</v>
      </c>
      <c r="F151" s="3">
        <v>1431256.76</v>
      </c>
      <c r="G151" s="3">
        <v>91201.7</v>
      </c>
      <c r="H151" s="3">
        <v>177805.5</v>
      </c>
      <c r="I151" s="3">
        <v>50543.02</v>
      </c>
      <c r="J151" s="3">
        <f>350*0</f>
        <v>0</v>
      </c>
      <c r="K151" s="4">
        <v>0</v>
      </c>
      <c r="L151" s="3">
        <v>0</v>
      </c>
      <c r="M151" s="3">
        <v>0</v>
      </c>
      <c r="N151" s="3">
        <v>0</v>
      </c>
      <c r="O151" s="3">
        <v>0</v>
      </c>
      <c r="P151" s="3">
        <v>0</v>
      </c>
      <c r="Q151" s="3">
        <v>0</v>
      </c>
      <c r="R151" s="3">
        <v>0</v>
      </c>
      <c r="S151" s="3">
        <v>0</v>
      </c>
      <c r="T151" s="3">
        <v>0</v>
      </c>
      <c r="U151" s="3">
        <v>199000</v>
      </c>
      <c r="V151" s="5" t="e">
        <f t="shared" si="46"/>
        <v>#DIV/0!</v>
      </c>
    </row>
    <row r="152" spans="1:22" ht="24" customHeight="1" x14ac:dyDescent="0.25">
      <c r="A152" s="21" t="s">
        <v>1066</v>
      </c>
      <c r="B152" s="24" t="s">
        <v>440</v>
      </c>
      <c r="C152" s="2">
        <f t="shared" si="44"/>
        <v>2191313.1800000002</v>
      </c>
      <c r="D152" s="3">
        <f t="shared" si="45"/>
        <v>1992313.1800000002</v>
      </c>
      <c r="E152" s="3">
        <v>1511058.34</v>
      </c>
      <c r="F152" s="3">
        <v>0</v>
      </c>
      <c r="G152" s="3">
        <v>314048.27</v>
      </c>
      <c r="H152" s="3">
        <v>0</v>
      </c>
      <c r="I152" s="3">
        <v>167206.57</v>
      </c>
      <c r="J152" s="3">
        <f>350*0</f>
        <v>0</v>
      </c>
      <c r="K152" s="4">
        <v>0</v>
      </c>
      <c r="L152" s="3">
        <v>0</v>
      </c>
      <c r="M152" s="3">
        <v>0</v>
      </c>
      <c r="N152" s="3">
        <v>0</v>
      </c>
      <c r="O152" s="3">
        <v>0</v>
      </c>
      <c r="P152" s="3">
        <v>0</v>
      </c>
      <c r="Q152" s="3">
        <v>0</v>
      </c>
      <c r="R152" s="3">
        <v>0</v>
      </c>
      <c r="S152" s="3">
        <v>0</v>
      </c>
      <c r="T152" s="3">
        <v>0</v>
      </c>
      <c r="U152" s="3">
        <v>199000</v>
      </c>
      <c r="V152" s="5" t="e">
        <f t="shared" si="46"/>
        <v>#DIV/0!</v>
      </c>
    </row>
    <row r="153" spans="1:22" ht="24" customHeight="1" x14ac:dyDescent="0.25">
      <c r="A153" s="21" t="s">
        <v>1067</v>
      </c>
      <c r="B153" s="27" t="s">
        <v>367</v>
      </c>
      <c r="C153" s="2">
        <f t="shared" ref="C153:C184" si="47">D153+L153+N153+P153+R153+S153+T153+U153</f>
        <v>18021469.080000002</v>
      </c>
      <c r="D153" s="3">
        <f t="shared" ref="D153:D184" si="48">SUM(E153:J153)</f>
        <v>17822469.080000002</v>
      </c>
      <c r="E153" s="3">
        <v>2442289.9900000002</v>
      </c>
      <c r="F153" s="3">
        <v>10921411.74</v>
      </c>
      <c r="G153" s="3">
        <v>1214410.24</v>
      </c>
      <c r="H153" s="3">
        <v>2203282.2400000002</v>
      </c>
      <c r="I153" s="3">
        <v>1041074.87</v>
      </c>
      <c r="J153" s="3">
        <f>350*0</f>
        <v>0</v>
      </c>
      <c r="K153" s="4">
        <v>0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>
        <v>0</v>
      </c>
      <c r="S153" s="3">
        <v>0</v>
      </c>
      <c r="T153" s="3">
        <v>0</v>
      </c>
      <c r="U153" s="3">
        <v>199000</v>
      </c>
      <c r="V153" s="5" t="e">
        <f t="shared" ref="V153:V184" si="49">N153/M153</f>
        <v>#DIV/0!</v>
      </c>
    </row>
    <row r="154" spans="1:22" ht="24" customHeight="1" x14ac:dyDescent="0.25">
      <c r="A154" s="21" t="s">
        <v>1068</v>
      </c>
      <c r="B154" s="28" t="s">
        <v>863</v>
      </c>
      <c r="C154" s="2">
        <f t="shared" si="47"/>
        <v>11052597.710000001</v>
      </c>
      <c r="D154" s="3">
        <f t="shared" si="48"/>
        <v>0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  <c r="K154" s="4">
        <v>0</v>
      </c>
      <c r="L154" s="3">
        <v>0</v>
      </c>
      <c r="M154" s="3">
        <v>801.26</v>
      </c>
      <c r="N154" s="3">
        <v>4224216.78</v>
      </c>
      <c r="O154" s="3">
        <v>0</v>
      </c>
      <c r="P154" s="3">
        <v>0</v>
      </c>
      <c r="Q154" s="3">
        <v>3036</v>
      </c>
      <c r="R154" s="3">
        <v>6828380.9299999997</v>
      </c>
      <c r="S154" s="3">
        <v>0</v>
      </c>
      <c r="T154" s="3">
        <v>0</v>
      </c>
      <c r="U154" s="3">
        <v>0</v>
      </c>
      <c r="V154" s="5">
        <f t="shared" si="49"/>
        <v>5271.9676259890675</v>
      </c>
    </row>
    <row r="155" spans="1:22" ht="24" customHeight="1" x14ac:dyDescent="0.25">
      <c r="A155" s="21" t="s">
        <v>1069</v>
      </c>
      <c r="B155" s="28" t="s">
        <v>865</v>
      </c>
      <c r="C155" s="2">
        <f t="shared" si="47"/>
        <v>4233066</v>
      </c>
      <c r="D155" s="3">
        <f t="shared" si="48"/>
        <v>624195.6</v>
      </c>
      <c r="E155" s="3">
        <v>221836.79999999999</v>
      </c>
      <c r="F155" s="3">
        <v>306284.40000000002</v>
      </c>
      <c r="G155" s="3">
        <v>37188</v>
      </c>
      <c r="H155" s="3">
        <f>500*0</f>
        <v>0</v>
      </c>
      <c r="I155" s="3">
        <v>58886.400000000001</v>
      </c>
      <c r="J155" s="3">
        <f>350*0</f>
        <v>0</v>
      </c>
      <c r="K155" s="4">
        <v>0</v>
      </c>
      <c r="L155" s="3">
        <v>0</v>
      </c>
      <c r="M155" s="3">
        <v>361</v>
      </c>
      <c r="N155" s="3">
        <v>1912876.8</v>
      </c>
      <c r="O155" s="3">
        <v>0</v>
      </c>
      <c r="P155" s="3">
        <v>0</v>
      </c>
      <c r="Q155" s="3">
        <v>690</v>
      </c>
      <c r="R155" s="3">
        <v>1695993.6</v>
      </c>
      <c r="S155" s="3">
        <v>0</v>
      </c>
      <c r="T155" s="3">
        <v>0</v>
      </c>
      <c r="U155" s="3">
        <v>0</v>
      </c>
      <c r="V155" s="5">
        <f t="shared" si="49"/>
        <v>5298.8277008310251</v>
      </c>
    </row>
    <row r="156" spans="1:22" ht="24" customHeight="1" x14ac:dyDescent="0.25">
      <c r="A156" s="21" t="s">
        <v>1070</v>
      </c>
      <c r="B156" s="27" t="s">
        <v>430</v>
      </c>
      <c r="C156" s="2">
        <f t="shared" si="47"/>
        <v>5449604.25</v>
      </c>
      <c r="D156" s="3">
        <f t="shared" si="48"/>
        <v>927864.56</v>
      </c>
      <c r="E156" s="3">
        <v>187077.11</v>
      </c>
      <c r="F156" s="3">
        <v>681547.14</v>
      </c>
      <c r="G156" s="3">
        <v>42658.04</v>
      </c>
      <c r="H156" s="3">
        <f>500*0</f>
        <v>0</v>
      </c>
      <c r="I156" s="3">
        <v>16582.27</v>
      </c>
      <c r="J156" s="3">
        <f>350*0</f>
        <v>0</v>
      </c>
      <c r="K156" s="4">
        <v>0</v>
      </c>
      <c r="L156" s="3">
        <v>0</v>
      </c>
      <c r="M156" s="3">
        <v>598.12</v>
      </c>
      <c r="N156" s="3">
        <v>2746654.91</v>
      </c>
      <c r="O156" s="3">
        <v>0</v>
      </c>
      <c r="P156" s="3">
        <v>0</v>
      </c>
      <c r="Q156" s="3">
        <v>808.91</v>
      </c>
      <c r="R156" s="3">
        <v>1576084.78</v>
      </c>
      <c r="S156" s="3">
        <v>0</v>
      </c>
      <c r="T156" s="3">
        <v>0</v>
      </c>
      <c r="U156" s="3">
        <v>199000</v>
      </c>
      <c r="V156" s="5">
        <f t="shared" si="49"/>
        <v>4592.1469103190002</v>
      </c>
    </row>
    <row r="157" spans="1:22" ht="24" customHeight="1" x14ac:dyDescent="0.25">
      <c r="A157" s="21" t="s">
        <v>1071</v>
      </c>
      <c r="B157" s="27" t="s">
        <v>407</v>
      </c>
      <c r="C157" s="2">
        <f t="shared" si="47"/>
        <v>57604.23</v>
      </c>
      <c r="D157" s="3">
        <f t="shared" si="48"/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4">
        <v>0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  <c r="S157" s="3">
        <v>0</v>
      </c>
      <c r="T157" s="3">
        <v>0</v>
      </c>
      <c r="U157" s="3">
        <v>57604.23</v>
      </c>
      <c r="V157" s="5" t="e">
        <f t="shared" si="49"/>
        <v>#DIV/0!</v>
      </c>
    </row>
    <row r="158" spans="1:22" ht="24" customHeight="1" x14ac:dyDescent="0.25">
      <c r="A158" s="21" t="s">
        <v>1072</v>
      </c>
      <c r="B158" s="27" t="s">
        <v>411</v>
      </c>
      <c r="C158" s="2">
        <f t="shared" si="47"/>
        <v>57288.18</v>
      </c>
      <c r="D158" s="3">
        <f t="shared" si="48"/>
        <v>0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4">
        <v>0</v>
      </c>
      <c r="L158" s="3">
        <v>0</v>
      </c>
      <c r="M158" s="3">
        <v>0</v>
      </c>
      <c r="N158" s="3">
        <v>0</v>
      </c>
      <c r="O158" s="3">
        <v>0</v>
      </c>
      <c r="P158" s="3">
        <v>0</v>
      </c>
      <c r="Q158" s="3">
        <v>0</v>
      </c>
      <c r="R158" s="3">
        <v>0</v>
      </c>
      <c r="S158" s="3">
        <v>0</v>
      </c>
      <c r="T158" s="3">
        <v>0</v>
      </c>
      <c r="U158" s="3">
        <v>57288.18</v>
      </c>
      <c r="V158" s="5" t="e">
        <f t="shared" si="49"/>
        <v>#DIV/0!</v>
      </c>
    </row>
    <row r="159" spans="1:22" ht="24" customHeight="1" x14ac:dyDescent="0.25">
      <c r="A159" s="21" t="s">
        <v>1073</v>
      </c>
      <c r="B159" s="27" t="s">
        <v>441</v>
      </c>
      <c r="C159" s="2">
        <f t="shared" si="47"/>
        <v>47015.32</v>
      </c>
      <c r="D159" s="3">
        <f t="shared" si="48"/>
        <v>0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4">
        <v>0</v>
      </c>
      <c r="L159" s="3">
        <v>0</v>
      </c>
      <c r="M159" s="3">
        <v>0</v>
      </c>
      <c r="N159" s="3">
        <v>0</v>
      </c>
      <c r="O159" s="3">
        <v>0</v>
      </c>
      <c r="P159" s="3">
        <v>0</v>
      </c>
      <c r="Q159" s="3">
        <v>0</v>
      </c>
      <c r="R159" s="3">
        <v>0</v>
      </c>
      <c r="S159" s="3">
        <v>0</v>
      </c>
      <c r="T159" s="3">
        <v>0</v>
      </c>
      <c r="U159" s="3">
        <v>47015.32</v>
      </c>
      <c r="V159" s="5" t="e">
        <f t="shared" si="49"/>
        <v>#DIV/0!</v>
      </c>
    </row>
    <row r="160" spans="1:22" ht="24" customHeight="1" x14ac:dyDescent="0.25">
      <c r="A160" s="21" t="s">
        <v>1074</v>
      </c>
      <c r="B160" s="24" t="s">
        <v>391</v>
      </c>
      <c r="C160" s="2">
        <f t="shared" si="47"/>
        <v>43169.63</v>
      </c>
      <c r="D160" s="3">
        <f t="shared" si="48"/>
        <v>0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4">
        <v>0</v>
      </c>
      <c r="L160" s="3">
        <v>0</v>
      </c>
      <c r="M160" s="3">
        <v>0</v>
      </c>
      <c r="N160" s="3">
        <v>0</v>
      </c>
      <c r="O160" s="3">
        <v>0</v>
      </c>
      <c r="P160" s="3">
        <v>0</v>
      </c>
      <c r="Q160" s="3">
        <v>0</v>
      </c>
      <c r="R160" s="3">
        <v>0</v>
      </c>
      <c r="S160" s="3">
        <v>0</v>
      </c>
      <c r="T160" s="3">
        <v>0</v>
      </c>
      <c r="U160" s="3">
        <v>43169.63</v>
      </c>
      <c r="V160" s="5" t="e">
        <f t="shared" si="49"/>
        <v>#DIV/0!</v>
      </c>
    </row>
    <row r="161" spans="1:22" ht="24" customHeight="1" x14ac:dyDescent="0.25">
      <c r="A161" s="21" t="s">
        <v>1075</v>
      </c>
      <c r="B161" s="24" t="s">
        <v>392</v>
      </c>
      <c r="C161" s="2">
        <f t="shared" si="47"/>
        <v>44381.3</v>
      </c>
      <c r="D161" s="3">
        <f t="shared" si="48"/>
        <v>0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4">
        <v>0</v>
      </c>
      <c r="L161" s="3">
        <v>0</v>
      </c>
      <c r="M161" s="3">
        <v>0</v>
      </c>
      <c r="N161" s="3">
        <v>0</v>
      </c>
      <c r="O161" s="3">
        <v>0</v>
      </c>
      <c r="P161" s="3">
        <v>0</v>
      </c>
      <c r="Q161" s="3">
        <v>0</v>
      </c>
      <c r="R161" s="3">
        <v>0</v>
      </c>
      <c r="S161" s="3">
        <v>0</v>
      </c>
      <c r="T161" s="3">
        <v>0</v>
      </c>
      <c r="U161" s="3">
        <v>44381.3</v>
      </c>
      <c r="V161" s="5" t="e">
        <f t="shared" si="49"/>
        <v>#DIV/0!</v>
      </c>
    </row>
    <row r="162" spans="1:22" ht="24" customHeight="1" x14ac:dyDescent="0.25">
      <c r="A162" s="21" t="s">
        <v>1076</v>
      </c>
      <c r="B162" s="24" t="s">
        <v>393</v>
      </c>
      <c r="C162" s="2">
        <f t="shared" si="47"/>
        <v>42168.68</v>
      </c>
      <c r="D162" s="3">
        <f t="shared" si="48"/>
        <v>0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  <c r="K162" s="4">
        <v>0</v>
      </c>
      <c r="L162" s="3">
        <v>0</v>
      </c>
      <c r="M162" s="3">
        <v>0</v>
      </c>
      <c r="N162" s="3">
        <v>0</v>
      </c>
      <c r="O162" s="3">
        <v>0</v>
      </c>
      <c r="P162" s="3">
        <v>0</v>
      </c>
      <c r="Q162" s="3">
        <v>0</v>
      </c>
      <c r="R162" s="3">
        <v>0</v>
      </c>
      <c r="S162" s="3">
        <v>0</v>
      </c>
      <c r="T162" s="3">
        <v>0</v>
      </c>
      <c r="U162" s="3">
        <v>42168.68</v>
      </c>
      <c r="V162" s="5" t="e">
        <f t="shared" si="49"/>
        <v>#DIV/0!</v>
      </c>
    </row>
    <row r="163" spans="1:22" ht="24" customHeight="1" x14ac:dyDescent="0.25">
      <c r="A163" s="21" t="s">
        <v>1077</v>
      </c>
      <c r="B163" s="24" t="s">
        <v>390</v>
      </c>
      <c r="C163" s="2">
        <f t="shared" si="47"/>
        <v>44381.3</v>
      </c>
      <c r="D163" s="3">
        <f t="shared" si="48"/>
        <v>0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  <c r="K163" s="4">
        <v>0</v>
      </c>
      <c r="L163" s="3">
        <v>0</v>
      </c>
      <c r="M163" s="3">
        <v>0</v>
      </c>
      <c r="N163" s="3">
        <v>0</v>
      </c>
      <c r="O163" s="3">
        <v>0</v>
      </c>
      <c r="P163" s="3">
        <v>0</v>
      </c>
      <c r="Q163" s="3">
        <v>0</v>
      </c>
      <c r="R163" s="3">
        <v>0</v>
      </c>
      <c r="S163" s="3">
        <v>0</v>
      </c>
      <c r="T163" s="3">
        <v>0</v>
      </c>
      <c r="U163" s="3">
        <v>44381.3</v>
      </c>
      <c r="V163" s="5" t="e">
        <f t="shared" si="49"/>
        <v>#DIV/0!</v>
      </c>
    </row>
    <row r="164" spans="1:22" ht="24" customHeight="1" x14ac:dyDescent="0.25">
      <c r="A164" s="21" t="s">
        <v>1078</v>
      </c>
      <c r="B164" s="24" t="s">
        <v>481</v>
      </c>
      <c r="C164" s="2">
        <f t="shared" si="47"/>
        <v>24442991.599999998</v>
      </c>
      <c r="D164" s="3">
        <f t="shared" si="48"/>
        <v>12208533.599999998</v>
      </c>
      <c r="E164" s="3">
        <v>2876661.6</v>
      </c>
      <c r="F164" s="3">
        <v>4556289.5999999996</v>
      </c>
      <c r="G164" s="3">
        <v>1168137.6000000001</v>
      </c>
      <c r="H164" s="3">
        <v>1347771.6</v>
      </c>
      <c r="I164" s="3">
        <v>2259673.2000000002</v>
      </c>
      <c r="J164" s="3">
        <f>350*0</f>
        <v>0</v>
      </c>
      <c r="K164" s="4">
        <v>0</v>
      </c>
      <c r="L164" s="3">
        <v>0</v>
      </c>
      <c r="M164" s="3">
        <v>1132.45</v>
      </c>
      <c r="N164" s="3">
        <v>3339720</v>
      </c>
      <c r="O164" s="3">
        <v>1012</v>
      </c>
      <c r="P164" s="3">
        <f>O164*1200</f>
        <v>1214400</v>
      </c>
      <c r="Q164" s="3">
        <v>3140</v>
      </c>
      <c r="R164" s="3">
        <v>7480338</v>
      </c>
      <c r="S164" s="3">
        <v>0</v>
      </c>
      <c r="T164" s="3">
        <v>0</v>
      </c>
      <c r="U164" s="3">
        <v>200000</v>
      </c>
      <c r="V164" s="5">
        <f t="shared" si="49"/>
        <v>2949.1103359971739</v>
      </c>
    </row>
    <row r="165" spans="1:22" ht="24" customHeight="1" x14ac:dyDescent="0.25">
      <c r="A165" s="21" t="s">
        <v>1079</v>
      </c>
      <c r="B165" s="28" t="s">
        <v>881</v>
      </c>
      <c r="C165" s="2">
        <f t="shared" si="47"/>
        <v>1845974.65</v>
      </c>
      <c r="D165" s="3">
        <f t="shared" si="48"/>
        <v>0</v>
      </c>
      <c r="E165" s="3">
        <v>0</v>
      </c>
      <c r="F165" s="3">
        <v>0</v>
      </c>
      <c r="G165" s="3">
        <v>0</v>
      </c>
      <c r="H165" s="3">
        <v>0</v>
      </c>
      <c r="I165" s="3">
        <v>0</v>
      </c>
      <c r="J165" s="3">
        <v>0</v>
      </c>
      <c r="K165" s="4">
        <v>0</v>
      </c>
      <c r="L165" s="3">
        <v>0</v>
      </c>
      <c r="M165" s="3">
        <v>343</v>
      </c>
      <c r="N165" s="3">
        <v>1595353.2</v>
      </c>
      <c r="O165" s="3">
        <v>0</v>
      </c>
      <c r="P165" s="3">
        <v>0</v>
      </c>
      <c r="Q165" s="3">
        <v>0</v>
      </c>
      <c r="R165" s="3">
        <v>0</v>
      </c>
      <c r="S165" s="3">
        <v>0</v>
      </c>
      <c r="T165" s="3">
        <v>0</v>
      </c>
      <c r="U165" s="3">
        <v>250621.45</v>
      </c>
      <c r="V165" s="5">
        <f t="shared" si="49"/>
        <v>4651.1755102040815</v>
      </c>
    </row>
    <row r="166" spans="1:22" ht="24" customHeight="1" x14ac:dyDescent="0.25">
      <c r="A166" s="21" t="s">
        <v>1080</v>
      </c>
      <c r="B166" s="24" t="s">
        <v>442</v>
      </c>
      <c r="C166" s="2">
        <f t="shared" si="47"/>
        <v>60640.68</v>
      </c>
      <c r="D166" s="3">
        <f t="shared" si="48"/>
        <v>0</v>
      </c>
      <c r="E166" s="3">
        <v>0</v>
      </c>
      <c r="F166" s="3">
        <v>0</v>
      </c>
      <c r="G166" s="3">
        <v>0</v>
      </c>
      <c r="H166" s="3">
        <v>0</v>
      </c>
      <c r="I166" s="3">
        <v>0</v>
      </c>
      <c r="J166" s="3">
        <v>0</v>
      </c>
      <c r="K166" s="4">
        <v>0</v>
      </c>
      <c r="L166" s="3">
        <v>0</v>
      </c>
      <c r="M166" s="3">
        <v>0</v>
      </c>
      <c r="N166" s="3">
        <v>0</v>
      </c>
      <c r="O166" s="3">
        <v>0</v>
      </c>
      <c r="P166" s="3">
        <v>0</v>
      </c>
      <c r="Q166" s="3">
        <v>0</v>
      </c>
      <c r="R166" s="3">
        <v>0</v>
      </c>
      <c r="S166" s="3">
        <v>0</v>
      </c>
      <c r="T166" s="3">
        <v>0</v>
      </c>
      <c r="U166" s="3">
        <v>60640.68</v>
      </c>
      <c r="V166" s="5" t="e">
        <f t="shared" si="49"/>
        <v>#DIV/0!</v>
      </c>
    </row>
    <row r="167" spans="1:22" ht="24" customHeight="1" x14ac:dyDescent="0.25">
      <c r="A167" s="21" t="s">
        <v>1081</v>
      </c>
      <c r="B167" s="24" t="s">
        <v>431</v>
      </c>
      <c r="C167" s="2">
        <f t="shared" si="47"/>
        <v>21399145.73</v>
      </c>
      <c r="D167" s="3">
        <f t="shared" si="48"/>
        <v>21200145.73</v>
      </c>
      <c r="E167" s="3">
        <v>3268204.8</v>
      </c>
      <c r="F167" s="3">
        <v>13156670.470000001</v>
      </c>
      <c r="G167" s="3">
        <v>1780430.71</v>
      </c>
      <c r="H167" s="3">
        <v>1745882.32</v>
      </c>
      <c r="I167" s="3">
        <v>1248957.43</v>
      </c>
      <c r="J167" s="3">
        <f t="shared" ref="J167:J172" si="50">0*350</f>
        <v>0</v>
      </c>
      <c r="K167" s="4">
        <v>0</v>
      </c>
      <c r="L167" s="3">
        <v>0</v>
      </c>
      <c r="M167" s="3">
        <v>0</v>
      </c>
      <c r="N167" s="3">
        <v>0</v>
      </c>
      <c r="O167" s="3">
        <v>0</v>
      </c>
      <c r="P167" s="3">
        <v>0</v>
      </c>
      <c r="Q167" s="3">
        <v>0</v>
      </c>
      <c r="R167" s="3">
        <v>0</v>
      </c>
      <c r="S167" s="3">
        <v>0</v>
      </c>
      <c r="T167" s="3">
        <v>0</v>
      </c>
      <c r="U167" s="3">
        <v>199000</v>
      </c>
      <c r="V167" s="5" t="e">
        <f t="shared" si="49"/>
        <v>#DIV/0!</v>
      </c>
    </row>
    <row r="168" spans="1:22" ht="24" customHeight="1" x14ac:dyDescent="0.25">
      <c r="A168" s="21" t="s">
        <v>1082</v>
      </c>
      <c r="B168" s="24" t="s">
        <v>420</v>
      </c>
      <c r="C168" s="2">
        <f t="shared" si="47"/>
        <v>128639.99</v>
      </c>
      <c r="D168" s="3">
        <f t="shared" si="48"/>
        <v>0</v>
      </c>
      <c r="E168" s="3">
        <v>0</v>
      </c>
      <c r="F168" s="3">
        <v>0</v>
      </c>
      <c r="G168" s="3">
        <v>0</v>
      </c>
      <c r="H168" s="3">
        <v>0</v>
      </c>
      <c r="I168" s="3">
        <v>0</v>
      </c>
      <c r="J168" s="3">
        <f t="shared" si="50"/>
        <v>0</v>
      </c>
      <c r="K168" s="4">
        <v>0</v>
      </c>
      <c r="L168" s="3">
        <v>0</v>
      </c>
      <c r="M168" s="3">
        <v>0</v>
      </c>
      <c r="N168" s="3">
        <v>0</v>
      </c>
      <c r="O168" s="3">
        <v>0</v>
      </c>
      <c r="P168" s="3">
        <v>0</v>
      </c>
      <c r="Q168" s="3">
        <v>0</v>
      </c>
      <c r="R168" s="3">
        <v>0</v>
      </c>
      <c r="S168" s="3">
        <v>0</v>
      </c>
      <c r="T168" s="3">
        <v>0</v>
      </c>
      <c r="U168" s="3">
        <v>128639.99</v>
      </c>
      <c r="V168" s="5" t="e">
        <f t="shared" si="49"/>
        <v>#DIV/0!</v>
      </c>
    </row>
    <row r="169" spans="1:22" ht="24" customHeight="1" x14ac:dyDescent="0.25">
      <c r="A169" s="21" t="s">
        <v>972</v>
      </c>
      <c r="B169" s="24" t="s">
        <v>412</v>
      </c>
      <c r="C169" s="2">
        <f t="shared" si="47"/>
        <v>200000</v>
      </c>
      <c r="D169" s="3">
        <f t="shared" si="48"/>
        <v>0</v>
      </c>
      <c r="E169" s="3">
        <v>0</v>
      </c>
      <c r="F169" s="3">
        <v>0</v>
      </c>
      <c r="G169" s="3">
        <v>0</v>
      </c>
      <c r="H169" s="3">
        <v>0</v>
      </c>
      <c r="I169" s="3">
        <v>0</v>
      </c>
      <c r="J169" s="3">
        <f t="shared" si="50"/>
        <v>0</v>
      </c>
      <c r="K169" s="4">
        <v>0</v>
      </c>
      <c r="L169" s="3">
        <v>0</v>
      </c>
      <c r="M169" s="3">
        <v>0</v>
      </c>
      <c r="N169" s="3">
        <v>0</v>
      </c>
      <c r="O169" s="3">
        <v>0</v>
      </c>
      <c r="P169" s="3">
        <v>0</v>
      </c>
      <c r="Q169" s="3">
        <v>0</v>
      </c>
      <c r="R169" s="3">
        <v>0</v>
      </c>
      <c r="S169" s="3">
        <v>0</v>
      </c>
      <c r="T169" s="3">
        <v>0</v>
      </c>
      <c r="U169" s="3">
        <v>200000</v>
      </c>
      <c r="V169" s="5" t="e">
        <f t="shared" si="49"/>
        <v>#DIV/0!</v>
      </c>
    </row>
    <row r="170" spans="1:22" ht="24" customHeight="1" x14ac:dyDescent="0.25">
      <c r="A170" s="21" t="s">
        <v>973</v>
      </c>
      <c r="B170" s="24" t="s">
        <v>399</v>
      </c>
      <c r="C170" s="2">
        <f t="shared" si="47"/>
        <v>2315708.7499999995</v>
      </c>
      <c r="D170" s="3">
        <f t="shared" si="48"/>
        <v>2191927.1999999997</v>
      </c>
      <c r="E170" s="3">
        <v>398486.4</v>
      </c>
      <c r="F170" s="3">
        <v>1460510.4</v>
      </c>
      <c r="G170" s="3">
        <v>185814</v>
      </c>
      <c r="H170" s="3">
        <v>0</v>
      </c>
      <c r="I170" s="3">
        <v>147116.4</v>
      </c>
      <c r="J170" s="3">
        <f t="shared" si="50"/>
        <v>0</v>
      </c>
      <c r="K170" s="4">
        <v>0</v>
      </c>
      <c r="L170" s="3">
        <v>0</v>
      </c>
      <c r="M170" s="3">
        <v>0</v>
      </c>
      <c r="N170" s="3">
        <v>0</v>
      </c>
      <c r="O170" s="3">
        <v>0</v>
      </c>
      <c r="P170" s="3">
        <v>0</v>
      </c>
      <c r="Q170" s="3">
        <v>0</v>
      </c>
      <c r="R170" s="3">
        <v>0</v>
      </c>
      <c r="S170" s="3">
        <v>0</v>
      </c>
      <c r="T170" s="3">
        <v>0</v>
      </c>
      <c r="U170" s="3">
        <v>123781.55</v>
      </c>
      <c r="V170" s="5" t="e">
        <f t="shared" si="49"/>
        <v>#DIV/0!</v>
      </c>
    </row>
    <row r="171" spans="1:22" ht="24" customHeight="1" x14ac:dyDescent="0.25">
      <c r="A171" s="21" t="s">
        <v>1083</v>
      </c>
      <c r="B171" s="24" t="s">
        <v>413</v>
      </c>
      <c r="C171" s="2">
        <f t="shared" si="47"/>
        <v>200000</v>
      </c>
      <c r="D171" s="3">
        <f t="shared" si="48"/>
        <v>0</v>
      </c>
      <c r="E171" s="3">
        <v>0</v>
      </c>
      <c r="F171" s="3">
        <v>0</v>
      </c>
      <c r="G171" s="3">
        <v>0</v>
      </c>
      <c r="H171" s="3">
        <v>0</v>
      </c>
      <c r="I171" s="3">
        <v>0</v>
      </c>
      <c r="J171" s="3">
        <f t="shared" si="50"/>
        <v>0</v>
      </c>
      <c r="K171" s="4">
        <v>0</v>
      </c>
      <c r="L171" s="3">
        <v>0</v>
      </c>
      <c r="M171" s="3">
        <v>0</v>
      </c>
      <c r="N171" s="3">
        <v>0</v>
      </c>
      <c r="O171" s="3">
        <v>0</v>
      </c>
      <c r="P171" s="3">
        <v>0</v>
      </c>
      <c r="Q171" s="3">
        <v>0</v>
      </c>
      <c r="R171" s="3">
        <v>0</v>
      </c>
      <c r="S171" s="3">
        <v>0</v>
      </c>
      <c r="T171" s="3">
        <v>0</v>
      </c>
      <c r="U171" s="3">
        <v>200000</v>
      </c>
      <c r="V171" s="5" t="e">
        <f t="shared" si="49"/>
        <v>#DIV/0!</v>
      </c>
    </row>
    <row r="172" spans="1:22" ht="24" customHeight="1" x14ac:dyDescent="0.25">
      <c r="A172" s="21" t="s">
        <v>974</v>
      </c>
      <c r="B172" s="24" t="s">
        <v>419</v>
      </c>
      <c r="C172" s="2">
        <f t="shared" si="47"/>
        <v>128923.69</v>
      </c>
      <c r="D172" s="3">
        <f t="shared" si="48"/>
        <v>0</v>
      </c>
      <c r="E172" s="3">
        <v>0</v>
      </c>
      <c r="F172" s="3">
        <v>0</v>
      </c>
      <c r="G172" s="3">
        <v>0</v>
      </c>
      <c r="H172" s="3">
        <v>0</v>
      </c>
      <c r="I172" s="3">
        <v>0</v>
      </c>
      <c r="J172" s="3">
        <f t="shared" si="50"/>
        <v>0</v>
      </c>
      <c r="K172" s="4">
        <v>0</v>
      </c>
      <c r="L172" s="3">
        <v>0</v>
      </c>
      <c r="M172" s="3">
        <v>0</v>
      </c>
      <c r="N172" s="3">
        <v>0</v>
      </c>
      <c r="O172" s="3">
        <v>0</v>
      </c>
      <c r="P172" s="3">
        <v>0</v>
      </c>
      <c r="Q172" s="3">
        <v>0</v>
      </c>
      <c r="R172" s="3">
        <v>0</v>
      </c>
      <c r="S172" s="3">
        <v>0</v>
      </c>
      <c r="T172" s="3">
        <v>0</v>
      </c>
      <c r="U172" s="3">
        <v>128923.69</v>
      </c>
      <c r="V172" s="5" t="e">
        <f t="shared" si="49"/>
        <v>#DIV/0!</v>
      </c>
    </row>
    <row r="173" spans="1:22" ht="24" customHeight="1" x14ac:dyDescent="0.25">
      <c r="A173" s="21" t="s">
        <v>975</v>
      </c>
      <c r="B173" s="24" t="s">
        <v>456</v>
      </c>
      <c r="C173" s="2">
        <f t="shared" si="47"/>
        <v>6825610.0200000005</v>
      </c>
      <c r="D173" s="3">
        <f t="shared" si="48"/>
        <v>6632610.0200000005</v>
      </c>
      <c r="E173" s="3">
        <v>953371.75</v>
      </c>
      <c r="F173" s="3">
        <v>4865769.32</v>
      </c>
      <c r="G173" s="3">
        <v>274070.62</v>
      </c>
      <c r="H173" s="3">
        <v>439665.58</v>
      </c>
      <c r="I173" s="3">
        <v>99732.75</v>
      </c>
      <c r="J173" s="3">
        <f>350*0</f>
        <v>0</v>
      </c>
      <c r="K173" s="4">
        <v>0</v>
      </c>
      <c r="L173" s="3">
        <v>0</v>
      </c>
      <c r="M173" s="3">
        <v>0</v>
      </c>
      <c r="N173" s="3">
        <v>0</v>
      </c>
      <c r="O173" s="3">
        <v>0</v>
      </c>
      <c r="P173" s="3">
        <v>0</v>
      </c>
      <c r="Q173" s="3">
        <v>0</v>
      </c>
      <c r="R173" s="3">
        <v>0</v>
      </c>
      <c r="S173" s="3">
        <v>0</v>
      </c>
      <c r="T173" s="3">
        <v>0</v>
      </c>
      <c r="U173" s="3">
        <v>193000</v>
      </c>
      <c r="V173" s="5" t="e">
        <f t="shared" si="49"/>
        <v>#DIV/0!</v>
      </c>
    </row>
    <row r="174" spans="1:22" ht="24" customHeight="1" x14ac:dyDescent="0.25">
      <c r="A174" s="21" t="s">
        <v>1084</v>
      </c>
      <c r="B174" s="24" t="s">
        <v>379</v>
      </c>
      <c r="C174" s="2">
        <f t="shared" si="47"/>
        <v>200000</v>
      </c>
      <c r="D174" s="3">
        <f t="shared" si="48"/>
        <v>0</v>
      </c>
      <c r="E174" s="3">
        <v>0</v>
      </c>
      <c r="F174" s="3">
        <v>0</v>
      </c>
      <c r="G174" s="3">
        <v>0</v>
      </c>
      <c r="H174" s="3">
        <v>0</v>
      </c>
      <c r="I174" s="3">
        <v>0</v>
      </c>
      <c r="J174" s="3">
        <f>350*0</f>
        <v>0</v>
      </c>
      <c r="K174" s="4">
        <v>0</v>
      </c>
      <c r="L174" s="3">
        <v>0</v>
      </c>
      <c r="M174" s="3">
        <v>0</v>
      </c>
      <c r="N174" s="3">
        <v>0</v>
      </c>
      <c r="O174" s="3">
        <v>0</v>
      </c>
      <c r="P174" s="3">
        <v>0</v>
      </c>
      <c r="Q174" s="3">
        <v>0</v>
      </c>
      <c r="R174" s="3">
        <v>0</v>
      </c>
      <c r="S174" s="3">
        <v>0</v>
      </c>
      <c r="T174" s="3">
        <v>0</v>
      </c>
      <c r="U174" s="3">
        <v>200000</v>
      </c>
      <c r="V174" s="5" t="e">
        <f t="shared" si="49"/>
        <v>#DIV/0!</v>
      </c>
    </row>
    <row r="175" spans="1:22" ht="24" customHeight="1" x14ac:dyDescent="0.25">
      <c r="A175" s="21" t="s">
        <v>1085</v>
      </c>
      <c r="B175" s="27" t="s">
        <v>422</v>
      </c>
      <c r="C175" s="2">
        <f t="shared" si="47"/>
        <v>200000</v>
      </c>
      <c r="D175" s="3">
        <f t="shared" si="48"/>
        <v>0</v>
      </c>
      <c r="E175" s="3">
        <v>0</v>
      </c>
      <c r="F175" s="3">
        <v>0</v>
      </c>
      <c r="G175" s="3">
        <v>0</v>
      </c>
      <c r="H175" s="3">
        <v>0</v>
      </c>
      <c r="I175" s="3">
        <v>0</v>
      </c>
      <c r="J175" s="3">
        <f>350*0</f>
        <v>0</v>
      </c>
      <c r="K175" s="4">
        <v>0</v>
      </c>
      <c r="L175" s="3">
        <v>0</v>
      </c>
      <c r="M175" s="3">
        <v>0</v>
      </c>
      <c r="N175" s="3">
        <v>0</v>
      </c>
      <c r="O175" s="3">
        <v>0</v>
      </c>
      <c r="P175" s="3">
        <v>0</v>
      </c>
      <c r="Q175" s="3">
        <v>0</v>
      </c>
      <c r="R175" s="3">
        <v>0</v>
      </c>
      <c r="S175" s="3">
        <v>0</v>
      </c>
      <c r="T175" s="3">
        <v>0</v>
      </c>
      <c r="U175" s="3">
        <v>200000</v>
      </c>
      <c r="V175" s="5" t="e">
        <f t="shared" si="49"/>
        <v>#DIV/0!</v>
      </c>
    </row>
    <row r="176" spans="1:22" ht="24" customHeight="1" x14ac:dyDescent="0.25">
      <c r="A176" s="21" t="s">
        <v>1086</v>
      </c>
      <c r="B176" s="24" t="s">
        <v>457</v>
      </c>
      <c r="C176" s="2">
        <f t="shared" si="47"/>
        <v>3724471.58</v>
      </c>
      <c r="D176" s="3">
        <f t="shared" si="48"/>
        <v>0</v>
      </c>
      <c r="E176" s="3">
        <v>0</v>
      </c>
      <c r="F176" s="3">
        <v>0</v>
      </c>
      <c r="G176" s="3">
        <v>0</v>
      </c>
      <c r="H176" s="3">
        <v>0</v>
      </c>
      <c r="I176" s="3">
        <v>0</v>
      </c>
      <c r="J176" s="3">
        <v>0</v>
      </c>
      <c r="K176" s="4">
        <v>0</v>
      </c>
      <c r="L176" s="3">
        <v>0</v>
      </c>
      <c r="M176" s="3">
        <v>802.6</v>
      </c>
      <c r="N176" s="3">
        <v>3641665.2</v>
      </c>
      <c r="O176" s="3">
        <v>0</v>
      </c>
      <c r="P176" s="3">
        <v>0</v>
      </c>
      <c r="Q176" s="3">
        <v>0</v>
      </c>
      <c r="R176" s="3">
        <v>0</v>
      </c>
      <c r="S176" s="3">
        <v>0</v>
      </c>
      <c r="T176" s="3">
        <v>0</v>
      </c>
      <c r="U176" s="3">
        <v>82806.38</v>
      </c>
      <c r="V176" s="5">
        <f t="shared" si="49"/>
        <v>4537.3351607276354</v>
      </c>
    </row>
    <row r="177" spans="1:22" ht="24" customHeight="1" x14ac:dyDescent="0.25">
      <c r="A177" s="21" t="s">
        <v>1087</v>
      </c>
      <c r="B177" s="24" t="s">
        <v>443</v>
      </c>
      <c r="C177" s="2">
        <f t="shared" si="47"/>
        <v>62674.98</v>
      </c>
      <c r="D177" s="3">
        <f t="shared" si="48"/>
        <v>0</v>
      </c>
      <c r="E177" s="3">
        <v>0</v>
      </c>
      <c r="F177" s="3">
        <v>0</v>
      </c>
      <c r="G177" s="3">
        <v>0</v>
      </c>
      <c r="H177" s="3">
        <v>0</v>
      </c>
      <c r="I177" s="3">
        <v>0</v>
      </c>
      <c r="J177" s="3">
        <v>0</v>
      </c>
      <c r="K177" s="4">
        <v>0</v>
      </c>
      <c r="L177" s="3">
        <v>0</v>
      </c>
      <c r="M177" s="3">
        <v>0</v>
      </c>
      <c r="N177" s="3">
        <v>0</v>
      </c>
      <c r="O177" s="3">
        <v>0</v>
      </c>
      <c r="P177" s="3">
        <v>0</v>
      </c>
      <c r="Q177" s="3">
        <v>0</v>
      </c>
      <c r="R177" s="3">
        <v>0</v>
      </c>
      <c r="S177" s="3">
        <v>0</v>
      </c>
      <c r="T177" s="3">
        <v>0</v>
      </c>
      <c r="U177" s="3">
        <v>62674.98</v>
      </c>
      <c r="V177" s="5" t="e">
        <f t="shared" si="49"/>
        <v>#DIV/0!</v>
      </c>
    </row>
    <row r="178" spans="1:22" ht="24" customHeight="1" x14ac:dyDescent="0.25">
      <c r="A178" s="21" t="s">
        <v>1088</v>
      </c>
      <c r="B178" s="24" t="s">
        <v>444</v>
      </c>
      <c r="C178" s="2">
        <f t="shared" si="47"/>
        <v>63754.32</v>
      </c>
      <c r="D178" s="3">
        <f t="shared" si="48"/>
        <v>0</v>
      </c>
      <c r="E178" s="3">
        <v>0</v>
      </c>
      <c r="F178" s="3">
        <v>0</v>
      </c>
      <c r="G178" s="3">
        <v>0</v>
      </c>
      <c r="H178" s="3">
        <v>0</v>
      </c>
      <c r="I178" s="3">
        <v>0</v>
      </c>
      <c r="J178" s="3">
        <v>0</v>
      </c>
      <c r="K178" s="4">
        <v>0</v>
      </c>
      <c r="L178" s="3">
        <v>0</v>
      </c>
      <c r="M178" s="3">
        <v>0</v>
      </c>
      <c r="N178" s="3">
        <v>0</v>
      </c>
      <c r="O178" s="3">
        <v>0</v>
      </c>
      <c r="P178" s="3">
        <v>0</v>
      </c>
      <c r="Q178" s="3">
        <v>0</v>
      </c>
      <c r="R178" s="3">
        <v>0</v>
      </c>
      <c r="S178" s="3">
        <v>0</v>
      </c>
      <c r="T178" s="3">
        <v>0</v>
      </c>
      <c r="U178" s="3">
        <v>63754.32</v>
      </c>
      <c r="V178" s="5" t="e">
        <f t="shared" si="49"/>
        <v>#DIV/0!</v>
      </c>
    </row>
    <row r="179" spans="1:22" ht="24" customHeight="1" x14ac:dyDescent="0.25">
      <c r="A179" s="21" t="s">
        <v>1089</v>
      </c>
      <c r="B179" s="27" t="s">
        <v>427</v>
      </c>
      <c r="C179" s="2">
        <f t="shared" si="47"/>
        <v>4392186.8099999996</v>
      </c>
      <c r="D179" s="3">
        <f t="shared" si="48"/>
        <v>0</v>
      </c>
      <c r="E179" s="3">
        <v>0</v>
      </c>
      <c r="F179" s="3">
        <v>0</v>
      </c>
      <c r="G179" s="3">
        <v>0</v>
      </c>
      <c r="H179" s="3">
        <v>0</v>
      </c>
      <c r="I179" s="3">
        <v>0</v>
      </c>
      <c r="J179" s="3">
        <v>0</v>
      </c>
      <c r="K179" s="4">
        <v>0</v>
      </c>
      <c r="L179" s="3">
        <v>0</v>
      </c>
      <c r="M179" s="3">
        <v>635</v>
      </c>
      <c r="N179" s="3">
        <v>2751054.57</v>
      </c>
      <c r="O179" s="3">
        <v>0</v>
      </c>
      <c r="P179" s="3">
        <v>0</v>
      </c>
      <c r="Q179" s="3">
        <v>630</v>
      </c>
      <c r="R179" s="3">
        <v>1641132.24</v>
      </c>
      <c r="S179" s="3">
        <v>0</v>
      </c>
      <c r="T179" s="3">
        <v>0</v>
      </c>
      <c r="U179" s="3">
        <v>0</v>
      </c>
      <c r="V179" s="5">
        <f t="shared" si="49"/>
        <v>4332.3694015748033</v>
      </c>
    </row>
    <row r="180" spans="1:22" ht="24" customHeight="1" x14ac:dyDescent="0.25">
      <c r="A180" s="21" t="s">
        <v>1090</v>
      </c>
      <c r="B180" s="24" t="s">
        <v>400</v>
      </c>
      <c r="C180" s="2">
        <f t="shared" si="47"/>
        <v>42590.11</v>
      </c>
      <c r="D180" s="3">
        <f t="shared" si="48"/>
        <v>0</v>
      </c>
      <c r="E180" s="3">
        <v>0</v>
      </c>
      <c r="F180" s="3">
        <v>0</v>
      </c>
      <c r="G180" s="3">
        <v>0</v>
      </c>
      <c r="H180" s="3">
        <v>0</v>
      </c>
      <c r="I180" s="3">
        <v>0</v>
      </c>
      <c r="J180" s="3">
        <v>0</v>
      </c>
      <c r="K180" s="4">
        <v>0</v>
      </c>
      <c r="L180" s="3">
        <v>0</v>
      </c>
      <c r="M180" s="3">
        <v>0</v>
      </c>
      <c r="N180" s="3">
        <v>0</v>
      </c>
      <c r="O180" s="3">
        <v>0</v>
      </c>
      <c r="P180" s="3">
        <v>0</v>
      </c>
      <c r="Q180" s="3">
        <v>0</v>
      </c>
      <c r="R180" s="3">
        <v>0</v>
      </c>
      <c r="S180" s="3">
        <v>0</v>
      </c>
      <c r="T180" s="3">
        <v>0</v>
      </c>
      <c r="U180" s="3">
        <v>42590.11</v>
      </c>
      <c r="V180" s="5" t="e">
        <f t="shared" si="49"/>
        <v>#DIV/0!</v>
      </c>
    </row>
    <row r="181" spans="1:22" ht="24" customHeight="1" x14ac:dyDescent="0.25">
      <c r="A181" s="21" t="s">
        <v>1091</v>
      </c>
      <c r="B181" s="24" t="s">
        <v>458</v>
      </c>
      <c r="C181" s="2">
        <f t="shared" si="47"/>
        <v>200000</v>
      </c>
      <c r="D181" s="3">
        <f t="shared" si="48"/>
        <v>0</v>
      </c>
      <c r="E181" s="3">
        <v>0</v>
      </c>
      <c r="F181" s="3">
        <v>0</v>
      </c>
      <c r="G181" s="3">
        <v>0</v>
      </c>
      <c r="H181" s="3">
        <v>0</v>
      </c>
      <c r="I181" s="3">
        <v>0</v>
      </c>
      <c r="J181" s="3">
        <f>350*0</f>
        <v>0</v>
      </c>
      <c r="K181" s="4">
        <v>0</v>
      </c>
      <c r="L181" s="3">
        <v>0</v>
      </c>
      <c r="M181" s="3">
        <v>0</v>
      </c>
      <c r="N181" s="3">
        <v>0</v>
      </c>
      <c r="O181" s="3">
        <v>0</v>
      </c>
      <c r="P181" s="3">
        <v>0</v>
      </c>
      <c r="Q181" s="3">
        <v>0</v>
      </c>
      <c r="R181" s="3">
        <v>0</v>
      </c>
      <c r="S181" s="3">
        <v>0</v>
      </c>
      <c r="T181" s="3">
        <v>0</v>
      </c>
      <c r="U181" s="3">
        <v>200000</v>
      </c>
      <c r="V181" s="5" t="e">
        <f t="shared" si="49"/>
        <v>#DIV/0!</v>
      </c>
    </row>
    <row r="182" spans="1:22" ht="24" customHeight="1" x14ac:dyDescent="0.25">
      <c r="A182" s="21" t="s">
        <v>1092</v>
      </c>
      <c r="B182" s="24" t="s">
        <v>428</v>
      </c>
      <c r="C182" s="2">
        <f t="shared" si="47"/>
        <v>4615765.99</v>
      </c>
      <c r="D182" s="3">
        <f t="shared" si="48"/>
        <v>4401472.04</v>
      </c>
      <c r="E182" s="3">
        <v>507047.63</v>
      </c>
      <c r="F182" s="3">
        <v>3221456.17</v>
      </c>
      <c r="G182" s="3">
        <v>152878.56</v>
      </c>
      <c r="H182" s="3">
        <v>455538.46</v>
      </c>
      <c r="I182" s="3">
        <v>64551.22</v>
      </c>
      <c r="J182" s="3">
        <f>350*0</f>
        <v>0</v>
      </c>
      <c r="K182" s="4">
        <v>0</v>
      </c>
      <c r="L182" s="3">
        <v>0</v>
      </c>
      <c r="M182" s="3">
        <v>0</v>
      </c>
      <c r="N182" s="3">
        <v>0</v>
      </c>
      <c r="O182" s="3">
        <v>20</v>
      </c>
      <c r="P182" s="3">
        <v>15293.94</v>
      </c>
      <c r="Q182" s="3">
        <v>0</v>
      </c>
      <c r="R182" s="3">
        <v>0</v>
      </c>
      <c r="S182" s="3">
        <v>0</v>
      </c>
      <c r="T182" s="3">
        <v>0</v>
      </c>
      <c r="U182" s="3">
        <v>199000.01</v>
      </c>
      <c r="V182" s="5" t="e">
        <f t="shared" si="49"/>
        <v>#DIV/0!</v>
      </c>
    </row>
    <row r="183" spans="1:22" ht="24" customHeight="1" x14ac:dyDescent="0.25">
      <c r="A183" s="21" t="s">
        <v>976</v>
      </c>
      <c r="B183" s="27" t="s">
        <v>459</v>
      </c>
      <c r="C183" s="2">
        <f t="shared" si="47"/>
        <v>5786822.2199999997</v>
      </c>
      <c r="D183" s="3">
        <f t="shared" si="48"/>
        <v>0</v>
      </c>
      <c r="E183" s="3">
        <v>0</v>
      </c>
      <c r="F183" s="3">
        <v>0</v>
      </c>
      <c r="G183" s="3">
        <v>0</v>
      </c>
      <c r="H183" s="3">
        <v>0</v>
      </c>
      <c r="I183" s="3">
        <v>0</v>
      </c>
      <c r="J183" s="3">
        <v>0</v>
      </c>
      <c r="K183" s="4">
        <v>0</v>
      </c>
      <c r="L183" s="3">
        <v>0</v>
      </c>
      <c r="M183" s="3">
        <v>1104.19</v>
      </c>
      <c r="N183" s="3">
        <v>5648708.9299999997</v>
      </c>
      <c r="O183" s="3">
        <v>0</v>
      </c>
      <c r="P183" s="3">
        <v>0</v>
      </c>
      <c r="Q183" s="3">
        <v>0</v>
      </c>
      <c r="R183" s="3">
        <v>0</v>
      </c>
      <c r="S183" s="3">
        <v>0</v>
      </c>
      <c r="T183" s="3">
        <v>0</v>
      </c>
      <c r="U183" s="3">
        <v>138113.29</v>
      </c>
      <c r="V183" s="5">
        <f t="shared" si="49"/>
        <v>5115.7037556942187</v>
      </c>
    </row>
    <row r="184" spans="1:22" ht="24" customHeight="1" x14ac:dyDescent="0.25">
      <c r="A184" s="21" t="s">
        <v>1093</v>
      </c>
      <c r="B184" s="28" t="s">
        <v>870</v>
      </c>
      <c r="C184" s="2">
        <f t="shared" si="47"/>
        <v>2176312.8000000003</v>
      </c>
      <c r="D184" s="3">
        <f t="shared" si="48"/>
        <v>2176312.8000000003</v>
      </c>
      <c r="E184" s="3">
        <v>0</v>
      </c>
      <c r="F184" s="3">
        <v>2114245.2000000002</v>
      </c>
      <c r="G184" s="3">
        <v>62067.6</v>
      </c>
      <c r="H184" s="3">
        <v>0</v>
      </c>
      <c r="I184" s="3">
        <v>0</v>
      </c>
      <c r="J184" s="3">
        <f>350*0</f>
        <v>0</v>
      </c>
      <c r="K184" s="4">
        <v>0</v>
      </c>
      <c r="L184" s="3">
        <v>0</v>
      </c>
      <c r="M184" s="3">
        <v>0</v>
      </c>
      <c r="N184" s="3">
        <v>0</v>
      </c>
      <c r="O184" s="3">
        <v>0</v>
      </c>
      <c r="P184" s="3">
        <v>0</v>
      </c>
      <c r="Q184" s="3">
        <v>0</v>
      </c>
      <c r="R184" s="13">
        <v>0</v>
      </c>
      <c r="S184" s="3">
        <v>0</v>
      </c>
      <c r="T184" s="3">
        <v>0</v>
      </c>
      <c r="U184" s="3">
        <v>0</v>
      </c>
      <c r="V184" s="5" t="e">
        <f t="shared" si="49"/>
        <v>#DIV/0!</v>
      </c>
    </row>
    <row r="185" spans="1:22" ht="24" customHeight="1" x14ac:dyDescent="0.25">
      <c r="A185" s="21" t="s">
        <v>1094</v>
      </c>
      <c r="B185" s="27" t="s">
        <v>373</v>
      </c>
      <c r="C185" s="2">
        <f t="shared" ref="C185:C216" si="51">D185+L185+N185+P185+R185+S185+T185+U185</f>
        <v>78903.490000000005</v>
      </c>
      <c r="D185" s="3">
        <f t="shared" ref="D185:D216" si="52">SUM(E185:J185)</f>
        <v>0</v>
      </c>
      <c r="E185" s="3">
        <v>0</v>
      </c>
      <c r="F185" s="3">
        <v>0</v>
      </c>
      <c r="G185" s="3">
        <v>0</v>
      </c>
      <c r="H185" s="3">
        <v>0</v>
      </c>
      <c r="I185" s="3">
        <v>0</v>
      </c>
      <c r="J185" s="3">
        <v>0</v>
      </c>
      <c r="K185" s="4">
        <v>0</v>
      </c>
      <c r="L185" s="3">
        <v>0</v>
      </c>
      <c r="M185" s="3">
        <v>0</v>
      </c>
      <c r="N185" s="3">
        <v>0</v>
      </c>
      <c r="O185" s="3">
        <v>0</v>
      </c>
      <c r="P185" s="3">
        <v>0</v>
      </c>
      <c r="Q185" s="3">
        <v>0</v>
      </c>
      <c r="R185" s="3">
        <v>0</v>
      </c>
      <c r="S185" s="3">
        <v>0</v>
      </c>
      <c r="T185" s="3">
        <v>0</v>
      </c>
      <c r="U185" s="3">
        <v>78903.490000000005</v>
      </c>
      <c r="V185" s="5" t="e">
        <f t="shared" ref="V185:V216" si="53">N185/M185</f>
        <v>#DIV/0!</v>
      </c>
    </row>
    <row r="186" spans="1:22" ht="24" customHeight="1" x14ac:dyDescent="0.25">
      <c r="A186" s="21" t="s">
        <v>1095</v>
      </c>
      <c r="B186" s="24" t="s">
        <v>368</v>
      </c>
      <c r="C186" s="2">
        <f t="shared" si="51"/>
        <v>65980.28</v>
      </c>
      <c r="D186" s="3">
        <f t="shared" si="52"/>
        <v>0</v>
      </c>
      <c r="E186" s="3">
        <v>0</v>
      </c>
      <c r="F186" s="3">
        <v>0</v>
      </c>
      <c r="G186" s="3">
        <v>0</v>
      </c>
      <c r="H186" s="3">
        <v>0</v>
      </c>
      <c r="I186" s="3">
        <v>0</v>
      </c>
      <c r="J186" s="3">
        <v>0</v>
      </c>
      <c r="K186" s="4">
        <v>0</v>
      </c>
      <c r="L186" s="3">
        <v>0</v>
      </c>
      <c r="M186" s="3">
        <v>0</v>
      </c>
      <c r="N186" s="3">
        <v>0</v>
      </c>
      <c r="O186" s="3">
        <v>0</v>
      </c>
      <c r="P186" s="3">
        <v>0</v>
      </c>
      <c r="Q186" s="3">
        <v>0</v>
      </c>
      <c r="R186" s="3">
        <v>0</v>
      </c>
      <c r="S186" s="3">
        <v>0</v>
      </c>
      <c r="T186" s="3">
        <v>0</v>
      </c>
      <c r="U186" s="3">
        <v>65980.28</v>
      </c>
      <c r="V186" s="5" t="e">
        <f t="shared" si="53"/>
        <v>#DIV/0!</v>
      </c>
    </row>
    <row r="187" spans="1:22" ht="24" customHeight="1" x14ac:dyDescent="0.25">
      <c r="A187" s="21" t="s">
        <v>1096</v>
      </c>
      <c r="B187" s="24" t="s">
        <v>381</v>
      </c>
      <c r="C187" s="2">
        <f t="shared" si="51"/>
        <v>118539.22</v>
      </c>
      <c r="D187" s="3">
        <f t="shared" si="52"/>
        <v>0</v>
      </c>
      <c r="E187" s="3">
        <v>0</v>
      </c>
      <c r="F187" s="3">
        <v>0</v>
      </c>
      <c r="G187" s="3">
        <v>0</v>
      </c>
      <c r="H187" s="3">
        <v>0</v>
      </c>
      <c r="I187" s="3">
        <v>0</v>
      </c>
      <c r="J187" s="3">
        <f t="shared" ref="J187:J192" si="54">350*0</f>
        <v>0</v>
      </c>
      <c r="K187" s="4">
        <v>0</v>
      </c>
      <c r="L187" s="3">
        <v>0</v>
      </c>
      <c r="M187" s="3">
        <v>0</v>
      </c>
      <c r="N187" s="3">
        <v>0</v>
      </c>
      <c r="O187" s="3">
        <v>0</v>
      </c>
      <c r="P187" s="3">
        <v>0</v>
      </c>
      <c r="Q187" s="3">
        <v>0</v>
      </c>
      <c r="R187" s="3">
        <v>0</v>
      </c>
      <c r="S187" s="3">
        <v>0</v>
      </c>
      <c r="T187" s="3">
        <v>0</v>
      </c>
      <c r="U187" s="3">
        <v>118539.22</v>
      </c>
      <c r="V187" s="5" t="e">
        <f t="shared" si="53"/>
        <v>#DIV/0!</v>
      </c>
    </row>
    <row r="188" spans="1:22" ht="24" customHeight="1" x14ac:dyDescent="0.25">
      <c r="A188" s="21" t="s">
        <v>1097</v>
      </c>
      <c r="B188" s="24" t="s">
        <v>480</v>
      </c>
      <c r="C188" s="2">
        <f t="shared" si="51"/>
        <v>11697685.68</v>
      </c>
      <c r="D188" s="3">
        <f t="shared" si="52"/>
        <v>3548145.14</v>
      </c>
      <c r="E188" s="3">
        <v>511667.81</v>
      </c>
      <c r="F188" s="3">
        <v>2608011.42</v>
      </c>
      <c r="G188" s="3">
        <v>309700.71999999997</v>
      </c>
      <c r="H188" s="3">
        <f>500*0</f>
        <v>0</v>
      </c>
      <c r="I188" s="3">
        <v>118765.19</v>
      </c>
      <c r="J188" s="3">
        <f t="shared" si="54"/>
        <v>0</v>
      </c>
      <c r="K188" s="4">
        <v>0</v>
      </c>
      <c r="L188" s="3">
        <v>0</v>
      </c>
      <c r="M188" s="3">
        <v>857.62</v>
      </c>
      <c r="N188" s="3">
        <v>3957230.42</v>
      </c>
      <c r="O188" s="3">
        <v>0</v>
      </c>
      <c r="P188" s="3">
        <v>0</v>
      </c>
      <c r="Q188" s="3">
        <v>1750</v>
      </c>
      <c r="R188" s="3">
        <v>3993310.12</v>
      </c>
      <c r="S188" s="3">
        <v>0</v>
      </c>
      <c r="T188" s="3">
        <v>0</v>
      </c>
      <c r="U188" s="3">
        <v>199000</v>
      </c>
      <c r="V188" s="5">
        <f t="shared" si="53"/>
        <v>4614.2002518597983</v>
      </c>
    </row>
    <row r="189" spans="1:22" ht="24" customHeight="1" x14ac:dyDescent="0.25">
      <c r="A189" s="21" t="s">
        <v>1098</v>
      </c>
      <c r="B189" s="24" t="s">
        <v>868</v>
      </c>
      <c r="C189" s="2">
        <f t="shared" si="51"/>
        <v>367317.96</v>
      </c>
      <c r="D189" s="3">
        <f t="shared" si="52"/>
        <v>0</v>
      </c>
      <c r="E189" s="3">
        <v>0</v>
      </c>
      <c r="F189" s="3">
        <v>0</v>
      </c>
      <c r="G189" s="3">
        <v>0</v>
      </c>
      <c r="H189" s="3">
        <v>0</v>
      </c>
      <c r="I189" s="3">
        <v>0</v>
      </c>
      <c r="J189" s="3">
        <f t="shared" si="54"/>
        <v>0</v>
      </c>
      <c r="K189" s="4">
        <v>0</v>
      </c>
      <c r="L189" s="3">
        <v>0</v>
      </c>
      <c r="M189" s="3">
        <v>0</v>
      </c>
      <c r="N189" s="3">
        <v>0</v>
      </c>
      <c r="O189" s="3">
        <v>0</v>
      </c>
      <c r="P189" s="3">
        <v>0</v>
      </c>
      <c r="Q189" s="3">
        <v>0</v>
      </c>
      <c r="R189" s="3">
        <v>0</v>
      </c>
      <c r="S189" s="3">
        <v>0</v>
      </c>
      <c r="T189" s="3">
        <v>0</v>
      </c>
      <c r="U189" s="3">
        <v>367317.96</v>
      </c>
      <c r="V189" s="5" t="e">
        <f t="shared" si="53"/>
        <v>#DIV/0!</v>
      </c>
    </row>
    <row r="190" spans="1:22" ht="24" customHeight="1" x14ac:dyDescent="0.25">
      <c r="A190" s="21" t="s">
        <v>1099</v>
      </c>
      <c r="B190" s="24" t="s">
        <v>889</v>
      </c>
      <c r="C190" s="2">
        <f t="shared" si="51"/>
        <v>13956660.52</v>
      </c>
      <c r="D190" s="3">
        <f t="shared" si="52"/>
        <v>12664962</v>
      </c>
      <c r="E190" s="3">
        <v>0</v>
      </c>
      <c r="F190" s="3">
        <v>8827056</v>
      </c>
      <c r="G190" s="3">
        <v>1214772</v>
      </c>
      <c r="H190" s="3">
        <v>1713249.6</v>
      </c>
      <c r="I190" s="3">
        <v>909884.4</v>
      </c>
      <c r="J190" s="3">
        <f t="shared" si="54"/>
        <v>0</v>
      </c>
      <c r="K190" s="4">
        <v>0</v>
      </c>
      <c r="L190" s="3">
        <v>0</v>
      </c>
      <c r="M190" s="3">
        <v>0</v>
      </c>
      <c r="N190" s="3">
        <v>0</v>
      </c>
      <c r="O190" s="3">
        <v>0</v>
      </c>
      <c r="P190" s="3">
        <v>0</v>
      </c>
      <c r="Q190" s="3">
        <v>0</v>
      </c>
      <c r="R190" s="3">
        <v>0</v>
      </c>
      <c r="S190" s="3">
        <v>0</v>
      </c>
      <c r="T190" s="3">
        <v>678303.6</v>
      </c>
      <c r="U190" s="3">
        <v>613394.92000000004</v>
      </c>
      <c r="V190" s="5" t="e">
        <f t="shared" si="53"/>
        <v>#DIV/0!</v>
      </c>
    </row>
    <row r="191" spans="1:22" ht="24" customHeight="1" x14ac:dyDescent="0.25">
      <c r="A191" s="21" t="s">
        <v>1100</v>
      </c>
      <c r="B191" s="24" t="s">
        <v>376</v>
      </c>
      <c r="C191" s="2">
        <f t="shared" si="51"/>
        <v>200000</v>
      </c>
      <c r="D191" s="3">
        <f t="shared" si="52"/>
        <v>0</v>
      </c>
      <c r="E191" s="3">
        <v>0</v>
      </c>
      <c r="F191" s="3">
        <v>0</v>
      </c>
      <c r="G191" s="3">
        <v>0</v>
      </c>
      <c r="H191" s="3">
        <v>0</v>
      </c>
      <c r="I191" s="3">
        <v>0</v>
      </c>
      <c r="J191" s="3">
        <f t="shared" si="54"/>
        <v>0</v>
      </c>
      <c r="K191" s="4">
        <v>0</v>
      </c>
      <c r="L191" s="3">
        <v>0</v>
      </c>
      <c r="M191" s="3">
        <v>0</v>
      </c>
      <c r="N191" s="3">
        <v>0</v>
      </c>
      <c r="O191" s="3">
        <v>0</v>
      </c>
      <c r="P191" s="3">
        <v>0</v>
      </c>
      <c r="Q191" s="3">
        <v>0</v>
      </c>
      <c r="R191" s="3">
        <v>0</v>
      </c>
      <c r="S191" s="3">
        <v>0</v>
      </c>
      <c r="T191" s="3">
        <v>0</v>
      </c>
      <c r="U191" s="3">
        <v>200000</v>
      </c>
      <c r="V191" s="5" t="e">
        <f t="shared" si="53"/>
        <v>#DIV/0!</v>
      </c>
    </row>
    <row r="192" spans="1:22" ht="24" customHeight="1" x14ac:dyDescent="0.25">
      <c r="A192" s="21" t="s">
        <v>1101</v>
      </c>
      <c r="B192" s="24" t="s">
        <v>371</v>
      </c>
      <c r="C192" s="2">
        <f t="shared" si="51"/>
        <v>186810.04</v>
      </c>
      <c r="D192" s="3">
        <f t="shared" si="52"/>
        <v>0</v>
      </c>
      <c r="E192" s="3">
        <v>0</v>
      </c>
      <c r="F192" s="3">
        <v>0</v>
      </c>
      <c r="G192" s="3">
        <v>0</v>
      </c>
      <c r="H192" s="3">
        <v>0</v>
      </c>
      <c r="I192" s="3">
        <v>0</v>
      </c>
      <c r="J192" s="3">
        <f t="shared" si="54"/>
        <v>0</v>
      </c>
      <c r="K192" s="4">
        <v>0</v>
      </c>
      <c r="L192" s="3">
        <v>0</v>
      </c>
      <c r="M192" s="3">
        <v>0</v>
      </c>
      <c r="N192" s="3">
        <v>0</v>
      </c>
      <c r="O192" s="3">
        <v>0</v>
      </c>
      <c r="P192" s="3">
        <v>0</v>
      </c>
      <c r="Q192" s="3">
        <v>0</v>
      </c>
      <c r="R192" s="3">
        <v>0</v>
      </c>
      <c r="S192" s="3">
        <v>0</v>
      </c>
      <c r="T192" s="3">
        <v>0</v>
      </c>
      <c r="U192" s="3">
        <v>186810.04</v>
      </c>
      <c r="V192" s="5" t="e">
        <f t="shared" si="53"/>
        <v>#DIV/0!</v>
      </c>
    </row>
    <row r="193" spans="1:22" ht="24" customHeight="1" x14ac:dyDescent="0.25">
      <c r="A193" s="21" t="s">
        <v>1102</v>
      </c>
      <c r="B193" s="28" t="s">
        <v>864</v>
      </c>
      <c r="C193" s="2">
        <f t="shared" si="51"/>
        <v>4548983.59</v>
      </c>
      <c r="D193" s="3">
        <f t="shared" si="52"/>
        <v>0</v>
      </c>
      <c r="E193" s="3">
        <v>0</v>
      </c>
      <c r="F193" s="3">
        <v>0</v>
      </c>
      <c r="G193" s="3">
        <v>0</v>
      </c>
      <c r="H193" s="3">
        <v>0</v>
      </c>
      <c r="I193" s="3">
        <v>0</v>
      </c>
      <c r="J193" s="3">
        <v>0</v>
      </c>
      <c r="K193" s="4">
        <v>0</v>
      </c>
      <c r="L193" s="3">
        <v>0</v>
      </c>
      <c r="M193" s="3">
        <v>708</v>
      </c>
      <c r="N193" s="3">
        <v>2578309.27</v>
      </c>
      <c r="O193" s="3">
        <v>0</v>
      </c>
      <c r="P193" s="3">
        <v>0</v>
      </c>
      <c r="Q193" s="3">
        <v>1172</v>
      </c>
      <c r="R193" s="13">
        <v>1970674.32</v>
      </c>
      <c r="S193" s="3">
        <v>0</v>
      </c>
      <c r="T193" s="3">
        <v>0</v>
      </c>
      <c r="U193" s="3">
        <v>0</v>
      </c>
      <c r="V193" s="5">
        <f t="shared" si="53"/>
        <v>3641.6797598870057</v>
      </c>
    </row>
    <row r="194" spans="1:22" ht="24" customHeight="1" x14ac:dyDescent="0.25">
      <c r="A194" s="21" t="s">
        <v>1103</v>
      </c>
      <c r="B194" s="24" t="s">
        <v>483</v>
      </c>
      <c r="C194" s="2">
        <f t="shared" si="51"/>
        <v>4309443.47</v>
      </c>
      <c r="D194" s="3">
        <f t="shared" si="52"/>
        <v>604965.24</v>
      </c>
      <c r="E194" s="3">
        <v>604965.24</v>
      </c>
      <c r="F194" s="3">
        <v>0</v>
      </c>
      <c r="G194" s="3">
        <v>0</v>
      </c>
      <c r="H194" s="3">
        <f>800*0</f>
        <v>0</v>
      </c>
      <c r="I194" s="3">
        <v>0</v>
      </c>
      <c r="J194" s="3">
        <f>800*0</f>
        <v>0</v>
      </c>
      <c r="K194" s="4">
        <v>0</v>
      </c>
      <c r="L194" s="3">
        <v>0</v>
      </c>
      <c r="M194" s="3">
        <v>0</v>
      </c>
      <c r="N194" s="3">
        <v>0</v>
      </c>
      <c r="O194" s="3">
        <v>0</v>
      </c>
      <c r="P194" s="3">
        <v>0</v>
      </c>
      <c r="Q194" s="3">
        <v>1915</v>
      </c>
      <c r="R194" s="3">
        <v>3506478.23</v>
      </c>
      <c r="S194" s="3">
        <v>0</v>
      </c>
      <c r="T194" s="3">
        <v>0</v>
      </c>
      <c r="U194" s="3">
        <v>198000</v>
      </c>
      <c r="V194" s="5" t="e">
        <f t="shared" si="53"/>
        <v>#DIV/0!</v>
      </c>
    </row>
    <row r="195" spans="1:22" ht="25.15" customHeight="1" x14ac:dyDescent="0.25">
      <c r="A195" s="21" t="s">
        <v>1104</v>
      </c>
      <c r="B195" s="24" t="s">
        <v>445</v>
      </c>
      <c r="C195" s="2">
        <f t="shared" si="51"/>
        <v>80998.289999999994</v>
      </c>
      <c r="D195" s="3">
        <f t="shared" si="52"/>
        <v>0</v>
      </c>
      <c r="E195" s="3">
        <v>0</v>
      </c>
      <c r="F195" s="3">
        <v>0</v>
      </c>
      <c r="G195" s="3">
        <v>0</v>
      </c>
      <c r="H195" s="3">
        <v>0</v>
      </c>
      <c r="I195" s="3">
        <v>0</v>
      </c>
      <c r="J195" s="3">
        <v>0</v>
      </c>
      <c r="K195" s="4">
        <v>0</v>
      </c>
      <c r="L195" s="3">
        <v>0</v>
      </c>
      <c r="M195" s="3">
        <v>0</v>
      </c>
      <c r="N195" s="3">
        <v>0</v>
      </c>
      <c r="O195" s="3">
        <v>0</v>
      </c>
      <c r="P195" s="3">
        <v>0</v>
      </c>
      <c r="Q195" s="3">
        <v>0</v>
      </c>
      <c r="R195" s="3">
        <v>0</v>
      </c>
      <c r="S195" s="3">
        <v>0</v>
      </c>
      <c r="T195" s="3">
        <v>0</v>
      </c>
      <c r="U195" s="3">
        <v>80998.289999999994</v>
      </c>
      <c r="V195" s="5" t="e">
        <f t="shared" si="53"/>
        <v>#DIV/0!</v>
      </c>
    </row>
    <row r="196" spans="1:22" ht="25.15" customHeight="1" x14ac:dyDescent="0.25">
      <c r="A196" s="21" t="s">
        <v>1105</v>
      </c>
      <c r="B196" s="24" t="s">
        <v>890</v>
      </c>
      <c r="C196" s="2">
        <f t="shared" si="51"/>
        <v>268000</v>
      </c>
      <c r="D196" s="3">
        <f t="shared" si="52"/>
        <v>0</v>
      </c>
      <c r="E196" s="3">
        <v>0</v>
      </c>
      <c r="F196" s="3">
        <v>0</v>
      </c>
      <c r="G196" s="3">
        <v>0</v>
      </c>
      <c r="H196" s="3">
        <v>0</v>
      </c>
      <c r="I196" s="3">
        <v>0</v>
      </c>
      <c r="J196" s="3">
        <v>0</v>
      </c>
      <c r="K196" s="14">
        <v>0</v>
      </c>
      <c r="L196" s="13">
        <v>0</v>
      </c>
      <c r="M196" s="13">
        <v>0</v>
      </c>
      <c r="N196" s="13">
        <v>0</v>
      </c>
      <c r="O196" s="13">
        <v>0</v>
      </c>
      <c r="P196" s="13">
        <v>0</v>
      </c>
      <c r="Q196" s="13">
        <v>0</v>
      </c>
      <c r="R196" s="13">
        <v>0</v>
      </c>
      <c r="S196" s="13">
        <v>0</v>
      </c>
      <c r="T196" s="13">
        <v>0</v>
      </c>
      <c r="U196" s="13">
        <v>268000</v>
      </c>
      <c r="V196" s="5" t="e">
        <f t="shared" si="53"/>
        <v>#DIV/0!</v>
      </c>
    </row>
    <row r="197" spans="1:22" ht="25.15" customHeight="1" x14ac:dyDescent="0.25">
      <c r="A197" s="21" t="s">
        <v>1106</v>
      </c>
      <c r="B197" s="24" t="s">
        <v>387</v>
      </c>
      <c r="C197" s="2">
        <f t="shared" si="51"/>
        <v>200000</v>
      </c>
      <c r="D197" s="3">
        <f t="shared" si="52"/>
        <v>0</v>
      </c>
      <c r="E197" s="3">
        <v>0</v>
      </c>
      <c r="F197" s="3">
        <v>0</v>
      </c>
      <c r="G197" s="3">
        <v>0</v>
      </c>
      <c r="H197" s="3">
        <v>0</v>
      </c>
      <c r="I197" s="3">
        <v>0</v>
      </c>
      <c r="J197" s="3">
        <f>800*0</f>
        <v>0</v>
      </c>
      <c r="K197" s="4">
        <v>0</v>
      </c>
      <c r="L197" s="3">
        <v>0</v>
      </c>
      <c r="M197" s="3">
        <v>0</v>
      </c>
      <c r="N197" s="3">
        <v>0</v>
      </c>
      <c r="O197" s="3">
        <v>0</v>
      </c>
      <c r="P197" s="3">
        <v>0</v>
      </c>
      <c r="Q197" s="3">
        <v>0</v>
      </c>
      <c r="R197" s="3">
        <v>0</v>
      </c>
      <c r="S197" s="3">
        <v>0</v>
      </c>
      <c r="T197" s="3">
        <v>0</v>
      </c>
      <c r="U197" s="3">
        <v>200000</v>
      </c>
      <c r="V197" s="5" t="e">
        <f t="shared" si="53"/>
        <v>#DIV/0!</v>
      </c>
    </row>
    <row r="198" spans="1:22" ht="25.15" customHeight="1" x14ac:dyDescent="0.25">
      <c r="A198" s="21" t="s">
        <v>1107</v>
      </c>
      <c r="B198" s="28" t="s">
        <v>855</v>
      </c>
      <c r="C198" s="2">
        <f t="shared" si="51"/>
        <v>549889.57999999996</v>
      </c>
      <c r="D198" s="3">
        <f t="shared" si="52"/>
        <v>0</v>
      </c>
      <c r="E198" s="3">
        <v>0</v>
      </c>
      <c r="F198" s="3">
        <v>0</v>
      </c>
      <c r="G198" s="3">
        <v>0</v>
      </c>
      <c r="H198" s="3">
        <v>0</v>
      </c>
      <c r="I198" s="3">
        <v>0</v>
      </c>
      <c r="J198" s="3">
        <v>0</v>
      </c>
      <c r="K198" s="4">
        <v>0</v>
      </c>
      <c r="L198" s="3">
        <v>0</v>
      </c>
      <c r="M198" s="3">
        <v>0</v>
      </c>
      <c r="N198" s="3">
        <v>0</v>
      </c>
      <c r="O198" s="3">
        <v>0</v>
      </c>
      <c r="P198" s="3">
        <v>0</v>
      </c>
      <c r="Q198" s="3">
        <v>0</v>
      </c>
      <c r="R198" s="13">
        <f>Q198*3000</f>
        <v>0</v>
      </c>
      <c r="S198" s="3">
        <v>0</v>
      </c>
      <c r="T198" s="3">
        <v>0</v>
      </c>
      <c r="U198" s="3">
        <v>549889.57999999996</v>
      </c>
      <c r="V198" s="5" t="e">
        <f t="shared" si="53"/>
        <v>#DIV/0!</v>
      </c>
    </row>
    <row r="199" spans="1:22" ht="25.15" customHeight="1" x14ac:dyDescent="0.25">
      <c r="A199" s="21" t="s">
        <v>1108</v>
      </c>
      <c r="B199" s="24" t="s">
        <v>461</v>
      </c>
      <c r="C199" s="2">
        <f t="shared" si="51"/>
        <v>2317624.1</v>
      </c>
      <c r="D199" s="3">
        <f t="shared" si="52"/>
        <v>0</v>
      </c>
      <c r="E199" s="3">
        <v>0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  <c r="K199" s="4">
        <v>0</v>
      </c>
      <c r="L199" s="3">
        <v>0</v>
      </c>
      <c r="M199" s="3">
        <v>453</v>
      </c>
      <c r="N199" s="3">
        <v>2255097</v>
      </c>
      <c r="O199" s="3">
        <v>0</v>
      </c>
      <c r="P199" s="3">
        <v>0</v>
      </c>
      <c r="Q199" s="3">
        <v>0</v>
      </c>
      <c r="R199" s="3">
        <v>0</v>
      </c>
      <c r="S199" s="3">
        <v>0</v>
      </c>
      <c r="T199" s="3">
        <v>0</v>
      </c>
      <c r="U199" s="3">
        <v>62527.1</v>
      </c>
      <c r="V199" s="5">
        <f t="shared" si="53"/>
        <v>4978.1390728476817</v>
      </c>
    </row>
    <row r="200" spans="1:22" ht="25.15" customHeight="1" x14ac:dyDescent="0.25">
      <c r="A200" s="21" t="s">
        <v>1109</v>
      </c>
      <c r="B200" s="24" t="s">
        <v>462</v>
      </c>
      <c r="C200" s="2">
        <f t="shared" si="51"/>
        <v>1057534.19</v>
      </c>
      <c r="D200" s="3">
        <f t="shared" si="52"/>
        <v>0</v>
      </c>
      <c r="E200" s="3">
        <v>0</v>
      </c>
      <c r="F200" s="3">
        <v>0</v>
      </c>
      <c r="G200" s="3">
        <v>0</v>
      </c>
      <c r="H200" s="3">
        <v>0</v>
      </c>
      <c r="I200" s="3">
        <v>0</v>
      </c>
      <c r="J200" s="3">
        <v>0</v>
      </c>
      <c r="K200" s="4">
        <v>0</v>
      </c>
      <c r="L200" s="3">
        <v>0</v>
      </c>
      <c r="M200" s="3">
        <v>248.6</v>
      </c>
      <c r="N200" s="3">
        <v>1001101.08</v>
      </c>
      <c r="O200" s="3">
        <v>0</v>
      </c>
      <c r="P200" s="3">
        <v>0</v>
      </c>
      <c r="Q200" s="3">
        <v>0</v>
      </c>
      <c r="R200" s="3">
        <v>0</v>
      </c>
      <c r="S200" s="3">
        <v>0</v>
      </c>
      <c r="T200" s="3">
        <v>0</v>
      </c>
      <c r="U200" s="3">
        <v>56433.11</v>
      </c>
      <c r="V200" s="5">
        <f t="shared" si="53"/>
        <v>4026.9552695092516</v>
      </c>
    </row>
    <row r="201" spans="1:22" ht="25.15" customHeight="1" x14ac:dyDescent="0.25">
      <c r="A201" s="21" t="s">
        <v>1110</v>
      </c>
      <c r="B201" s="24" t="s">
        <v>478</v>
      </c>
      <c r="C201" s="2">
        <f t="shared" si="51"/>
        <v>3327672.9299999997</v>
      </c>
      <c r="D201" s="3">
        <f t="shared" si="52"/>
        <v>0</v>
      </c>
      <c r="E201" s="3">
        <v>0</v>
      </c>
      <c r="F201" s="3">
        <v>0</v>
      </c>
      <c r="G201" s="3">
        <v>0</v>
      </c>
      <c r="H201" s="3">
        <v>0</v>
      </c>
      <c r="I201" s="3">
        <v>0</v>
      </c>
      <c r="J201" s="3">
        <v>0</v>
      </c>
      <c r="K201" s="4">
        <v>0</v>
      </c>
      <c r="L201" s="3">
        <v>0</v>
      </c>
      <c r="M201" s="3">
        <v>634.84</v>
      </c>
      <c r="N201" s="3">
        <v>3259740.4</v>
      </c>
      <c r="O201" s="3">
        <v>0</v>
      </c>
      <c r="P201" s="3">
        <v>0</v>
      </c>
      <c r="Q201" s="3">
        <v>0</v>
      </c>
      <c r="R201" s="3">
        <v>0</v>
      </c>
      <c r="S201" s="3">
        <v>0</v>
      </c>
      <c r="T201" s="3">
        <v>0</v>
      </c>
      <c r="U201" s="3">
        <v>67932.53</v>
      </c>
      <c r="V201" s="5">
        <f t="shared" si="53"/>
        <v>5134.7432423917835</v>
      </c>
    </row>
    <row r="202" spans="1:22" ht="25.15" customHeight="1" x14ac:dyDescent="0.25">
      <c r="A202" s="21" t="s">
        <v>1111</v>
      </c>
      <c r="B202" s="24" t="s">
        <v>408</v>
      </c>
      <c r="C202" s="2">
        <f t="shared" si="51"/>
        <v>2462464.0900000003</v>
      </c>
      <c r="D202" s="3">
        <f t="shared" si="52"/>
        <v>0</v>
      </c>
      <c r="E202" s="3">
        <v>0</v>
      </c>
      <c r="F202" s="3">
        <v>0</v>
      </c>
      <c r="G202" s="3">
        <v>0</v>
      </c>
      <c r="H202" s="3">
        <v>0</v>
      </c>
      <c r="I202" s="3">
        <v>0</v>
      </c>
      <c r="J202" s="3">
        <v>0</v>
      </c>
      <c r="K202" s="4">
        <v>0</v>
      </c>
      <c r="L202" s="3">
        <v>0</v>
      </c>
      <c r="M202" s="3">
        <v>0</v>
      </c>
      <c r="N202" s="3">
        <v>0</v>
      </c>
      <c r="O202" s="3">
        <v>0</v>
      </c>
      <c r="P202" s="3">
        <v>0</v>
      </c>
      <c r="Q202" s="3">
        <v>977.6</v>
      </c>
      <c r="R202" s="3">
        <v>2398059.4500000002</v>
      </c>
      <c r="S202" s="3">
        <v>0</v>
      </c>
      <c r="T202" s="3">
        <v>0</v>
      </c>
      <c r="U202" s="3">
        <v>64404.639999999999</v>
      </c>
      <c r="V202" s="5" t="e">
        <f t="shared" si="53"/>
        <v>#DIV/0!</v>
      </c>
    </row>
    <row r="203" spans="1:22" ht="25.15" customHeight="1" x14ac:dyDescent="0.25">
      <c r="A203" s="21" t="s">
        <v>1112</v>
      </c>
      <c r="B203" s="28" t="s">
        <v>891</v>
      </c>
      <c r="C203" s="2">
        <f t="shared" si="51"/>
        <v>117294.52</v>
      </c>
      <c r="D203" s="3">
        <f t="shared" si="52"/>
        <v>0</v>
      </c>
      <c r="E203" s="3">
        <v>0</v>
      </c>
      <c r="F203" s="3">
        <v>0</v>
      </c>
      <c r="G203" s="3">
        <v>0</v>
      </c>
      <c r="H203" s="3">
        <v>0</v>
      </c>
      <c r="I203" s="3">
        <v>0</v>
      </c>
      <c r="J203" s="3">
        <v>0</v>
      </c>
      <c r="K203" s="4">
        <v>0</v>
      </c>
      <c r="L203" s="3">
        <v>0</v>
      </c>
      <c r="M203" s="3">
        <v>0</v>
      </c>
      <c r="N203" s="3">
        <v>0</v>
      </c>
      <c r="O203" s="3">
        <v>0</v>
      </c>
      <c r="P203" s="3">
        <v>0</v>
      </c>
      <c r="Q203" s="3">
        <v>0</v>
      </c>
      <c r="R203" s="3">
        <v>0</v>
      </c>
      <c r="S203" s="3">
        <v>0</v>
      </c>
      <c r="T203" s="3">
        <v>0</v>
      </c>
      <c r="U203" s="3">
        <v>117294.52</v>
      </c>
      <c r="V203" s="5" t="e">
        <f t="shared" si="53"/>
        <v>#DIV/0!</v>
      </c>
    </row>
    <row r="204" spans="1:22" ht="25.15" customHeight="1" x14ac:dyDescent="0.25">
      <c r="A204" s="21" t="s">
        <v>1113</v>
      </c>
      <c r="B204" s="24" t="s">
        <v>397</v>
      </c>
      <c r="C204" s="2">
        <f t="shared" si="51"/>
        <v>58789.59</v>
      </c>
      <c r="D204" s="3">
        <f t="shared" si="52"/>
        <v>0</v>
      </c>
      <c r="E204" s="3">
        <v>0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  <c r="K204" s="4">
        <v>0</v>
      </c>
      <c r="L204" s="3">
        <v>0</v>
      </c>
      <c r="M204" s="3">
        <v>0</v>
      </c>
      <c r="N204" s="3">
        <v>0</v>
      </c>
      <c r="O204" s="3">
        <v>0</v>
      </c>
      <c r="P204" s="3">
        <v>0</v>
      </c>
      <c r="Q204" s="3">
        <v>0</v>
      </c>
      <c r="R204" s="3">
        <v>0</v>
      </c>
      <c r="S204" s="3">
        <v>0</v>
      </c>
      <c r="T204" s="3">
        <v>0</v>
      </c>
      <c r="U204" s="3">
        <v>58789.59</v>
      </c>
      <c r="V204" s="5" t="e">
        <f t="shared" si="53"/>
        <v>#DIV/0!</v>
      </c>
    </row>
    <row r="205" spans="1:22" ht="25.15" customHeight="1" x14ac:dyDescent="0.25">
      <c r="A205" s="21" t="s">
        <v>977</v>
      </c>
      <c r="B205" s="24" t="s">
        <v>382</v>
      </c>
      <c r="C205" s="2">
        <f t="shared" si="51"/>
        <v>2630727.2000000002</v>
      </c>
      <c r="D205" s="3">
        <f t="shared" si="52"/>
        <v>2430727.2000000002</v>
      </c>
      <c r="E205" s="3">
        <v>595615.19999999995</v>
      </c>
      <c r="F205" s="3">
        <v>1138555.2</v>
      </c>
      <c r="G205" s="3">
        <v>184335.6</v>
      </c>
      <c r="H205" s="3">
        <v>440160</v>
      </c>
      <c r="I205" s="3">
        <v>72061.2</v>
      </c>
      <c r="J205" s="3">
        <f>350*0</f>
        <v>0</v>
      </c>
      <c r="K205" s="4">
        <v>0</v>
      </c>
      <c r="L205" s="3">
        <v>0</v>
      </c>
      <c r="M205" s="3">
        <v>0</v>
      </c>
      <c r="N205" s="3">
        <v>0</v>
      </c>
      <c r="O205" s="3">
        <v>0</v>
      </c>
      <c r="P205" s="3">
        <v>0</v>
      </c>
      <c r="Q205" s="3">
        <v>0</v>
      </c>
      <c r="R205" s="3">
        <v>0</v>
      </c>
      <c r="S205" s="3">
        <v>0</v>
      </c>
      <c r="T205" s="3">
        <v>0</v>
      </c>
      <c r="U205" s="3">
        <v>200000</v>
      </c>
      <c r="V205" s="5" t="e">
        <f t="shared" si="53"/>
        <v>#DIV/0!</v>
      </c>
    </row>
    <row r="206" spans="1:22" ht="25.15" customHeight="1" x14ac:dyDescent="0.25">
      <c r="A206" s="21" t="s">
        <v>1114</v>
      </c>
      <c r="B206" s="24" t="s">
        <v>479</v>
      </c>
      <c r="C206" s="2">
        <f t="shared" si="51"/>
        <v>20198852.490000002</v>
      </c>
      <c r="D206" s="3">
        <f t="shared" si="52"/>
        <v>8290566.7300000004</v>
      </c>
      <c r="E206" s="3">
        <v>974647.2</v>
      </c>
      <c r="F206" s="3">
        <v>6257556</v>
      </c>
      <c r="G206" s="3">
        <v>328655.65999999997</v>
      </c>
      <c r="H206" s="3">
        <v>417570</v>
      </c>
      <c r="I206" s="3">
        <v>312137.87</v>
      </c>
      <c r="J206" s="3">
        <f>350*0</f>
        <v>0</v>
      </c>
      <c r="K206" s="4">
        <v>0</v>
      </c>
      <c r="L206" s="3">
        <v>0</v>
      </c>
      <c r="M206" s="3">
        <v>1093.4000000000001</v>
      </c>
      <c r="N206" s="3">
        <v>5292149.4800000004</v>
      </c>
      <c r="O206" s="3">
        <v>0</v>
      </c>
      <c r="P206" s="3">
        <v>0</v>
      </c>
      <c r="Q206" s="3">
        <v>3306</v>
      </c>
      <c r="R206" s="3">
        <v>6417136.2800000003</v>
      </c>
      <c r="S206" s="3">
        <v>0</v>
      </c>
      <c r="T206" s="3">
        <v>0</v>
      </c>
      <c r="U206" s="3">
        <v>199000</v>
      </c>
      <c r="V206" s="5">
        <f t="shared" si="53"/>
        <v>4840.0854947869029</v>
      </c>
    </row>
    <row r="207" spans="1:22" ht="25.15" customHeight="1" x14ac:dyDescent="0.25">
      <c r="A207" s="21" t="s">
        <v>1115</v>
      </c>
      <c r="B207" s="24" t="s">
        <v>791</v>
      </c>
      <c r="C207" s="2">
        <f t="shared" si="51"/>
        <v>3611336.3299999996</v>
      </c>
      <c r="D207" s="3">
        <f t="shared" si="52"/>
        <v>0</v>
      </c>
      <c r="E207" s="3">
        <v>0</v>
      </c>
      <c r="F207" s="3">
        <v>0</v>
      </c>
      <c r="G207" s="3">
        <v>0</v>
      </c>
      <c r="H207" s="3">
        <v>0</v>
      </c>
      <c r="I207" s="3">
        <v>0</v>
      </c>
      <c r="J207" s="3">
        <f>350*0</f>
        <v>0</v>
      </c>
      <c r="K207" s="4">
        <v>2</v>
      </c>
      <c r="L207" s="3">
        <v>3467713.03</v>
      </c>
      <c r="M207" s="13">
        <v>0</v>
      </c>
      <c r="N207" s="13">
        <v>0</v>
      </c>
      <c r="O207" s="3">
        <v>0</v>
      </c>
      <c r="P207" s="3">
        <v>0</v>
      </c>
      <c r="Q207" s="3">
        <v>0</v>
      </c>
      <c r="R207" s="3">
        <v>0</v>
      </c>
      <c r="S207" s="3">
        <v>0</v>
      </c>
      <c r="T207" s="3">
        <v>0</v>
      </c>
      <c r="U207" s="3">
        <v>143623.29999999999</v>
      </c>
      <c r="V207" s="5" t="e">
        <f t="shared" si="53"/>
        <v>#DIV/0!</v>
      </c>
    </row>
    <row r="208" spans="1:22" ht="25.15" customHeight="1" x14ac:dyDescent="0.25">
      <c r="A208" s="21" t="s">
        <v>1116</v>
      </c>
      <c r="B208" s="24" t="s">
        <v>389</v>
      </c>
      <c r="C208" s="2">
        <f t="shared" si="51"/>
        <v>2281426.62</v>
      </c>
      <c r="D208" s="3">
        <f t="shared" si="52"/>
        <v>0</v>
      </c>
      <c r="E208" s="3">
        <v>0</v>
      </c>
      <c r="F208" s="3">
        <v>0</v>
      </c>
      <c r="G208" s="3">
        <v>0</v>
      </c>
      <c r="H208" s="3">
        <f>800*0</f>
        <v>0</v>
      </c>
      <c r="I208" s="3">
        <v>0</v>
      </c>
      <c r="J208" s="3">
        <f>800*0</f>
        <v>0</v>
      </c>
      <c r="K208" s="4">
        <v>0</v>
      </c>
      <c r="L208" s="3">
        <v>0</v>
      </c>
      <c r="M208" s="3">
        <v>0</v>
      </c>
      <c r="N208" s="3">
        <v>0</v>
      </c>
      <c r="O208" s="3">
        <v>0</v>
      </c>
      <c r="P208" s="3">
        <v>0</v>
      </c>
      <c r="Q208" s="3">
        <v>750</v>
      </c>
      <c r="R208" s="3">
        <v>2250000</v>
      </c>
      <c r="S208" s="3">
        <v>0</v>
      </c>
      <c r="T208" s="3">
        <v>0</v>
      </c>
      <c r="U208" s="3">
        <v>31426.62</v>
      </c>
      <c r="V208" s="5" t="e">
        <f t="shared" si="53"/>
        <v>#DIV/0!</v>
      </c>
    </row>
    <row r="209" spans="1:22" ht="25.15" customHeight="1" x14ac:dyDescent="0.25">
      <c r="A209" s="21" t="s">
        <v>1117</v>
      </c>
      <c r="B209" s="28" t="s">
        <v>847</v>
      </c>
      <c r="C209" s="2">
        <f t="shared" si="51"/>
        <v>3226159.2</v>
      </c>
      <c r="D209" s="3">
        <f t="shared" si="52"/>
        <v>0</v>
      </c>
      <c r="E209" s="3">
        <v>0</v>
      </c>
      <c r="F209" s="3">
        <v>0</v>
      </c>
      <c r="G209" s="3">
        <v>0</v>
      </c>
      <c r="H209" s="3">
        <v>0</v>
      </c>
      <c r="I209" s="3">
        <v>0</v>
      </c>
      <c r="J209" s="3">
        <v>0</v>
      </c>
      <c r="K209" s="4">
        <v>0</v>
      </c>
      <c r="L209" s="3">
        <v>0</v>
      </c>
      <c r="M209" s="3">
        <v>0</v>
      </c>
      <c r="N209" s="3">
        <v>0</v>
      </c>
      <c r="O209" s="3">
        <v>0</v>
      </c>
      <c r="P209" s="3">
        <v>0</v>
      </c>
      <c r="Q209" s="3">
        <v>1265.5</v>
      </c>
      <c r="R209" s="3">
        <v>3226159.2</v>
      </c>
      <c r="S209" s="3">
        <v>0</v>
      </c>
      <c r="T209" s="3">
        <v>0</v>
      </c>
      <c r="U209" s="3">
        <v>0</v>
      </c>
      <c r="V209" s="5" t="e">
        <f t="shared" si="53"/>
        <v>#DIV/0!</v>
      </c>
    </row>
    <row r="210" spans="1:22" ht="25.15" customHeight="1" x14ac:dyDescent="0.25">
      <c r="A210" s="21" t="s">
        <v>1118</v>
      </c>
      <c r="B210" s="28" t="s">
        <v>869</v>
      </c>
      <c r="C210" s="2">
        <f t="shared" si="51"/>
        <v>3368829.6</v>
      </c>
      <c r="D210" s="3">
        <f t="shared" si="52"/>
        <v>0</v>
      </c>
      <c r="E210" s="3">
        <v>0</v>
      </c>
      <c r="F210" s="3">
        <v>0</v>
      </c>
      <c r="G210" s="3">
        <v>0</v>
      </c>
      <c r="H210" s="3">
        <v>0</v>
      </c>
      <c r="I210" s="3">
        <v>0</v>
      </c>
      <c r="J210" s="3">
        <v>0</v>
      </c>
      <c r="K210" s="4">
        <v>0</v>
      </c>
      <c r="L210" s="3">
        <v>0</v>
      </c>
      <c r="M210" s="3">
        <v>1546.91</v>
      </c>
      <c r="N210" s="3">
        <v>3368829.6</v>
      </c>
      <c r="O210" s="3">
        <v>0</v>
      </c>
      <c r="P210" s="3">
        <v>0</v>
      </c>
      <c r="Q210" s="3">
        <v>0</v>
      </c>
      <c r="R210" s="3">
        <v>0</v>
      </c>
      <c r="S210" s="3">
        <v>0</v>
      </c>
      <c r="T210" s="3">
        <v>0</v>
      </c>
      <c r="U210" s="3">
        <v>0</v>
      </c>
      <c r="V210" s="5">
        <f t="shared" si="53"/>
        <v>2177.779961342289</v>
      </c>
    </row>
    <row r="211" spans="1:22" ht="25.15" customHeight="1" x14ac:dyDescent="0.25">
      <c r="A211" s="21" t="s">
        <v>1119</v>
      </c>
      <c r="B211" s="28" t="s">
        <v>867</v>
      </c>
      <c r="C211" s="2">
        <f t="shared" si="51"/>
        <v>4094363</v>
      </c>
      <c r="D211" s="3">
        <f t="shared" si="52"/>
        <v>4094363</v>
      </c>
      <c r="E211" s="3">
        <v>447033</v>
      </c>
      <c r="F211" s="3">
        <v>3235522</v>
      </c>
      <c r="G211" s="3">
        <v>116023</v>
      </c>
      <c r="H211" s="3">
        <v>249586</v>
      </c>
      <c r="I211" s="3">
        <v>46199</v>
      </c>
      <c r="J211" s="3">
        <f>350*0</f>
        <v>0</v>
      </c>
      <c r="K211" s="4">
        <v>0</v>
      </c>
      <c r="L211" s="3">
        <v>0</v>
      </c>
      <c r="M211" s="3">
        <v>0</v>
      </c>
      <c r="N211" s="3">
        <v>0</v>
      </c>
      <c r="O211" s="3">
        <v>0</v>
      </c>
      <c r="P211" s="3">
        <v>0</v>
      </c>
      <c r="Q211" s="3">
        <v>0</v>
      </c>
      <c r="R211" s="3">
        <v>0</v>
      </c>
      <c r="S211" s="3">
        <v>0</v>
      </c>
      <c r="T211" s="3">
        <v>0</v>
      </c>
      <c r="U211" s="3">
        <v>0</v>
      </c>
      <c r="V211" s="5" t="e">
        <f t="shared" si="53"/>
        <v>#DIV/0!</v>
      </c>
    </row>
    <row r="212" spans="1:22" ht="25.15" customHeight="1" x14ac:dyDescent="0.25">
      <c r="A212" s="21" t="s">
        <v>1120</v>
      </c>
      <c r="B212" s="24" t="s">
        <v>423</v>
      </c>
      <c r="C212" s="2">
        <f t="shared" si="51"/>
        <v>338823.02999999997</v>
      </c>
      <c r="D212" s="3">
        <f t="shared" si="52"/>
        <v>291412.55</v>
      </c>
      <c r="E212" s="3">
        <v>291412.55</v>
      </c>
      <c r="F212" s="3">
        <f>800*0</f>
        <v>0</v>
      </c>
      <c r="G212" s="3">
        <v>0</v>
      </c>
      <c r="H212" s="3">
        <f>500*0</f>
        <v>0</v>
      </c>
      <c r="I212" s="3">
        <v>0</v>
      </c>
      <c r="J212" s="3">
        <f>800*0</f>
        <v>0</v>
      </c>
      <c r="K212" s="4">
        <v>0</v>
      </c>
      <c r="L212" s="3">
        <v>0</v>
      </c>
      <c r="M212" s="3">
        <v>0</v>
      </c>
      <c r="N212" s="3">
        <v>0</v>
      </c>
      <c r="O212" s="3">
        <v>0</v>
      </c>
      <c r="P212" s="3">
        <v>0</v>
      </c>
      <c r="Q212" s="3">
        <v>0</v>
      </c>
      <c r="R212" s="3">
        <v>0</v>
      </c>
      <c r="S212" s="3">
        <v>0</v>
      </c>
      <c r="T212" s="3">
        <v>0</v>
      </c>
      <c r="U212" s="3">
        <v>47410.48</v>
      </c>
      <c r="V212" s="5" t="e">
        <f t="shared" si="53"/>
        <v>#DIV/0!</v>
      </c>
    </row>
    <row r="213" spans="1:22" ht="25.15" customHeight="1" x14ac:dyDescent="0.25">
      <c r="A213" s="21" t="s">
        <v>1121</v>
      </c>
      <c r="B213" s="24" t="s">
        <v>429</v>
      </c>
      <c r="C213" s="2">
        <f t="shared" si="51"/>
        <v>1100401.56</v>
      </c>
      <c r="D213" s="3">
        <f t="shared" si="52"/>
        <v>0</v>
      </c>
      <c r="E213" s="3">
        <v>0</v>
      </c>
      <c r="F213" s="3">
        <v>0</v>
      </c>
      <c r="G213" s="3">
        <v>0</v>
      </c>
      <c r="H213" s="3">
        <v>0</v>
      </c>
      <c r="I213" s="3">
        <v>0</v>
      </c>
      <c r="J213" s="3">
        <v>0</v>
      </c>
      <c r="K213" s="4">
        <v>0</v>
      </c>
      <c r="L213" s="3">
        <v>0</v>
      </c>
      <c r="M213" s="3">
        <v>259.89999999999998</v>
      </c>
      <c r="N213" s="3">
        <v>1045252.48</v>
      </c>
      <c r="O213" s="3">
        <v>0</v>
      </c>
      <c r="P213" s="3">
        <v>0</v>
      </c>
      <c r="Q213" s="3">
        <v>0</v>
      </c>
      <c r="R213" s="3">
        <v>0</v>
      </c>
      <c r="S213" s="3">
        <v>0</v>
      </c>
      <c r="T213" s="3">
        <v>0</v>
      </c>
      <c r="U213" s="3">
        <v>55149.08</v>
      </c>
      <c r="V213" s="5">
        <f t="shared" si="53"/>
        <v>4021.7486725663721</v>
      </c>
    </row>
    <row r="214" spans="1:22" ht="25.15" customHeight="1" x14ac:dyDescent="0.25">
      <c r="A214" s="21" t="s">
        <v>1122</v>
      </c>
      <c r="B214" s="24" t="s">
        <v>433</v>
      </c>
      <c r="C214" s="2">
        <f t="shared" si="51"/>
        <v>99358.51</v>
      </c>
      <c r="D214" s="3">
        <f t="shared" si="52"/>
        <v>0</v>
      </c>
      <c r="E214" s="3">
        <v>0</v>
      </c>
      <c r="F214" s="3">
        <v>0</v>
      </c>
      <c r="G214" s="3">
        <v>0</v>
      </c>
      <c r="H214" s="3">
        <v>0</v>
      </c>
      <c r="I214" s="3">
        <v>0</v>
      </c>
      <c r="J214" s="3">
        <v>0</v>
      </c>
      <c r="K214" s="4">
        <v>0</v>
      </c>
      <c r="L214" s="3">
        <v>0</v>
      </c>
      <c r="M214" s="3">
        <v>0</v>
      </c>
      <c r="N214" s="3">
        <v>0</v>
      </c>
      <c r="O214" s="3">
        <v>0</v>
      </c>
      <c r="P214" s="3">
        <v>0</v>
      </c>
      <c r="Q214" s="3">
        <v>0</v>
      </c>
      <c r="R214" s="3">
        <v>0</v>
      </c>
      <c r="S214" s="3">
        <v>0</v>
      </c>
      <c r="T214" s="3">
        <v>0</v>
      </c>
      <c r="U214" s="3">
        <v>99358.51</v>
      </c>
      <c r="V214" s="5" t="e">
        <f t="shared" si="53"/>
        <v>#DIV/0!</v>
      </c>
    </row>
    <row r="215" spans="1:22" ht="25.15" customHeight="1" x14ac:dyDescent="0.25">
      <c r="A215" s="21" t="s">
        <v>1123</v>
      </c>
      <c r="B215" s="24" t="s">
        <v>414</v>
      </c>
      <c r="C215" s="2">
        <f t="shared" si="51"/>
        <v>104881.83</v>
      </c>
      <c r="D215" s="3">
        <f t="shared" si="52"/>
        <v>0</v>
      </c>
      <c r="E215" s="3">
        <v>0</v>
      </c>
      <c r="F215" s="3">
        <v>0</v>
      </c>
      <c r="G215" s="3">
        <v>0</v>
      </c>
      <c r="H215" s="3">
        <v>0</v>
      </c>
      <c r="I215" s="3">
        <v>0</v>
      </c>
      <c r="J215" s="3">
        <v>0</v>
      </c>
      <c r="K215" s="4">
        <v>0</v>
      </c>
      <c r="L215" s="3">
        <v>0</v>
      </c>
      <c r="M215" s="3">
        <v>0</v>
      </c>
      <c r="N215" s="3">
        <v>0</v>
      </c>
      <c r="O215" s="3">
        <v>0</v>
      </c>
      <c r="P215" s="3">
        <v>0</v>
      </c>
      <c r="Q215" s="3">
        <v>0</v>
      </c>
      <c r="R215" s="3">
        <v>0</v>
      </c>
      <c r="S215" s="3">
        <v>0</v>
      </c>
      <c r="T215" s="3">
        <v>0</v>
      </c>
      <c r="U215" s="3">
        <v>104881.83</v>
      </c>
      <c r="V215" s="5" t="e">
        <f t="shared" si="53"/>
        <v>#DIV/0!</v>
      </c>
    </row>
    <row r="216" spans="1:22" ht="25.15" customHeight="1" x14ac:dyDescent="0.25">
      <c r="A216" s="21" t="s">
        <v>1124</v>
      </c>
      <c r="B216" s="27" t="s">
        <v>434</v>
      </c>
      <c r="C216" s="2">
        <f t="shared" si="51"/>
        <v>6160573.5499999998</v>
      </c>
      <c r="D216" s="3">
        <f t="shared" si="52"/>
        <v>0</v>
      </c>
      <c r="E216" s="3">
        <v>0</v>
      </c>
      <c r="F216" s="3">
        <v>0</v>
      </c>
      <c r="G216" s="3">
        <v>0</v>
      </c>
      <c r="H216" s="3">
        <v>0</v>
      </c>
      <c r="I216" s="3">
        <v>0</v>
      </c>
      <c r="J216" s="3">
        <v>0</v>
      </c>
      <c r="K216" s="4">
        <v>0</v>
      </c>
      <c r="L216" s="3">
        <v>0</v>
      </c>
      <c r="M216" s="3">
        <v>1201.9000000000001</v>
      </c>
      <c r="N216" s="3">
        <v>6051125</v>
      </c>
      <c r="O216" s="3">
        <v>0</v>
      </c>
      <c r="P216" s="3">
        <v>0</v>
      </c>
      <c r="Q216" s="3">
        <v>0</v>
      </c>
      <c r="R216" s="3">
        <v>0</v>
      </c>
      <c r="S216" s="3">
        <v>0</v>
      </c>
      <c r="T216" s="3">
        <v>0</v>
      </c>
      <c r="U216" s="3">
        <v>109448.55</v>
      </c>
      <c r="V216" s="5">
        <f t="shared" si="53"/>
        <v>5034.6326649471666</v>
      </c>
    </row>
    <row r="217" spans="1:22" ht="25.15" customHeight="1" x14ac:dyDescent="0.25">
      <c r="A217" s="21" t="s">
        <v>1125</v>
      </c>
      <c r="B217" s="24" t="s">
        <v>463</v>
      </c>
      <c r="C217" s="2">
        <f t="shared" ref="C217:C236" si="55">D217+L217+N217+P217+R217+S217+T217+U217</f>
        <v>3600310.75</v>
      </c>
      <c r="D217" s="3">
        <f t="shared" ref="D217:D236" si="56">SUM(E217:J217)</f>
        <v>0</v>
      </c>
      <c r="E217" s="3">
        <v>0</v>
      </c>
      <c r="F217" s="3">
        <v>0</v>
      </c>
      <c r="G217" s="3">
        <v>0</v>
      </c>
      <c r="H217" s="3">
        <v>0</v>
      </c>
      <c r="I217" s="3">
        <v>0</v>
      </c>
      <c r="J217" s="3">
        <v>0</v>
      </c>
      <c r="K217" s="4">
        <v>0</v>
      </c>
      <c r="L217" s="3">
        <v>0</v>
      </c>
      <c r="M217" s="3">
        <v>687.8</v>
      </c>
      <c r="N217" s="3">
        <v>3509120</v>
      </c>
      <c r="O217" s="3">
        <v>0</v>
      </c>
      <c r="P217" s="3">
        <v>0</v>
      </c>
      <c r="Q217" s="3">
        <v>0</v>
      </c>
      <c r="R217" s="3">
        <v>0</v>
      </c>
      <c r="S217" s="3">
        <v>0</v>
      </c>
      <c r="T217" s="3">
        <v>0</v>
      </c>
      <c r="U217" s="3">
        <v>91190.75</v>
      </c>
      <c r="V217" s="5">
        <f t="shared" ref="V217:V236" si="57">N217/M217</f>
        <v>5101.9482407676651</v>
      </c>
    </row>
    <row r="218" spans="1:22" ht="25.15" customHeight="1" x14ac:dyDescent="0.25">
      <c r="A218" s="21" t="s">
        <v>978</v>
      </c>
      <c r="B218" s="24" t="s">
        <v>383</v>
      </c>
      <c r="C218" s="2">
        <f t="shared" si="55"/>
        <v>164909.60999999999</v>
      </c>
      <c r="D218" s="3">
        <f t="shared" si="56"/>
        <v>0</v>
      </c>
      <c r="E218" s="3">
        <v>0</v>
      </c>
      <c r="F218" s="3">
        <v>0</v>
      </c>
      <c r="G218" s="3">
        <v>0</v>
      </c>
      <c r="H218" s="3">
        <v>0</v>
      </c>
      <c r="I218" s="3">
        <v>0</v>
      </c>
      <c r="J218" s="3">
        <f>350*0</f>
        <v>0</v>
      </c>
      <c r="K218" s="4">
        <v>0</v>
      </c>
      <c r="L218" s="3">
        <v>0</v>
      </c>
      <c r="M218" s="3">
        <v>0</v>
      </c>
      <c r="N218" s="3">
        <v>0</v>
      </c>
      <c r="O218" s="3">
        <v>0</v>
      </c>
      <c r="P218" s="3">
        <v>0</v>
      </c>
      <c r="Q218" s="3">
        <v>0</v>
      </c>
      <c r="R218" s="3">
        <v>0</v>
      </c>
      <c r="S218" s="3">
        <v>0</v>
      </c>
      <c r="T218" s="3">
        <v>0</v>
      </c>
      <c r="U218" s="3">
        <v>164909.60999999999</v>
      </c>
      <c r="V218" s="5" t="e">
        <f t="shared" si="57"/>
        <v>#DIV/0!</v>
      </c>
    </row>
    <row r="219" spans="1:22" ht="24" customHeight="1" x14ac:dyDescent="0.25">
      <c r="A219" s="21" t="s">
        <v>1126</v>
      </c>
      <c r="B219" s="24" t="s">
        <v>436</v>
      </c>
      <c r="C219" s="2">
        <f t="shared" si="55"/>
        <v>4921900.3999999994</v>
      </c>
      <c r="D219" s="3">
        <f t="shared" si="56"/>
        <v>4721900.3999999994</v>
      </c>
      <c r="E219" s="3">
        <v>0</v>
      </c>
      <c r="F219" s="3">
        <v>3212829.6</v>
      </c>
      <c r="G219" s="3">
        <v>406666.8</v>
      </c>
      <c r="H219" s="3">
        <v>890762.4</v>
      </c>
      <c r="I219" s="3">
        <v>211641.60000000001</v>
      </c>
      <c r="J219" s="3">
        <f>350*0</f>
        <v>0</v>
      </c>
      <c r="K219" s="4">
        <v>0</v>
      </c>
      <c r="L219" s="3">
        <v>0</v>
      </c>
      <c r="M219" s="3">
        <v>0</v>
      </c>
      <c r="N219" s="3">
        <v>0</v>
      </c>
      <c r="O219" s="3">
        <v>0</v>
      </c>
      <c r="P219" s="3">
        <v>0</v>
      </c>
      <c r="Q219" s="3">
        <v>0</v>
      </c>
      <c r="R219" s="3">
        <v>0</v>
      </c>
      <c r="S219" s="3">
        <v>0</v>
      </c>
      <c r="T219" s="3">
        <v>0</v>
      </c>
      <c r="U219" s="3">
        <v>200000</v>
      </c>
      <c r="V219" s="5" t="e">
        <f t="shared" si="57"/>
        <v>#DIV/0!</v>
      </c>
    </row>
    <row r="220" spans="1:22" ht="24" customHeight="1" x14ac:dyDescent="0.25">
      <c r="A220" s="21" t="s">
        <v>1127</v>
      </c>
      <c r="B220" s="24" t="s">
        <v>447</v>
      </c>
      <c r="C220" s="2">
        <f t="shared" si="55"/>
        <v>12226422.870000001</v>
      </c>
      <c r="D220" s="3">
        <f t="shared" si="56"/>
        <v>3007500.89</v>
      </c>
      <c r="E220" s="3">
        <v>878260.8</v>
      </c>
      <c r="F220" s="3">
        <v>1319316.27</v>
      </c>
      <c r="G220" s="3">
        <v>279969.12</v>
      </c>
      <c r="H220" s="3">
        <v>378755.9</v>
      </c>
      <c r="I220" s="3">
        <v>151198.79999999999</v>
      </c>
      <c r="J220" s="3">
        <f>350*0</f>
        <v>0</v>
      </c>
      <c r="K220" s="4">
        <v>0</v>
      </c>
      <c r="L220" s="3">
        <v>0</v>
      </c>
      <c r="M220" s="3">
        <v>790.4</v>
      </c>
      <c r="N220" s="3">
        <v>4167298.51</v>
      </c>
      <c r="O220" s="3">
        <v>0</v>
      </c>
      <c r="P220" s="3">
        <v>0</v>
      </c>
      <c r="Q220" s="3">
        <v>1876.6</v>
      </c>
      <c r="R220" s="3">
        <v>4852623.47</v>
      </c>
      <c r="S220" s="3">
        <v>0</v>
      </c>
      <c r="T220" s="3">
        <v>0</v>
      </c>
      <c r="U220" s="3">
        <v>199000</v>
      </c>
      <c r="V220" s="5">
        <f t="shared" si="57"/>
        <v>5272.3918395748988</v>
      </c>
    </row>
    <row r="221" spans="1:22" ht="24" customHeight="1" x14ac:dyDescent="0.25">
      <c r="A221" s="21" t="s">
        <v>1128</v>
      </c>
      <c r="B221" s="27" t="s">
        <v>437</v>
      </c>
      <c r="C221" s="2">
        <f t="shared" si="55"/>
        <v>4823836.51</v>
      </c>
      <c r="D221" s="3">
        <f t="shared" si="56"/>
        <v>0</v>
      </c>
      <c r="E221" s="3">
        <v>0</v>
      </c>
      <c r="F221" s="3">
        <v>0</v>
      </c>
      <c r="G221" s="3">
        <v>0</v>
      </c>
      <c r="H221" s="3">
        <v>0</v>
      </c>
      <c r="I221" s="3">
        <v>0</v>
      </c>
      <c r="J221" s="3">
        <v>0</v>
      </c>
      <c r="K221" s="4">
        <v>0</v>
      </c>
      <c r="L221" s="3">
        <v>0</v>
      </c>
      <c r="M221" s="3">
        <v>959</v>
      </c>
      <c r="N221" s="3">
        <v>4695688.58</v>
      </c>
      <c r="O221" s="3">
        <v>0</v>
      </c>
      <c r="P221" s="3">
        <v>0</v>
      </c>
      <c r="Q221" s="3">
        <v>0</v>
      </c>
      <c r="R221" s="3">
        <v>0</v>
      </c>
      <c r="S221" s="3">
        <v>0</v>
      </c>
      <c r="T221" s="3">
        <v>0</v>
      </c>
      <c r="U221" s="3">
        <v>128147.93</v>
      </c>
      <c r="V221" s="5">
        <f t="shared" si="57"/>
        <v>4896.4427320125133</v>
      </c>
    </row>
    <row r="222" spans="1:22" ht="24" customHeight="1" x14ac:dyDescent="0.25">
      <c r="A222" s="21" t="s">
        <v>1129</v>
      </c>
      <c r="B222" s="24" t="s">
        <v>448</v>
      </c>
      <c r="C222" s="2">
        <f t="shared" si="55"/>
        <v>54862.78</v>
      </c>
      <c r="D222" s="3">
        <f t="shared" si="56"/>
        <v>0</v>
      </c>
      <c r="E222" s="3">
        <v>0</v>
      </c>
      <c r="F222" s="3">
        <v>0</v>
      </c>
      <c r="G222" s="3">
        <v>0</v>
      </c>
      <c r="H222" s="3">
        <v>0</v>
      </c>
      <c r="I222" s="3">
        <v>0</v>
      </c>
      <c r="J222" s="3">
        <v>0</v>
      </c>
      <c r="K222" s="4">
        <v>0</v>
      </c>
      <c r="L222" s="3">
        <v>0</v>
      </c>
      <c r="M222" s="3">
        <v>0</v>
      </c>
      <c r="N222" s="3">
        <v>0</v>
      </c>
      <c r="O222" s="3">
        <v>0</v>
      </c>
      <c r="P222" s="3">
        <v>0</v>
      </c>
      <c r="Q222" s="3">
        <v>0</v>
      </c>
      <c r="R222" s="3">
        <v>0</v>
      </c>
      <c r="S222" s="3">
        <v>0</v>
      </c>
      <c r="T222" s="3">
        <v>0</v>
      </c>
      <c r="U222" s="3">
        <v>54862.78</v>
      </c>
      <c r="V222" s="5" t="e">
        <f t="shared" si="57"/>
        <v>#DIV/0!</v>
      </c>
    </row>
    <row r="223" spans="1:22" ht="24" customHeight="1" x14ac:dyDescent="0.25">
      <c r="A223" s="21" t="s">
        <v>1130</v>
      </c>
      <c r="B223" s="24" t="s">
        <v>464</v>
      </c>
      <c r="C223" s="2">
        <f t="shared" si="55"/>
        <v>1824644.4600000002</v>
      </c>
      <c r="D223" s="3">
        <f t="shared" si="56"/>
        <v>0</v>
      </c>
      <c r="E223" s="3">
        <v>0</v>
      </c>
      <c r="F223" s="3">
        <v>0</v>
      </c>
      <c r="G223" s="3">
        <v>0</v>
      </c>
      <c r="H223" s="3">
        <v>0</v>
      </c>
      <c r="I223" s="3">
        <v>0</v>
      </c>
      <c r="J223" s="3">
        <v>0</v>
      </c>
      <c r="K223" s="4">
        <v>0</v>
      </c>
      <c r="L223" s="3">
        <v>0</v>
      </c>
      <c r="M223" s="3">
        <v>388</v>
      </c>
      <c r="N223" s="3">
        <v>1766549.87</v>
      </c>
      <c r="O223" s="3">
        <v>0</v>
      </c>
      <c r="P223" s="3">
        <v>0</v>
      </c>
      <c r="Q223" s="3">
        <v>0</v>
      </c>
      <c r="R223" s="3">
        <v>0</v>
      </c>
      <c r="S223" s="3">
        <v>0</v>
      </c>
      <c r="T223" s="3">
        <v>0</v>
      </c>
      <c r="U223" s="3">
        <v>58094.59</v>
      </c>
      <c r="V223" s="5">
        <f t="shared" si="57"/>
        <v>4552.9635824742272</v>
      </c>
    </row>
    <row r="224" spans="1:22" ht="24" customHeight="1" x14ac:dyDescent="0.25">
      <c r="A224" s="21" t="s">
        <v>1131</v>
      </c>
      <c r="B224" s="24" t="s">
        <v>384</v>
      </c>
      <c r="C224" s="2">
        <f t="shared" si="55"/>
        <v>75456.38</v>
      </c>
      <c r="D224" s="3">
        <f t="shared" si="56"/>
        <v>0</v>
      </c>
      <c r="E224" s="3">
        <v>0</v>
      </c>
      <c r="F224" s="3">
        <v>0</v>
      </c>
      <c r="G224" s="3">
        <v>0</v>
      </c>
      <c r="H224" s="3">
        <v>0</v>
      </c>
      <c r="I224" s="3">
        <v>0</v>
      </c>
      <c r="J224" s="3">
        <v>0</v>
      </c>
      <c r="K224" s="4">
        <v>0</v>
      </c>
      <c r="L224" s="3">
        <v>0</v>
      </c>
      <c r="M224" s="3">
        <v>0</v>
      </c>
      <c r="N224" s="3">
        <v>0</v>
      </c>
      <c r="O224" s="3">
        <v>0</v>
      </c>
      <c r="P224" s="3">
        <v>0</v>
      </c>
      <c r="Q224" s="3">
        <v>0</v>
      </c>
      <c r="R224" s="3">
        <v>0</v>
      </c>
      <c r="S224" s="3">
        <v>0</v>
      </c>
      <c r="T224" s="3">
        <v>0</v>
      </c>
      <c r="U224" s="3">
        <v>75456.38</v>
      </c>
      <c r="V224" s="5" t="e">
        <f t="shared" si="57"/>
        <v>#DIV/0!</v>
      </c>
    </row>
    <row r="225" spans="1:22" ht="24" customHeight="1" x14ac:dyDescent="0.25">
      <c r="A225" s="21" t="s">
        <v>979</v>
      </c>
      <c r="B225" s="24" t="s">
        <v>465</v>
      </c>
      <c r="C225" s="2">
        <f t="shared" si="55"/>
        <v>2965032.13</v>
      </c>
      <c r="D225" s="3">
        <f t="shared" si="56"/>
        <v>0</v>
      </c>
      <c r="E225" s="3">
        <v>0</v>
      </c>
      <c r="F225" s="3">
        <v>0</v>
      </c>
      <c r="G225" s="3">
        <v>0</v>
      </c>
      <c r="H225" s="3">
        <v>0</v>
      </c>
      <c r="I225" s="3">
        <v>0</v>
      </c>
      <c r="J225" s="3">
        <v>0</v>
      </c>
      <c r="K225" s="4">
        <v>0</v>
      </c>
      <c r="L225" s="3">
        <v>0</v>
      </c>
      <c r="M225" s="3">
        <v>584</v>
      </c>
      <c r="N225" s="3">
        <v>2850778.88</v>
      </c>
      <c r="O225" s="3">
        <v>0</v>
      </c>
      <c r="P225" s="3">
        <v>0</v>
      </c>
      <c r="Q225" s="3">
        <v>0</v>
      </c>
      <c r="R225" s="3">
        <v>0</v>
      </c>
      <c r="S225" s="3">
        <v>0</v>
      </c>
      <c r="T225" s="3">
        <v>0</v>
      </c>
      <c r="U225" s="3">
        <v>114253.25</v>
      </c>
      <c r="V225" s="5">
        <f t="shared" si="57"/>
        <v>4881.4706849315071</v>
      </c>
    </row>
    <row r="226" spans="1:22" ht="24" customHeight="1" x14ac:dyDescent="0.25">
      <c r="A226" s="21" t="s">
        <v>980</v>
      </c>
      <c r="B226" s="24" t="s">
        <v>449</v>
      </c>
      <c r="C226" s="2">
        <f t="shared" si="55"/>
        <v>2904799.21</v>
      </c>
      <c r="D226" s="3">
        <f t="shared" si="56"/>
        <v>0</v>
      </c>
      <c r="E226" s="3">
        <v>0</v>
      </c>
      <c r="F226" s="3">
        <v>0</v>
      </c>
      <c r="G226" s="3">
        <v>0</v>
      </c>
      <c r="H226" s="3">
        <v>0</v>
      </c>
      <c r="I226" s="3">
        <v>0</v>
      </c>
      <c r="J226" s="3">
        <v>0</v>
      </c>
      <c r="K226" s="4">
        <v>0</v>
      </c>
      <c r="L226" s="3">
        <v>0</v>
      </c>
      <c r="M226" s="3">
        <v>594</v>
      </c>
      <c r="N226" s="3">
        <v>2838300.38</v>
      </c>
      <c r="O226" s="3">
        <v>0</v>
      </c>
      <c r="P226" s="3">
        <v>0</v>
      </c>
      <c r="Q226" s="3">
        <v>0</v>
      </c>
      <c r="R226" s="3">
        <v>0</v>
      </c>
      <c r="S226" s="3">
        <v>0</v>
      </c>
      <c r="T226" s="3">
        <v>0</v>
      </c>
      <c r="U226" s="3">
        <v>66498.83</v>
      </c>
      <c r="V226" s="5">
        <f t="shared" si="57"/>
        <v>4778.2834680134674</v>
      </c>
    </row>
    <row r="227" spans="1:22" ht="24" customHeight="1" x14ac:dyDescent="0.25">
      <c r="A227" s="21" t="s">
        <v>1132</v>
      </c>
      <c r="B227" s="24" t="s">
        <v>366</v>
      </c>
      <c r="C227" s="2">
        <f t="shared" si="55"/>
        <v>2062847.55</v>
      </c>
      <c r="D227" s="3">
        <f t="shared" si="56"/>
        <v>0</v>
      </c>
      <c r="E227" s="3">
        <v>0</v>
      </c>
      <c r="F227" s="3">
        <v>0</v>
      </c>
      <c r="G227" s="3">
        <v>0</v>
      </c>
      <c r="H227" s="3">
        <v>0</v>
      </c>
      <c r="I227" s="3">
        <v>0</v>
      </c>
      <c r="J227" s="3">
        <v>0</v>
      </c>
      <c r="K227" s="4">
        <v>0</v>
      </c>
      <c r="L227" s="3">
        <v>0</v>
      </c>
      <c r="M227" s="3">
        <v>0</v>
      </c>
      <c r="N227" s="3">
        <v>0</v>
      </c>
      <c r="O227" s="3">
        <v>0</v>
      </c>
      <c r="P227" s="3">
        <v>0</v>
      </c>
      <c r="Q227" s="3">
        <v>852.6</v>
      </c>
      <c r="R227" s="3">
        <v>2001408.7</v>
      </c>
      <c r="S227" s="3">
        <v>0</v>
      </c>
      <c r="T227" s="3">
        <v>0</v>
      </c>
      <c r="U227" s="3">
        <v>61438.85</v>
      </c>
      <c r="V227" s="5" t="e">
        <f t="shared" si="57"/>
        <v>#DIV/0!</v>
      </c>
    </row>
    <row r="228" spans="1:22" ht="24" customHeight="1" x14ac:dyDescent="0.25">
      <c r="A228" s="21" t="s">
        <v>1133</v>
      </c>
      <c r="B228" s="24" t="s">
        <v>438</v>
      </c>
      <c r="C228" s="2">
        <f t="shared" si="55"/>
        <v>72988.7</v>
      </c>
      <c r="D228" s="3">
        <f t="shared" si="56"/>
        <v>0</v>
      </c>
      <c r="E228" s="3">
        <v>0</v>
      </c>
      <c r="F228" s="3">
        <v>0</v>
      </c>
      <c r="G228" s="3">
        <v>0</v>
      </c>
      <c r="H228" s="3">
        <v>0</v>
      </c>
      <c r="I228" s="3">
        <v>0</v>
      </c>
      <c r="J228" s="3">
        <v>0</v>
      </c>
      <c r="K228" s="4">
        <v>0</v>
      </c>
      <c r="L228" s="3">
        <v>0</v>
      </c>
      <c r="M228" s="3">
        <v>0</v>
      </c>
      <c r="N228" s="3">
        <v>0</v>
      </c>
      <c r="O228" s="3">
        <v>0</v>
      </c>
      <c r="P228" s="3">
        <v>0</v>
      </c>
      <c r="Q228" s="3">
        <v>0</v>
      </c>
      <c r="R228" s="3">
        <v>0</v>
      </c>
      <c r="S228" s="3">
        <v>0</v>
      </c>
      <c r="T228" s="3">
        <v>0</v>
      </c>
      <c r="U228" s="3">
        <v>72988.7</v>
      </c>
      <c r="V228" s="5" t="e">
        <f t="shared" si="57"/>
        <v>#DIV/0!</v>
      </c>
    </row>
    <row r="229" spans="1:22" ht="24" customHeight="1" x14ac:dyDescent="0.25">
      <c r="A229" s="21" t="s">
        <v>1134</v>
      </c>
      <c r="B229" s="24" t="s">
        <v>424</v>
      </c>
      <c r="C229" s="2">
        <f t="shared" si="55"/>
        <v>6267141.54</v>
      </c>
      <c r="D229" s="3">
        <f t="shared" si="56"/>
        <v>743328.03999999992</v>
      </c>
      <c r="E229" s="3">
        <v>260059.14</v>
      </c>
      <c r="F229" s="3">
        <v>417539.23</v>
      </c>
      <c r="G229" s="3">
        <v>36704.449999999997</v>
      </c>
      <c r="H229" s="3">
        <f>500*0</f>
        <v>0</v>
      </c>
      <c r="I229" s="3">
        <v>29025.22</v>
      </c>
      <c r="J229" s="3">
        <f>350*0</f>
        <v>0</v>
      </c>
      <c r="K229" s="4">
        <v>0</v>
      </c>
      <c r="L229" s="3">
        <v>0</v>
      </c>
      <c r="M229" s="3">
        <v>651.35</v>
      </c>
      <c r="N229" s="3">
        <v>3406613.76</v>
      </c>
      <c r="O229" s="3">
        <v>0</v>
      </c>
      <c r="P229" s="3">
        <v>0</v>
      </c>
      <c r="Q229" s="3">
        <v>779.1</v>
      </c>
      <c r="R229" s="3">
        <v>1919199.74</v>
      </c>
      <c r="S229" s="3">
        <v>0</v>
      </c>
      <c r="T229" s="3">
        <v>0</v>
      </c>
      <c r="U229" s="3">
        <v>198000</v>
      </c>
      <c r="V229" s="5">
        <f t="shared" si="57"/>
        <v>5230.0817686343744</v>
      </c>
    </row>
    <row r="230" spans="1:22" ht="24" customHeight="1" x14ac:dyDescent="0.25">
      <c r="A230" s="21" t="s">
        <v>1135</v>
      </c>
      <c r="B230" s="24" t="s">
        <v>450</v>
      </c>
      <c r="C230" s="2">
        <f t="shared" si="55"/>
        <v>3566948.55</v>
      </c>
      <c r="D230" s="3">
        <f t="shared" si="56"/>
        <v>0</v>
      </c>
      <c r="E230" s="3">
        <v>0</v>
      </c>
      <c r="F230" s="3">
        <v>0</v>
      </c>
      <c r="G230" s="3">
        <v>0</v>
      </c>
      <c r="H230" s="3">
        <v>0</v>
      </c>
      <c r="I230" s="3">
        <v>0</v>
      </c>
      <c r="J230" s="3">
        <v>0</v>
      </c>
      <c r="K230" s="4">
        <v>0</v>
      </c>
      <c r="L230" s="3">
        <v>0</v>
      </c>
      <c r="M230" s="3">
        <v>695</v>
      </c>
      <c r="N230" s="3">
        <v>3497187.79</v>
      </c>
      <c r="O230" s="3">
        <v>0</v>
      </c>
      <c r="P230" s="3">
        <v>0</v>
      </c>
      <c r="Q230" s="3">
        <v>0</v>
      </c>
      <c r="R230" s="3">
        <v>0</v>
      </c>
      <c r="S230" s="3">
        <v>0</v>
      </c>
      <c r="T230" s="3">
        <v>0</v>
      </c>
      <c r="U230" s="3">
        <v>69760.759999999995</v>
      </c>
      <c r="V230" s="5">
        <f t="shared" si="57"/>
        <v>5031.924877697842</v>
      </c>
    </row>
    <row r="231" spans="1:22" ht="24" customHeight="1" x14ac:dyDescent="0.25">
      <c r="A231" s="21" t="s">
        <v>1136</v>
      </c>
      <c r="B231" s="28" t="s">
        <v>844</v>
      </c>
      <c r="C231" s="2">
        <f t="shared" si="55"/>
        <v>5179580.74</v>
      </c>
      <c r="D231" s="3">
        <f t="shared" si="56"/>
        <v>0</v>
      </c>
      <c r="E231" s="3">
        <v>0</v>
      </c>
      <c r="F231" s="3">
        <v>0</v>
      </c>
      <c r="G231" s="3">
        <v>0</v>
      </c>
      <c r="H231" s="3">
        <v>0</v>
      </c>
      <c r="I231" s="3">
        <v>0</v>
      </c>
      <c r="J231" s="3">
        <v>0</v>
      </c>
      <c r="K231" s="4">
        <v>0</v>
      </c>
      <c r="L231" s="3">
        <v>0</v>
      </c>
      <c r="M231" s="3">
        <v>665</v>
      </c>
      <c r="N231" s="3">
        <v>3314184.98</v>
      </c>
      <c r="O231" s="3">
        <v>0</v>
      </c>
      <c r="P231" s="3">
        <v>0</v>
      </c>
      <c r="Q231" s="3">
        <v>720</v>
      </c>
      <c r="R231" s="3">
        <v>1804412.83</v>
      </c>
      <c r="S231" s="3">
        <v>60982.93</v>
      </c>
      <c r="T231" s="3">
        <v>0</v>
      </c>
      <c r="U231" s="3">
        <v>0</v>
      </c>
      <c r="V231" s="5">
        <f t="shared" si="57"/>
        <v>4983.7368120300753</v>
      </c>
    </row>
    <row r="232" spans="1:22" ht="24" customHeight="1" x14ac:dyDescent="0.25">
      <c r="A232" s="21" t="s">
        <v>1137</v>
      </c>
      <c r="B232" s="24" t="s">
        <v>451</v>
      </c>
      <c r="C232" s="2">
        <f t="shared" si="55"/>
        <v>39357.33</v>
      </c>
      <c r="D232" s="3">
        <f t="shared" si="56"/>
        <v>0</v>
      </c>
      <c r="E232" s="3">
        <v>0</v>
      </c>
      <c r="F232" s="3">
        <v>0</v>
      </c>
      <c r="G232" s="3">
        <v>0</v>
      </c>
      <c r="H232" s="3">
        <v>0</v>
      </c>
      <c r="I232" s="3">
        <v>0</v>
      </c>
      <c r="J232" s="3">
        <v>0</v>
      </c>
      <c r="K232" s="4">
        <v>0</v>
      </c>
      <c r="L232" s="3">
        <v>0</v>
      </c>
      <c r="M232" s="3">
        <v>0</v>
      </c>
      <c r="N232" s="3">
        <v>0</v>
      </c>
      <c r="O232" s="3">
        <v>0</v>
      </c>
      <c r="P232" s="3">
        <v>0</v>
      </c>
      <c r="Q232" s="3">
        <v>0</v>
      </c>
      <c r="R232" s="3">
        <v>0</v>
      </c>
      <c r="S232" s="3">
        <v>0</v>
      </c>
      <c r="T232" s="3">
        <v>0</v>
      </c>
      <c r="U232" s="3">
        <v>39357.33</v>
      </c>
      <c r="V232" s="5" t="e">
        <f t="shared" si="57"/>
        <v>#DIV/0!</v>
      </c>
    </row>
    <row r="233" spans="1:22" ht="24" customHeight="1" x14ac:dyDescent="0.25">
      <c r="A233" s="21" t="s">
        <v>1138</v>
      </c>
      <c r="B233" s="24" t="s">
        <v>466</v>
      </c>
      <c r="C233" s="2">
        <f t="shared" si="55"/>
        <v>1742990.48</v>
      </c>
      <c r="D233" s="3">
        <f t="shared" si="56"/>
        <v>0</v>
      </c>
      <c r="E233" s="3">
        <v>0</v>
      </c>
      <c r="F233" s="3">
        <v>0</v>
      </c>
      <c r="G233" s="3">
        <v>0</v>
      </c>
      <c r="H233" s="3">
        <v>0</v>
      </c>
      <c r="I233" s="3">
        <v>0</v>
      </c>
      <c r="J233" s="3">
        <v>0</v>
      </c>
      <c r="K233" s="4">
        <v>0</v>
      </c>
      <c r="L233" s="3">
        <v>0</v>
      </c>
      <c r="M233" s="3">
        <v>371.04</v>
      </c>
      <c r="N233" s="3">
        <v>1682840.51</v>
      </c>
      <c r="O233" s="3">
        <v>0</v>
      </c>
      <c r="P233" s="3">
        <v>0</v>
      </c>
      <c r="Q233" s="3">
        <v>0</v>
      </c>
      <c r="R233" s="3">
        <v>0</v>
      </c>
      <c r="S233" s="3">
        <v>0</v>
      </c>
      <c r="T233" s="3">
        <v>0</v>
      </c>
      <c r="U233" s="3">
        <v>60149.97</v>
      </c>
      <c r="V233" s="5">
        <f t="shared" si="57"/>
        <v>4535.4692485985333</v>
      </c>
    </row>
    <row r="234" spans="1:22" ht="24" customHeight="1" x14ac:dyDescent="0.25">
      <c r="A234" s="21" t="s">
        <v>1139</v>
      </c>
      <c r="B234" s="24" t="s">
        <v>401</v>
      </c>
      <c r="C234" s="2">
        <f t="shared" si="55"/>
        <v>42605.66</v>
      </c>
      <c r="D234" s="3">
        <f t="shared" si="56"/>
        <v>0</v>
      </c>
      <c r="E234" s="3">
        <v>0</v>
      </c>
      <c r="F234" s="3">
        <v>0</v>
      </c>
      <c r="G234" s="3">
        <v>0</v>
      </c>
      <c r="H234" s="3">
        <v>0</v>
      </c>
      <c r="I234" s="3">
        <v>0</v>
      </c>
      <c r="J234" s="3">
        <v>0</v>
      </c>
      <c r="K234" s="4">
        <v>0</v>
      </c>
      <c r="L234" s="3">
        <v>0</v>
      </c>
      <c r="M234" s="3">
        <v>0</v>
      </c>
      <c r="N234" s="3">
        <v>0</v>
      </c>
      <c r="O234" s="3">
        <v>0</v>
      </c>
      <c r="P234" s="3">
        <v>0</v>
      </c>
      <c r="Q234" s="3">
        <v>0</v>
      </c>
      <c r="R234" s="3">
        <v>0</v>
      </c>
      <c r="S234" s="3">
        <v>0</v>
      </c>
      <c r="T234" s="3">
        <v>0</v>
      </c>
      <c r="U234" s="3">
        <v>42605.66</v>
      </c>
      <c r="V234" s="5" t="e">
        <f t="shared" si="57"/>
        <v>#DIV/0!</v>
      </c>
    </row>
    <row r="235" spans="1:22" ht="24" customHeight="1" x14ac:dyDescent="0.25">
      <c r="A235" s="21" t="s">
        <v>981</v>
      </c>
      <c r="B235" s="24" t="s">
        <v>415</v>
      </c>
      <c r="C235" s="2">
        <f t="shared" si="55"/>
        <v>46635.76</v>
      </c>
      <c r="D235" s="3">
        <f t="shared" si="56"/>
        <v>0</v>
      </c>
      <c r="E235" s="3">
        <v>0</v>
      </c>
      <c r="F235" s="3">
        <v>0</v>
      </c>
      <c r="G235" s="3">
        <v>0</v>
      </c>
      <c r="H235" s="3">
        <v>0</v>
      </c>
      <c r="I235" s="3">
        <v>0</v>
      </c>
      <c r="J235" s="3">
        <v>0</v>
      </c>
      <c r="K235" s="4">
        <v>0</v>
      </c>
      <c r="L235" s="3">
        <v>0</v>
      </c>
      <c r="M235" s="3">
        <v>0</v>
      </c>
      <c r="N235" s="3">
        <v>0</v>
      </c>
      <c r="O235" s="3">
        <v>0</v>
      </c>
      <c r="P235" s="3">
        <v>0</v>
      </c>
      <c r="Q235" s="3">
        <v>0</v>
      </c>
      <c r="R235" s="3">
        <v>0</v>
      </c>
      <c r="S235" s="3">
        <v>0</v>
      </c>
      <c r="T235" s="3">
        <v>0</v>
      </c>
      <c r="U235" s="3">
        <v>46635.76</v>
      </c>
      <c r="V235" s="5" t="e">
        <f t="shared" si="57"/>
        <v>#DIV/0!</v>
      </c>
    </row>
    <row r="236" spans="1:22" ht="24" customHeight="1" x14ac:dyDescent="0.25">
      <c r="A236" s="21" t="s">
        <v>1140</v>
      </c>
      <c r="B236" s="24" t="s">
        <v>416</v>
      </c>
      <c r="C236" s="2">
        <f t="shared" si="55"/>
        <v>2255774.0699999998</v>
      </c>
      <c r="D236" s="3">
        <f t="shared" si="56"/>
        <v>0</v>
      </c>
      <c r="E236" s="3">
        <v>0</v>
      </c>
      <c r="F236" s="3">
        <v>0</v>
      </c>
      <c r="G236" s="3">
        <v>0</v>
      </c>
      <c r="H236" s="3">
        <v>0</v>
      </c>
      <c r="I236" s="3">
        <v>0</v>
      </c>
      <c r="J236" s="3">
        <v>0</v>
      </c>
      <c r="K236" s="4">
        <v>0</v>
      </c>
      <c r="L236" s="3">
        <v>0</v>
      </c>
      <c r="M236" s="3">
        <v>0</v>
      </c>
      <c r="N236" s="3">
        <v>0</v>
      </c>
      <c r="O236" s="3">
        <v>0</v>
      </c>
      <c r="P236" s="3">
        <v>0</v>
      </c>
      <c r="Q236" s="3">
        <v>834.4</v>
      </c>
      <c r="R236" s="3">
        <v>2164774.54</v>
      </c>
      <c r="S236" s="3">
        <v>0</v>
      </c>
      <c r="T236" s="3">
        <v>0</v>
      </c>
      <c r="U236" s="3">
        <v>90999.53</v>
      </c>
      <c r="V236" s="5" t="e">
        <f t="shared" si="57"/>
        <v>#DIV/0!</v>
      </c>
    </row>
    <row r="237" spans="1:22" ht="40.15" customHeight="1" x14ac:dyDescent="0.25">
      <c r="A237" s="51" t="s">
        <v>288</v>
      </c>
      <c r="B237" s="51"/>
      <c r="C237" s="2">
        <f t="shared" ref="C237:U237" si="58">SUM(C238:C241)</f>
        <v>2538146.2999999998</v>
      </c>
      <c r="D237" s="2">
        <f t="shared" si="58"/>
        <v>2538146.2999999998</v>
      </c>
      <c r="E237" s="2">
        <f t="shared" si="58"/>
        <v>0</v>
      </c>
      <c r="F237" s="2">
        <f t="shared" si="58"/>
        <v>1951709.6399999997</v>
      </c>
      <c r="G237" s="2">
        <f t="shared" si="58"/>
        <v>276757.42</v>
      </c>
      <c r="H237" s="2">
        <f t="shared" si="58"/>
        <v>0</v>
      </c>
      <c r="I237" s="2">
        <f t="shared" si="58"/>
        <v>309679.24</v>
      </c>
      <c r="J237" s="2">
        <f t="shared" si="58"/>
        <v>0</v>
      </c>
      <c r="K237" s="18">
        <f t="shared" si="58"/>
        <v>0</v>
      </c>
      <c r="L237" s="2">
        <f t="shared" si="58"/>
        <v>0</v>
      </c>
      <c r="M237" s="2">
        <f t="shared" si="58"/>
        <v>0</v>
      </c>
      <c r="N237" s="2">
        <f t="shared" si="58"/>
        <v>0</v>
      </c>
      <c r="O237" s="2">
        <f t="shared" si="58"/>
        <v>0</v>
      </c>
      <c r="P237" s="2">
        <f t="shared" si="58"/>
        <v>0</v>
      </c>
      <c r="Q237" s="2">
        <f t="shared" si="58"/>
        <v>0</v>
      </c>
      <c r="R237" s="2">
        <f t="shared" si="58"/>
        <v>0</v>
      </c>
      <c r="S237" s="2">
        <f t="shared" si="58"/>
        <v>0</v>
      </c>
      <c r="T237" s="2">
        <f t="shared" si="58"/>
        <v>0</v>
      </c>
      <c r="U237" s="2">
        <f t="shared" si="58"/>
        <v>0</v>
      </c>
      <c r="V237" s="20">
        <f>C237+C1103</f>
        <v>12741549.039999999</v>
      </c>
    </row>
    <row r="238" spans="1:22" ht="25.15" customHeight="1" x14ac:dyDescent="0.25">
      <c r="A238" s="21" t="s">
        <v>1141</v>
      </c>
      <c r="B238" s="24" t="s">
        <v>851</v>
      </c>
      <c r="C238" s="2">
        <f>D238+L238+N238+P238+R238+S238+T238+U238</f>
        <v>419071.85</v>
      </c>
      <c r="D238" s="3">
        <f>SUM(E238:J238)</f>
        <v>419071.85</v>
      </c>
      <c r="E238" s="3">
        <v>0</v>
      </c>
      <c r="F238" s="3">
        <v>286161.48</v>
      </c>
      <c r="G238" s="3">
        <v>61668.58</v>
      </c>
      <c r="H238" s="3">
        <v>0</v>
      </c>
      <c r="I238" s="3">
        <v>71241.789999999994</v>
      </c>
      <c r="J238" s="3">
        <f>350*0</f>
        <v>0</v>
      </c>
      <c r="K238" s="4">
        <v>0</v>
      </c>
      <c r="L238" s="3">
        <v>0</v>
      </c>
      <c r="M238" s="13">
        <v>0</v>
      </c>
      <c r="N238" s="13">
        <v>0</v>
      </c>
      <c r="O238" s="3">
        <v>0</v>
      </c>
      <c r="P238" s="3">
        <v>0</v>
      </c>
      <c r="Q238" s="3">
        <v>0</v>
      </c>
      <c r="R238" s="3">
        <v>0</v>
      </c>
      <c r="S238" s="3">
        <v>0</v>
      </c>
      <c r="T238" s="3">
        <v>0</v>
      </c>
      <c r="U238" s="3">
        <v>0</v>
      </c>
      <c r="V238" s="5" t="e">
        <f>N238/M238</f>
        <v>#DIV/0!</v>
      </c>
    </row>
    <row r="239" spans="1:22" ht="25.15" customHeight="1" x14ac:dyDescent="0.25">
      <c r="A239" s="21" t="s">
        <v>1142</v>
      </c>
      <c r="B239" s="24" t="s">
        <v>850</v>
      </c>
      <c r="C239" s="2">
        <f>D239+L239+N239+P239+R239+S239+T239+U239</f>
        <v>709295.13</v>
      </c>
      <c r="D239" s="3">
        <f>SUM(E239:J239)</f>
        <v>709295.13</v>
      </c>
      <c r="E239" s="3">
        <v>0</v>
      </c>
      <c r="F239" s="3">
        <v>515233.21</v>
      </c>
      <c r="G239" s="3">
        <v>84311.06</v>
      </c>
      <c r="H239" s="3">
        <v>0</v>
      </c>
      <c r="I239" s="3">
        <v>109750.86</v>
      </c>
      <c r="J239" s="3">
        <f>350*0</f>
        <v>0</v>
      </c>
      <c r="K239" s="4">
        <v>0</v>
      </c>
      <c r="L239" s="3">
        <v>0</v>
      </c>
      <c r="M239" s="13">
        <v>0</v>
      </c>
      <c r="N239" s="13">
        <v>0</v>
      </c>
      <c r="O239" s="3">
        <v>0</v>
      </c>
      <c r="P239" s="3">
        <v>0</v>
      </c>
      <c r="Q239" s="3">
        <v>0</v>
      </c>
      <c r="R239" s="3">
        <v>0</v>
      </c>
      <c r="S239" s="3">
        <v>0</v>
      </c>
      <c r="T239" s="3">
        <v>0</v>
      </c>
      <c r="U239" s="3">
        <v>0</v>
      </c>
      <c r="V239" s="5" t="e">
        <f>N239/M239</f>
        <v>#DIV/0!</v>
      </c>
    </row>
    <row r="240" spans="1:22" ht="25.15" customHeight="1" x14ac:dyDescent="0.25">
      <c r="A240" s="21" t="s">
        <v>1143</v>
      </c>
      <c r="B240" s="24" t="s">
        <v>849</v>
      </c>
      <c r="C240" s="2">
        <f>D240+L240+N240+P240+R240+S240+T240+U240</f>
        <v>668196.1</v>
      </c>
      <c r="D240" s="3">
        <f>SUM(E240:J240)</f>
        <v>668196.1</v>
      </c>
      <c r="E240" s="3">
        <v>0</v>
      </c>
      <c r="F240" s="3">
        <v>455557.63</v>
      </c>
      <c r="G240" s="3">
        <v>110487.86</v>
      </c>
      <c r="H240" s="3">
        <v>0</v>
      </c>
      <c r="I240" s="3">
        <v>102150.61</v>
      </c>
      <c r="J240" s="3">
        <f>350*0</f>
        <v>0</v>
      </c>
      <c r="K240" s="4">
        <v>0</v>
      </c>
      <c r="L240" s="3">
        <v>0</v>
      </c>
      <c r="M240" s="13">
        <v>0</v>
      </c>
      <c r="N240" s="13">
        <v>0</v>
      </c>
      <c r="O240" s="3">
        <v>0</v>
      </c>
      <c r="P240" s="3">
        <v>0</v>
      </c>
      <c r="Q240" s="3">
        <v>0</v>
      </c>
      <c r="R240" s="3">
        <v>0</v>
      </c>
      <c r="S240" s="3">
        <v>0</v>
      </c>
      <c r="T240" s="3">
        <v>0</v>
      </c>
      <c r="U240" s="3">
        <v>0</v>
      </c>
      <c r="V240" s="5" t="e">
        <f>N240/M240</f>
        <v>#DIV/0!</v>
      </c>
    </row>
    <row r="241" spans="1:22" ht="25.15" customHeight="1" x14ac:dyDescent="0.25">
      <c r="A241" s="21" t="s">
        <v>1144</v>
      </c>
      <c r="B241" s="24" t="s">
        <v>848</v>
      </c>
      <c r="C241" s="2">
        <f>D241+L241+N241+P241+R241+S241+T241+U241</f>
        <v>741583.22</v>
      </c>
      <c r="D241" s="3">
        <f>SUM(E241:J241)</f>
        <v>741583.22</v>
      </c>
      <c r="E241" s="3">
        <v>0</v>
      </c>
      <c r="F241" s="3">
        <v>694757.32</v>
      </c>
      <c r="G241" s="3">
        <v>20289.919999999998</v>
      </c>
      <c r="H241" s="3">
        <v>0</v>
      </c>
      <c r="I241" s="3">
        <v>26535.98</v>
      </c>
      <c r="J241" s="3">
        <f>350*0</f>
        <v>0</v>
      </c>
      <c r="K241" s="4">
        <v>0</v>
      </c>
      <c r="L241" s="3">
        <v>0</v>
      </c>
      <c r="M241" s="13">
        <v>0</v>
      </c>
      <c r="N241" s="13">
        <v>0</v>
      </c>
      <c r="O241" s="3">
        <v>0</v>
      </c>
      <c r="P241" s="3">
        <v>0</v>
      </c>
      <c r="Q241" s="3">
        <v>0</v>
      </c>
      <c r="R241" s="3">
        <v>0</v>
      </c>
      <c r="S241" s="3">
        <v>0</v>
      </c>
      <c r="T241" s="3">
        <v>0</v>
      </c>
      <c r="U241" s="3">
        <v>0</v>
      </c>
      <c r="V241" s="5" t="e">
        <f>N241/M241</f>
        <v>#DIV/0!</v>
      </c>
    </row>
    <row r="242" spans="1:22" ht="40.15" customHeight="1" x14ac:dyDescent="0.25">
      <c r="A242" s="51" t="s">
        <v>266</v>
      </c>
      <c r="B242" s="51"/>
      <c r="C242" s="2">
        <f t="shared" ref="C242:U242" si="59">SUM(C243)</f>
        <v>34252.04</v>
      </c>
      <c r="D242" s="2">
        <f t="shared" si="59"/>
        <v>0</v>
      </c>
      <c r="E242" s="2">
        <f t="shared" si="59"/>
        <v>0</v>
      </c>
      <c r="F242" s="2">
        <f t="shared" si="59"/>
        <v>0</v>
      </c>
      <c r="G242" s="2">
        <f t="shared" si="59"/>
        <v>0</v>
      </c>
      <c r="H242" s="2">
        <f t="shared" si="59"/>
        <v>0</v>
      </c>
      <c r="I242" s="2">
        <f t="shared" si="59"/>
        <v>0</v>
      </c>
      <c r="J242" s="2">
        <f t="shared" si="59"/>
        <v>0</v>
      </c>
      <c r="K242" s="18">
        <f t="shared" si="59"/>
        <v>0</v>
      </c>
      <c r="L242" s="2">
        <f t="shared" si="59"/>
        <v>0</v>
      </c>
      <c r="M242" s="2">
        <f t="shared" si="59"/>
        <v>0</v>
      </c>
      <c r="N242" s="2">
        <f t="shared" si="59"/>
        <v>0</v>
      </c>
      <c r="O242" s="2">
        <f t="shared" si="59"/>
        <v>0</v>
      </c>
      <c r="P242" s="2">
        <f t="shared" si="59"/>
        <v>0</v>
      </c>
      <c r="Q242" s="2">
        <f t="shared" si="59"/>
        <v>0</v>
      </c>
      <c r="R242" s="2">
        <f t="shared" si="59"/>
        <v>0</v>
      </c>
      <c r="S242" s="2">
        <f t="shared" si="59"/>
        <v>0</v>
      </c>
      <c r="T242" s="2">
        <f t="shared" si="59"/>
        <v>0</v>
      </c>
      <c r="U242" s="2">
        <f t="shared" si="59"/>
        <v>34252.04</v>
      </c>
      <c r="V242" s="20">
        <f>C242+C627+C1107</f>
        <v>16096023.280000001</v>
      </c>
    </row>
    <row r="243" spans="1:22" ht="25.15" customHeight="1" x14ac:dyDescent="0.25">
      <c r="A243" s="21" t="s">
        <v>1145</v>
      </c>
      <c r="B243" s="24" t="s">
        <v>290</v>
      </c>
      <c r="C243" s="2">
        <f>D243+L243+N243+P243+R243+S243+T243+U243</f>
        <v>34252.04</v>
      </c>
      <c r="D243" s="3">
        <f>SUM(E243:J243)</f>
        <v>0</v>
      </c>
      <c r="E243" s="3">
        <v>0</v>
      </c>
      <c r="F243" s="3">
        <v>0</v>
      </c>
      <c r="G243" s="3">
        <v>0</v>
      </c>
      <c r="H243" s="3">
        <v>0</v>
      </c>
      <c r="I243" s="3">
        <v>0</v>
      </c>
      <c r="J243" s="3">
        <v>0</v>
      </c>
      <c r="K243" s="4">
        <v>0</v>
      </c>
      <c r="L243" s="3">
        <v>0</v>
      </c>
      <c r="M243" s="3">
        <v>0</v>
      </c>
      <c r="N243" s="3">
        <v>0</v>
      </c>
      <c r="O243" s="3">
        <v>0</v>
      </c>
      <c r="P243" s="3">
        <v>0</v>
      </c>
      <c r="Q243" s="3">
        <v>0</v>
      </c>
      <c r="R243" s="3">
        <v>0</v>
      </c>
      <c r="S243" s="3">
        <v>0</v>
      </c>
      <c r="T243" s="3">
        <v>0</v>
      </c>
      <c r="U243" s="3">
        <v>34252.04</v>
      </c>
      <c r="V243" s="5" t="e">
        <f>N243/M243</f>
        <v>#DIV/0!</v>
      </c>
    </row>
    <row r="244" spans="1:22" ht="40.15" customHeight="1" x14ac:dyDescent="0.25">
      <c r="A244" s="51" t="s">
        <v>269</v>
      </c>
      <c r="B244" s="51"/>
      <c r="C244" s="2">
        <f t="shared" ref="C244:U244" si="60">SUM(C245:C246)</f>
        <v>6414068.6400000006</v>
      </c>
      <c r="D244" s="2">
        <f t="shared" si="60"/>
        <v>517361.39</v>
      </c>
      <c r="E244" s="2">
        <f t="shared" si="60"/>
        <v>264982.02</v>
      </c>
      <c r="F244" s="2">
        <f t="shared" si="60"/>
        <v>159810.94</v>
      </c>
      <c r="G244" s="2">
        <f t="shared" si="60"/>
        <v>54255.360000000001</v>
      </c>
      <c r="H244" s="2">
        <f t="shared" si="60"/>
        <v>0</v>
      </c>
      <c r="I244" s="2">
        <f t="shared" si="60"/>
        <v>38313.07</v>
      </c>
      <c r="J244" s="2">
        <f t="shared" si="60"/>
        <v>0</v>
      </c>
      <c r="K244" s="18">
        <f t="shared" si="60"/>
        <v>0</v>
      </c>
      <c r="L244" s="2">
        <f t="shared" si="60"/>
        <v>0</v>
      </c>
      <c r="M244" s="2">
        <f t="shared" si="60"/>
        <v>753.21</v>
      </c>
      <c r="N244" s="2">
        <f t="shared" si="60"/>
        <v>3858635.48</v>
      </c>
      <c r="O244" s="2">
        <f t="shared" si="60"/>
        <v>0</v>
      </c>
      <c r="P244" s="2">
        <f t="shared" si="60"/>
        <v>0</v>
      </c>
      <c r="Q244" s="2">
        <f t="shared" si="60"/>
        <v>1152</v>
      </c>
      <c r="R244" s="2">
        <f t="shared" si="60"/>
        <v>1646478.24</v>
      </c>
      <c r="S244" s="2">
        <f t="shared" si="60"/>
        <v>0</v>
      </c>
      <c r="T244" s="2">
        <f t="shared" si="60"/>
        <v>0</v>
      </c>
      <c r="U244" s="2">
        <f t="shared" si="60"/>
        <v>391593.53</v>
      </c>
      <c r="V244" s="20">
        <f>C244+C632+C1117</f>
        <v>24864020.420000002</v>
      </c>
    </row>
    <row r="245" spans="1:22" ht="25.15" customHeight="1" x14ac:dyDescent="0.25">
      <c r="A245" s="21" t="s">
        <v>1146</v>
      </c>
      <c r="B245" s="24" t="s">
        <v>270</v>
      </c>
      <c r="C245" s="2">
        <f>D245+L245+N245+P245+R245+S245+T245+U245</f>
        <v>3331574.8200000003</v>
      </c>
      <c r="D245" s="3">
        <f>SUM(E245:J245)</f>
        <v>388667.3</v>
      </c>
      <c r="E245" s="3">
        <v>136287.93</v>
      </c>
      <c r="F245" s="3">
        <v>159810.94</v>
      </c>
      <c r="G245" s="3">
        <v>54255.360000000001</v>
      </c>
      <c r="H245" s="3">
        <f>350*0</f>
        <v>0</v>
      </c>
      <c r="I245" s="3">
        <v>38313.07</v>
      </c>
      <c r="J245" s="3">
        <f>350*0</f>
        <v>0</v>
      </c>
      <c r="K245" s="4">
        <v>0</v>
      </c>
      <c r="L245" s="3">
        <v>0</v>
      </c>
      <c r="M245" s="3">
        <v>371.61</v>
      </c>
      <c r="N245" s="3">
        <v>1930201.3</v>
      </c>
      <c r="O245" s="3">
        <v>0</v>
      </c>
      <c r="P245" s="3">
        <v>0</v>
      </c>
      <c r="Q245" s="3">
        <v>576</v>
      </c>
      <c r="R245" s="3">
        <v>813706.22</v>
      </c>
      <c r="S245" s="3">
        <v>0</v>
      </c>
      <c r="T245" s="3">
        <v>0</v>
      </c>
      <c r="U245" s="3">
        <v>199000</v>
      </c>
      <c r="V245" s="5">
        <f>N245/M245</f>
        <v>5194.1586609617607</v>
      </c>
    </row>
    <row r="246" spans="1:22" ht="25.15" customHeight="1" x14ac:dyDescent="0.25">
      <c r="A246" s="21" t="s">
        <v>1147</v>
      </c>
      <c r="B246" s="24" t="s">
        <v>271</v>
      </c>
      <c r="C246" s="2">
        <f>D246+L246+N246+P246+R246+S246+T246+U246</f>
        <v>3082493.82</v>
      </c>
      <c r="D246" s="3">
        <f>SUM(E246:J246)</f>
        <v>128694.09</v>
      </c>
      <c r="E246" s="3">
        <v>128694.09</v>
      </c>
      <c r="F246" s="3">
        <v>0</v>
      </c>
      <c r="G246" s="3">
        <f>300*0</f>
        <v>0</v>
      </c>
      <c r="H246" s="3">
        <f>350*0</f>
        <v>0</v>
      </c>
      <c r="I246" s="3">
        <f>400*0</f>
        <v>0</v>
      </c>
      <c r="J246" s="3">
        <f>350*0</f>
        <v>0</v>
      </c>
      <c r="K246" s="4">
        <v>0</v>
      </c>
      <c r="L246" s="3">
        <v>0</v>
      </c>
      <c r="M246" s="3">
        <v>381.6</v>
      </c>
      <c r="N246" s="3">
        <v>1928434.18</v>
      </c>
      <c r="O246" s="3">
        <v>0</v>
      </c>
      <c r="P246" s="3">
        <v>0</v>
      </c>
      <c r="Q246" s="3">
        <v>576</v>
      </c>
      <c r="R246" s="3">
        <v>832772.02</v>
      </c>
      <c r="S246" s="3">
        <v>0</v>
      </c>
      <c r="T246" s="3">
        <v>0</v>
      </c>
      <c r="U246" s="3">
        <v>192593.53</v>
      </c>
      <c r="V246" s="5">
        <f>N246/M246</f>
        <v>5053.5486897274632</v>
      </c>
    </row>
    <row r="247" spans="1:22" ht="40.15" customHeight="1" x14ac:dyDescent="0.25">
      <c r="A247" s="51" t="s">
        <v>274</v>
      </c>
      <c r="B247" s="51"/>
      <c r="C247" s="2">
        <f t="shared" ref="C247:U247" si="61">SUM(C248:C250)</f>
        <v>145766.94</v>
      </c>
      <c r="D247" s="2">
        <f t="shared" si="61"/>
        <v>0</v>
      </c>
      <c r="E247" s="2">
        <f t="shared" si="61"/>
        <v>0</v>
      </c>
      <c r="F247" s="2">
        <f t="shared" si="61"/>
        <v>0</v>
      </c>
      <c r="G247" s="2">
        <f t="shared" si="61"/>
        <v>0</v>
      </c>
      <c r="H247" s="2">
        <f t="shared" si="61"/>
        <v>0</v>
      </c>
      <c r="I247" s="2">
        <f t="shared" si="61"/>
        <v>0</v>
      </c>
      <c r="J247" s="2">
        <f t="shared" si="61"/>
        <v>0</v>
      </c>
      <c r="K247" s="18">
        <f t="shared" si="61"/>
        <v>0</v>
      </c>
      <c r="L247" s="2">
        <f t="shared" si="61"/>
        <v>0</v>
      </c>
      <c r="M247" s="2">
        <f t="shared" si="61"/>
        <v>0</v>
      </c>
      <c r="N247" s="2">
        <f t="shared" si="61"/>
        <v>0</v>
      </c>
      <c r="O247" s="2">
        <f t="shared" si="61"/>
        <v>0</v>
      </c>
      <c r="P247" s="2">
        <f t="shared" si="61"/>
        <v>0</v>
      </c>
      <c r="Q247" s="2">
        <f t="shared" si="61"/>
        <v>0</v>
      </c>
      <c r="R247" s="2">
        <f t="shared" si="61"/>
        <v>0</v>
      </c>
      <c r="S247" s="2">
        <f t="shared" si="61"/>
        <v>0</v>
      </c>
      <c r="T247" s="2">
        <f t="shared" si="61"/>
        <v>0</v>
      </c>
      <c r="U247" s="2">
        <f t="shared" si="61"/>
        <v>145766.94</v>
      </c>
      <c r="V247" s="20">
        <f>C247+C635+C1121</f>
        <v>36978323.480000004</v>
      </c>
    </row>
    <row r="248" spans="1:22" ht="25.15" customHeight="1" x14ac:dyDescent="0.25">
      <c r="A248" s="21" t="s">
        <v>1148</v>
      </c>
      <c r="B248" s="24" t="s">
        <v>279</v>
      </c>
      <c r="C248" s="2">
        <f>D248+L248+N248+P248+R248+S248+T248+U248</f>
        <v>49421.84</v>
      </c>
      <c r="D248" s="3">
        <f>SUM(E248:J248)</f>
        <v>0</v>
      </c>
      <c r="E248" s="3">
        <v>0</v>
      </c>
      <c r="F248" s="3">
        <v>0</v>
      </c>
      <c r="G248" s="3">
        <v>0</v>
      </c>
      <c r="H248" s="3">
        <v>0</v>
      </c>
      <c r="I248" s="3">
        <v>0</v>
      </c>
      <c r="J248" s="3">
        <v>0</v>
      </c>
      <c r="K248" s="4">
        <v>0</v>
      </c>
      <c r="L248" s="3">
        <v>0</v>
      </c>
      <c r="M248" s="3">
        <v>0</v>
      </c>
      <c r="N248" s="3">
        <v>0</v>
      </c>
      <c r="O248" s="3">
        <v>0</v>
      </c>
      <c r="P248" s="3">
        <v>0</v>
      </c>
      <c r="Q248" s="3">
        <v>0</v>
      </c>
      <c r="R248" s="3">
        <v>0</v>
      </c>
      <c r="S248" s="3">
        <v>0</v>
      </c>
      <c r="T248" s="3">
        <v>0</v>
      </c>
      <c r="U248" s="3">
        <v>49421.84</v>
      </c>
      <c r="V248" s="5" t="e">
        <f>N248/M248</f>
        <v>#DIV/0!</v>
      </c>
    </row>
    <row r="249" spans="1:22" ht="25.15" customHeight="1" x14ac:dyDescent="0.25">
      <c r="A249" s="21" t="s">
        <v>1149</v>
      </c>
      <c r="B249" s="24" t="s">
        <v>280</v>
      </c>
      <c r="C249" s="2">
        <f>D249+L249+N249+P249+R249+S249+T249+U249</f>
        <v>50355.93</v>
      </c>
      <c r="D249" s="3">
        <f>SUM(E249:J249)</f>
        <v>0</v>
      </c>
      <c r="E249" s="3">
        <v>0</v>
      </c>
      <c r="F249" s="3">
        <v>0</v>
      </c>
      <c r="G249" s="3">
        <v>0</v>
      </c>
      <c r="H249" s="3">
        <v>0</v>
      </c>
      <c r="I249" s="3">
        <v>0</v>
      </c>
      <c r="J249" s="3">
        <v>0</v>
      </c>
      <c r="K249" s="4">
        <v>0</v>
      </c>
      <c r="L249" s="3">
        <v>0</v>
      </c>
      <c r="M249" s="3">
        <v>0</v>
      </c>
      <c r="N249" s="3">
        <v>0</v>
      </c>
      <c r="O249" s="3">
        <v>0</v>
      </c>
      <c r="P249" s="3">
        <v>0</v>
      </c>
      <c r="Q249" s="3">
        <v>0</v>
      </c>
      <c r="R249" s="3">
        <v>0</v>
      </c>
      <c r="S249" s="3">
        <v>0</v>
      </c>
      <c r="T249" s="3">
        <v>0</v>
      </c>
      <c r="U249" s="3">
        <v>50355.93</v>
      </c>
      <c r="V249" s="5" t="e">
        <f>N249/M249</f>
        <v>#DIV/0!</v>
      </c>
    </row>
    <row r="250" spans="1:22" ht="25.15" customHeight="1" x14ac:dyDescent="0.25">
      <c r="A250" s="21" t="s">
        <v>1150</v>
      </c>
      <c r="B250" s="24" t="s">
        <v>282</v>
      </c>
      <c r="C250" s="2">
        <f>D250+L250+N250+P250+R250+S250+T250+U250</f>
        <v>45989.17</v>
      </c>
      <c r="D250" s="3">
        <f>SUM(E250:J250)</f>
        <v>0</v>
      </c>
      <c r="E250" s="3">
        <v>0</v>
      </c>
      <c r="F250" s="3">
        <v>0</v>
      </c>
      <c r="G250" s="3">
        <v>0</v>
      </c>
      <c r="H250" s="3">
        <v>0</v>
      </c>
      <c r="I250" s="3">
        <v>0</v>
      </c>
      <c r="J250" s="3">
        <v>0</v>
      </c>
      <c r="K250" s="4">
        <v>0</v>
      </c>
      <c r="L250" s="3">
        <v>0</v>
      </c>
      <c r="M250" s="3">
        <v>0</v>
      </c>
      <c r="N250" s="3">
        <v>0</v>
      </c>
      <c r="O250" s="3">
        <v>0</v>
      </c>
      <c r="P250" s="3">
        <v>0</v>
      </c>
      <c r="Q250" s="3">
        <v>0</v>
      </c>
      <c r="R250" s="3">
        <v>0</v>
      </c>
      <c r="S250" s="3">
        <v>0</v>
      </c>
      <c r="T250" s="3">
        <v>0</v>
      </c>
      <c r="U250" s="3">
        <v>45989.17</v>
      </c>
      <c r="V250" s="5" t="e">
        <f>N250/M250</f>
        <v>#DIV/0!</v>
      </c>
    </row>
    <row r="251" spans="1:22" ht="45" customHeight="1" x14ac:dyDescent="0.25">
      <c r="A251" s="51" t="s">
        <v>292</v>
      </c>
      <c r="B251" s="51"/>
      <c r="C251" s="2">
        <f t="shared" ref="C251:U251" si="62">SUM(C252:C254)</f>
        <v>7854268.2100000009</v>
      </c>
      <c r="D251" s="2">
        <f t="shared" si="62"/>
        <v>180683</v>
      </c>
      <c r="E251" s="2">
        <f t="shared" si="62"/>
        <v>147697</v>
      </c>
      <c r="F251" s="2">
        <f t="shared" si="62"/>
        <v>0</v>
      </c>
      <c r="G251" s="2">
        <f t="shared" si="62"/>
        <v>16717</v>
      </c>
      <c r="H251" s="2">
        <f t="shared" si="62"/>
        <v>0</v>
      </c>
      <c r="I251" s="2">
        <f t="shared" si="62"/>
        <v>16269</v>
      </c>
      <c r="J251" s="2">
        <f t="shared" si="62"/>
        <v>0</v>
      </c>
      <c r="K251" s="18">
        <f t="shared" si="62"/>
        <v>0</v>
      </c>
      <c r="L251" s="2">
        <f t="shared" si="62"/>
        <v>0</v>
      </c>
      <c r="M251" s="2">
        <f t="shared" si="62"/>
        <v>758</v>
      </c>
      <c r="N251" s="2">
        <f t="shared" si="62"/>
        <v>3934473</v>
      </c>
      <c r="O251" s="2">
        <f t="shared" si="62"/>
        <v>0</v>
      </c>
      <c r="P251" s="2">
        <f t="shared" si="62"/>
        <v>0</v>
      </c>
      <c r="Q251" s="2">
        <f t="shared" si="62"/>
        <v>1168.8000000000002</v>
      </c>
      <c r="R251" s="2">
        <f t="shared" si="62"/>
        <v>3044652.5</v>
      </c>
      <c r="S251" s="2">
        <f t="shared" si="62"/>
        <v>290445.24</v>
      </c>
      <c r="T251" s="2">
        <f t="shared" si="62"/>
        <v>0</v>
      </c>
      <c r="U251" s="2">
        <f t="shared" si="62"/>
        <v>404014.47</v>
      </c>
      <c r="V251" s="20" t="e">
        <f>C251+#REF!</f>
        <v>#REF!</v>
      </c>
    </row>
    <row r="252" spans="1:22" ht="25.15" customHeight="1" x14ac:dyDescent="0.25">
      <c r="A252" s="21" t="s">
        <v>1151</v>
      </c>
      <c r="B252" s="24" t="s">
        <v>293</v>
      </c>
      <c r="C252" s="2">
        <f>D252+L252+N252+P252+R252+S252+T252+U252</f>
        <v>2428435.9</v>
      </c>
      <c r="D252" s="3">
        <f>SUM(E252:J252)</f>
        <v>0</v>
      </c>
      <c r="E252" s="3">
        <v>0</v>
      </c>
      <c r="F252" s="3">
        <v>0</v>
      </c>
      <c r="G252" s="3">
        <v>0</v>
      </c>
      <c r="H252" s="3">
        <v>0</v>
      </c>
      <c r="I252" s="3">
        <v>0</v>
      </c>
      <c r="J252" s="3">
        <v>0</v>
      </c>
      <c r="K252" s="4">
        <v>0</v>
      </c>
      <c r="L252" s="3">
        <v>0</v>
      </c>
      <c r="M252" s="3">
        <v>240</v>
      </c>
      <c r="N252" s="3">
        <v>1270433</v>
      </c>
      <c r="O252" s="3">
        <v>0</v>
      </c>
      <c r="P252" s="3">
        <v>0</v>
      </c>
      <c r="Q252" s="3">
        <v>361.5</v>
      </c>
      <c r="R252" s="3">
        <v>941707.5</v>
      </c>
      <c r="S252" s="3">
        <v>108570</v>
      </c>
      <c r="T252" s="3">
        <v>0</v>
      </c>
      <c r="U252" s="3">
        <v>107725.4</v>
      </c>
      <c r="V252" s="5">
        <f>N252/M252</f>
        <v>5293.4708333333338</v>
      </c>
    </row>
    <row r="253" spans="1:22" ht="25.15" customHeight="1" x14ac:dyDescent="0.25">
      <c r="A253" s="21" t="s">
        <v>1152</v>
      </c>
      <c r="B253" s="24" t="s">
        <v>294</v>
      </c>
      <c r="C253" s="2">
        <f>D253+L253+N253+P253+R253+S253+T253+U253</f>
        <v>2365776.25</v>
      </c>
      <c r="D253" s="3">
        <f>SUM(E253:J253)</f>
        <v>0</v>
      </c>
      <c r="E253" s="3">
        <v>0</v>
      </c>
      <c r="F253" s="3">
        <v>0</v>
      </c>
      <c r="G253" s="3">
        <v>0</v>
      </c>
      <c r="H253" s="3">
        <v>0</v>
      </c>
      <c r="I253" s="3">
        <v>0</v>
      </c>
      <c r="J253" s="3">
        <v>0</v>
      </c>
      <c r="K253" s="4">
        <v>0</v>
      </c>
      <c r="L253" s="3">
        <v>0</v>
      </c>
      <c r="M253" s="3">
        <v>244</v>
      </c>
      <c r="N253" s="3">
        <v>1221775</v>
      </c>
      <c r="O253" s="3">
        <v>0</v>
      </c>
      <c r="P253" s="3">
        <v>0</v>
      </c>
      <c r="Q253" s="3">
        <v>356.7</v>
      </c>
      <c r="R253" s="3">
        <v>929132</v>
      </c>
      <c r="S253" s="3">
        <v>107611.24</v>
      </c>
      <c r="T253" s="3">
        <v>0</v>
      </c>
      <c r="U253" s="3">
        <v>107258.01</v>
      </c>
      <c r="V253" s="5">
        <f>N253/M253</f>
        <v>5007.2745901639346</v>
      </c>
    </row>
    <row r="254" spans="1:22" ht="25.15" customHeight="1" x14ac:dyDescent="0.25">
      <c r="A254" s="21" t="s">
        <v>1153</v>
      </c>
      <c r="B254" s="24" t="s">
        <v>295</v>
      </c>
      <c r="C254" s="2">
        <f>D254+L254+N254+P254+R254+S254+T254+U254</f>
        <v>3060056.06</v>
      </c>
      <c r="D254" s="3">
        <f>SUM(E254:J254)</f>
        <v>180683</v>
      </c>
      <c r="E254" s="3">
        <v>147697</v>
      </c>
      <c r="F254" s="3">
        <v>0</v>
      </c>
      <c r="G254" s="3">
        <v>16717</v>
      </c>
      <c r="H254" s="3">
        <v>0</v>
      </c>
      <c r="I254" s="3">
        <v>16269</v>
      </c>
      <c r="J254" s="3">
        <f>350*0</f>
        <v>0</v>
      </c>
      <c r="K254" s="4">
        <v>0</v>
      </c>
      <c r="L254" s="3">
        <v>0</v>
      </c>
      <c r="M254" s="3">
        <v>274</v>
      </c>
      <c r="N254" s="3">
        <v>1442265</v>
      </c>
      <c r="O254" s="3">
        <v>0</v>
      </c>
      <c r="P254" s="3">
        <v>0</v>
      </c>
      <c r="Q254" s="3">
        <v>450.6</v>
      </c>
      <c r="R254" s="3">
        <v>1173813</v>
      </c>
      <c r="S254" s="3">
        <v>74264</v>
      </c>
      <c r="T254" s="3">
        <v>0</v>
      </c>
      <c r="U254" s="3">
        <v>189031.06</v>
      </c>
      <c r="V254" s="5">
        <f>N254/M254</f>
        <v>5263.7408759124091</v>
      </c>
    </row>
    <row r="255" spans="1:22" ht="45" customHeight="1" x14ac:dyDescent="0.25">
      <c r="A255" s="51" t="s">
        <v>297</v>
      </c>
      <c r="B255" s="51"/>
      <c r="C255" s="2">
        <f t="shared" ref="C255:U255" si="63">SUM(C256)</f>
        <v>48130.46</v>
      </c>
      <c r="D255" s="2">
        <f t="shared" si="63"/>
        <v>0</v>
      </c>
      <c r="E255" s="2">
        <f t="shared" si="63"/>
        <v>0</v>
      </c>
      <c r="F255" s="2">
        <f t="shared" si="63"/>
        <v>0</v>
      </c>
      <c r="G255" s="2">
        <f t="shared" si="63"/>
        <v>0</v>
      </c>
      <c r="H255" s="2">
        <f t="shared" si="63"/>
        <v>0</v>
      </c>
      <c r="I255" s="2">
        <f t="shared" si="63"/>
        <v>0</v>
      </c>
      <c r="J255" s="2">
        <f t="shared" si="63"/>
        <v>0</v>
      </c>
      <c r="K255" s="18">
        <f t="shared" si="63"/>
        <v>0</v>
      </c>
      <c r="L255" s="2">
        <f t="shared" si="63"/>
        <v>0</v>
      </c>
      <c r="M255" s="2">
        <f t="shared" si="63"/>
        <v>0</v>
      </c>
      <c r="N255" s="2">
        <f t="shared" si="63"/>
        <v>0</v>
      </c>
      <c r="O255" s="2">
        <f t="shared" si="63"/>
        <v>0</v>
      </c>
      <c r="P255" s="2">
        <f t="shared" si="63"/>
        <v>0</v>
      </c>
      <c r="Q255" s="2">
        <f t="shared" si="63"/>
        <v>0</v>
      </c>
      <c r="R255" s="2">
        <f t="shared" si="63"/>
        <v>0</v>
      </c>
      <c r="S255" s="2">
        <f t="shared" si="63"/>
        <v>0</v>
      </c>
      <c r="T255" s="2">
        <f t="shared" si="63"/>
        <v>0</v>
      </c>
      <c r="U255" s="2">
        <f t="shared" si="63"/>
        <v>48130.46</v>
      </c>
      <c r="V255" s="20">
        <f>C255+C645+C1129</f>
        <v>14209944.470000001</v>
      </c>
    </row>
    <row r="256" spans="1:22" ht="25.15" customHeight="1" x14ac:dyDescent="0.25">
      <c r="A256" s="15" t="s">
        <v>1154</v>
      </c>
      <c r="B256" s="24" t="s">
        <v>301</v>
      </c>
      <c r="C256" s="2">
        <f>D256+L256+N256+P256+R256+S256+T256+U256</f>
        <v>48130.46</v>
      </c>
      <c r="D256" s="3">
        <f>SUM(E256:J256)</f>
        <v>0</v>
      </c>
      <c r="E256" s="3">
        <v>0</v>
      </c>
      <c r="F256" s="3">
        <v>0</v>
      </c>
      <c r="G256" s="3">
        <v>0</v>
      </c>
      <c r="H256" s="3">
        <v>0</v>
      </c>
      <c r="I256" s="3">
        <v>0</v>
      </c>
      <c r="J256" s="3">
        <v>0</v>
      </c>
      <c r="K256" s="4">
        <v>0</v>
      </c>
      <c r="L256" s="3">
        <v>0</v>
      </c>
      <c r="M256" s="13">
        <v>0</v>
      </c>
      <c r="N256" s="13">
        <v>0</v>
      </c>
      <c r="O256" s="3">
        <v>0</v>
      </c>
      <c r="P256" s="3">
        <v>0</v>
      </c>
      <c r="Q256" s="3">
        <v>0</v>
      </c>
      <c r="R256" s="3">
        <v>0</v>
      </c>
      <c r="S256" s="3">
        <v>0</v>
      </c>
      <c r="T256" s="3">
        <v>0</v>
      </c>
      <c r="U256" s="3">
        <v>48130.46</v>
      </c>
      <c r="V256" s="5" t="e">
        <f>N256/M256</f>
        <v>#DIV/0!</v>
      </c>
    </row>
    <row r="257" spans="1:22" ht="40.15" customHeight="1" x14ac:dyDescent="0.25">
      <c r="A257" s="51" t="s">
        <v>802</v>
      </c>
      <c r="B257" s="51"/>
      <c r="C257" s="2">
        <f t="shared" ref="C257:U257" si="64">SUM(C258)</f>
        <v>2999935.13</v>
      </c>
      <c r="D257" s="2">
        <f t="shared" si="64"/>
        <v>97668.77</v>
      </c>
      <c r="E257" s="2">
        <f t="shared" si="64"/>
        <v>97668.77</v>
      </c>
      <c r="F257" s="2">
        <f t="shared" si="64"/>
        <v>0</v>
      </c>
      <c r="G257" s="2">
        <f t="shared" si="64"/>
        <v>0</v>
      </c>
      <c r="H257" s="2">
        <f t="shared" si="64"/>
        <v>0</v>
      </c>
      <c r="I257" s="2">
        <f t="shared" si="64"/>
        <v>0</v>
      </c>
      <c r="J257" s="2">
        <f t="shared" si="64"/>
        <v>0</v>
      </c>
      <c r="K257" s="18">
        <f t="shared" si="64"/>
        <v>0</v>
      </c>
      <c r="L257" s="2">
        <f t="shared" si="64"/>
        <v>0</v>
      </c>
      <c r="M257" s="2">
        <f t="shared" si="64"/>
        <v>414</v>
      </c>
      <c r="N257" s="2">
        <f t="shared" si="64"/>
        <v>2020023.69</v>
      </c>
      <c r="O257" s="2">
        <f t="shared" si="64"/>
        <v>0</v>
      </c>
      <c r="P257" s="2">
        <f t="shared" si="64"/>
        <v>0</v>
      </c>
      <c r="Q257" s="2">
        <f t="shared" si="64"/>
        <v>556</v>
      </c>
      <c r="R257" s="2">
        <f t="shared" si="64"/>
        <v>776040.08</v>
      </c>
      <c r="S257" s="2">
        <f t="shared" si="64"/>
        <v>0</v>
      </c>
      <c r="T257" s="2">
        <f t="shared" si="64"/>
        <v>0</v>
      </c>
      <c r="U257" s="2">
        <f t="shared" si="64"/>
        <v>106202.59</v>
      </c>
      <c r="V257" s="20" t="e">
        <f>C257+#REF!+C1138</f>
        <v>#REF!</v>
      </c>
    </row>
    <row r="258" spans="1:22" ht="25.15" customHeight="1" x14ac:dyDescent="0.25">
      <c r="A258" s="21" t="s">
        <v>1155</v>
      </c>
      <c r="B258" s="24" t="s">
        <v>308</v>
      </c>
      <c r="C258" s="2">
        <f>D258+L258+N258+P258+R258+S258+T258+U258</f>
        <v>2999935.13</v>
      </c>
      <c r="D258" s="3">
        <f>SUM(E258:J258)</f>
        <v>97668.77</v>
      </c>
      <c r="E258" s="3">
        <v>97668.77</v>
      </c>
      <c r="F258" s="3">
        <v>0</v>
      </c>
      <c r="G258" s="3">
        <v>0</v>
      </c>
      <c r="H258" s="3">
        <v>0</v>
      </c>
      <c r="I258" s="3">
        <v>0</v>
      </c>
      <c r="J258" s="3">
        <v>0</v>
      </c>
      <c r="K258" s="4">
        <v>0</v>
      </c>
      <c r="L258" s="3">
        <v>0</v>
      </c>
      <c r="M258" s="3">
        <v>414</v>
      </c>
      <c r="N258" s="3">
        <v>2020023.69</v>
      </c>
      <c r="O258" s="3">
        <v>0</v>
      </c>
      <c r="P258" s="3">
        <v>0</v>
      </c>
      <c r="Q258" s="3">
        <v>556</v>
      </c>
      <c r="R258" s="3">
        <v>776040.08</v>
      </c>
      <c r="S258" s="3">
        <v>0</v>
      </c>
      <c r="T258" s="3">
        <v>0</v>
      </c>
      <c r="U258" s="3">
        <v>106202.59</v>
      </c>
      <c r="V258" s="5">
        <f>N258/M258</f>
        <v>4879.284275362319</v>
      </c>
    </row>
    <row r="259" spans="1:22" ht="42.95" customHeight="1" x14ac:dyDescent="0.25">
      <c r="A259" s="51" t="s">
        <v>309</v>
      </c>
      <c r="B259" s="51"/>
      <c r="C259" s="2">
        <f t="shared" ref="C259:U259" si="65">SUM(C260:C261)</f>
        <v>1151732.3800000001</v>
      </c>
      <c r="D259" s="2">
        <f t="shared" si="65"/>
        <v>0</v>
      </c>
      <c r="E259" s="2">
        <f t="shared" si="65"/>
        <v>0</v>
      </c>
      <c r="F259" s="2">
        <f t="shared" si="65"/>
        <v>0</v>
      </c>
      <c r="G259" s="2">
        <f t="shared" si="65"/>
        <v>0</v>
      </c>
      <c r="H259" s="2">
        <f t="shared" si="65"/>
        <v>0</v>
      </c>
      <c r="I259" s="2">
        <f t="shared" si="65"/>
        <v>0</v>
      </c>
      <c r="J259" s="2">
        <f t="shared" si="65"/>
        <v>0</v>
      </c>
      <c r="K259" s="18">
        <f t="shared" si="65"/>
        <v>0</v>
      </c>
      <c r="L259" s="2">
        <f t="shared" si="65"/>
        <v>0</v>
      </c>
      <c r="M259" s="2">
        <f t="shared" si="65"/>
        <v>315.04000000000002</v>
      </c>
      <c r="N259" s="2">
        <f t="shared" si="65"/>
        <v>1069200</v>
      </c>
      <c r="O259" s="2">
        <f t="shared" si="65"/>
        <v>0</v>
      </c>
      <c r="P259" s="2">
        <f t="shared" si="65"/>
        <v>0</v>
      </c>
      <c r="Q259" s="2">
        <f t="shared" si="65"/>
        <v>0</v>
      </c>
      <c r="R259" s="2">
        <f t="shared" si="65"/>
        <v>0</v>
      </c>
      <c r="S259" s="2">
        <f t="shared" si="65"/>
        <v>0</v>
      </c>
      <c r="T259" s="2">
        <f t="shared" si="65"/>
        <v>0</v>
      </c>
      <c r="U259" s="2">
        <f t="shared" si="65"/>
        <v>82532.38</v>
      </c>
      <c r="V259" s="20">
        <f>C259+C647+C1141</f>
        <v>41169713.120000005</v>
      </c>
    </row>
    <row r="260" spans="1:22" ht="25.15" customHeight="1" x14ac:dyDescent="0.25">
      <c r="A260" s="15" t="s">
        <v>1156</v>
      </c>
      <c r="B260" s="24" t="s">
        <v>805</v>
      </c>
      <c r="C260" s="2">
        <f>D260+L260+N260+P260+R260+S260+T260+U260</f>
        <v>1102862.77</v>
      </c>
      <c r="D260" s="3">
        <f>SUM(E260:J260)</f>
        <v>0</v>
      </c>
      <c r="E260" s="3">
        <v>0</v>
      </c>
      <c r="F260" s="3">
        <v>0</v>
      </c>
      <c r="G260" s="3">
        <v>0</v>
      </c>
      <c r="H260" s="3">
        <v>0</v>
      </c>
      <c r="I260" s="3">
        <v>0</v>
      </c>
      <c r="J260" s="3">
        <v>0</v>
      </c>
      <c r="K260" s="14">
        <v>0</v>
      </c>
      <c r="L260" s="13">
        <v>0</v>
      </c>
      <c r="M260" s="13">
        <v>315.04000000000002</v>
      </c>
      <c r="N260" s="13">
        <v>1069200</v>
      </c>
      <c r="O260" s="13">
        <v>0</v>
      </c>
      <c r="P260" s="13">
        <v>0</v>
      </c>
      <c r="Q260" s="13">
        <v>0</v>
      </c>
      <c r="R260" s="13">
        <v>0</v>
      </c>
      <c r="S260" s="13">
        <v>0</v>
      </c>
      <c r="T260" s="13">
        <v>0</v>
      </c>
      <c r="U260" s="13">
        <v>33662.769999999997</v>
      </c>
      <c r="V260" s="5">
        <f>N260/M260</f>
        <v>3393.8547486033517</v>
      </c>
    </row>
    <row r="261" spans="1:22" ht="25.15" customHeight="1" x14ac:dyDescent="0.25">
      <c r="A261" s="15" t="s">
        <v>1157</v>
      </c>
      <c r="B261" s="24" t="s">
        <v>311</v>
      </c>
      <c r="C261" s="2">
        <f>D261+L261+N261+P261+R261+S261+T261+U261</f>
        <v>48869.61</v>
      </c>
      <c r="D261" s="3">
        <f>SUM(E261:J261)</f>
        <v>0</v>
      </c>
      <c r="E261" s="3">
        <v>0</v>
      </c>
      <c r="F261" s="3">
        <v>0</v>
      </c>
      <c r="G261" s="3">
        <v>0</v>
      </c>
      <c r="H261" s="3">
        <v>0</v>
      </c>
      <c r="I261" s="3">
        <v>0</v>
      </c>
      <c r="J261" s="3">
        <v>0</v>
      </c>
      <c r="K261" s="4">
        <v>0</v>
      </c>
      <c r="L261" s="3">
        <v>0</v>
      </c>
      <c r="M261" s="3">
        <v>0</v>
      </c>
      <c r="N261" s="3">
        <v>0</v>
      </c>
      <c r="O261" s="3">
        <v>0</v>
      </c>
      <c r="P261" s="3">
        <v>0</v>
      </c>
      <c r="Q261" s="3">
        <v>0</v>
      </c>
      <c r="R261" s="3">
        <v>0</v>
      </c>
      <c r="S261" s="3">
        <v>0</v>
      </c>
      <c r="T261" s="3">
        <v>0</v>
      </c>
      <c r="U261" s="3">
        <v>48869.61</v>
      </c>
      <c r="V261" s="5" t="e">
        <f>N261/M261</f>
        <v>#DIV/0!</v>
      </c>
    </row>
    <row r="262" spans="1:22" ht="42.95" customHeight="1" x14ac:dyDescent="0.25">
      <c r="A262" s="51" t="s">
        <v>313</v>
      </c>
      <c r="B262" s="51"/>
      <c r="C262" s="2">
        <f t="shared" ref="C262:U262" si="66">SUM(C263)</f>
        <v>2990808.4</v>
      </c>
      <c r="D262" s="2">
        <f t="shared" si="66"/>
        <v>0</v>
      </c>
      <c r="E262" s="2">
        <f t="shared" si="66"/>
        <v>0</v>
      </c>
      <c r="F262" s="2">
        <f t="shared" si="66"/>
        <v>0</v>
      </c>
      <c r="G262" s="2">
        <f t="shared" si="66"/>
        <v>0</v>
      </c>
      <c r="H262" s="2">
        <f t="shared" si="66"/>
        <v>0</v>
      </c>
      <c r="I262" s="2">
        <f t="shared" si="66"/>
        <v>0</v>
      </c>
      <c r="J262" s="2">
        <f t="shared" si="66"/>
        <v>0</v>
      </c>
      <c r="K262" s="18">
        <f t="shared" si="66"/>
        <v>0</v>
      </c>
      <c r="L262" s="2">
        <f t="shared" si="66"/>
        <v>0</v>
      </c>
      <c r="M262" s="2">
        <f t="shared" si="66"/>
        <v>366.4</v>
      </c>
      <c r="N262" s="2">
        <f t="shared" si="66"/>
        <v>1920360.81</v>
      </c>
      <c r="O262" s="2">
        <f t="shared" si="66"/>
        <v>0</v>
      </c>
      <c r="P262" s="2">
        <f t="shared" si="66"/>
        <v>0</v>
      </c>
      <c r="Q262" s="2">
        <f t="shared" si="66"/>
        <v>426</v>
      </c>
      <c r="R262" s="2">
        <f t="shared" si="66"/>
        <v>990609.29</v>
      </c>
      <c r="S262" s="2">
        <f t="shared" si="66"/>
        <v>0</v>
      </c>
      <c r="T262" s="2">
        <f t="shared" si="66"/>
        <v>0</v>
      </c>
      <c r="U262" s="2">
        <f t="shared" si="66"/>
        <v>79838.3</v>
      </c>
      <c r="V262" s="20">
        <f>C262+C651</f>
        <v>3126783.92</v>
      </c>
    </row>
    <row r="263" spans="1:22" ht="25.15" customHeight="1" x14ac:dyDescent="0.25">
      <c r="A263" s="21" t="s">
        <v>1158</v>
      </c>
      <c r="B263" s="1" t="s">
        <v>315</v>
      </c>
      <c r="C263" s="2">
        <f>D263+L263+N263+P263+R263+S263+T263+U263</f>
        <v>2990808.4</v>
      </c>
      <c r="D263" s="3">
        <f>SUM(E263:J263)</f>
        <v>0</v>
      </c>
      <c r="E263" s="3">
        <v>0</v>
      </c>
      <c r="F263" s="3">
        <v>0</v>
      </c>
      <c r="G263" s="3">
        <v>0</v>
      </c>
      <c r="H263" s="3">
        <v>0</v>
      </c>
      <c r="I263" s="3">
        <v>0</v>
      </c>
      <c r="J263" s="3">
        <v>0</v>
      </c>
      <c r="K263" s="4">
        <v>0</v>
      </c>
      <c r="L263" s="3">
        <v>0</v>
      </c>
      <c r="M263" s="3">
        <v>366.4</v>
      </c>
      <c r="N263" s="3">
        <v>1920360.81</v>
      </c>
      <c r="O263" s="3">
        <v>0</v>
      </c>
      <c r="P263" s="3">
        <v>0</v>
      </c>
      <c r="Q263" s="3">
        <v>426</v>
      </c>
      <c r="R263" s="3">
        <v>990609.29</v>
      </c>
      <c r="S263" s="3">
        <v>0</v>
      </c>
      <c r="T263" s="3">
        <v>0</v>
      </c>
      <c r="U263" s="3">
        <v>79838.3</v>
      </c>
      <c r="V263" s="5">
        <f>N263/M263</f>
        <v>5241.1594159388651</v>
      </c>
    </row>
    <row r="264" spans="1:22" ht="42.95" customHeight="1" x14ac:dyDescent="0.25">
      <c r="A264" s="51" t="s">
        <v>923</v>
      </c>
      <c r="B264" s="51"/>
      <c r="C264" s="2">
        <f t="shared" ref="C264:U264" si="67">SUM(C265)</f>
        <v>4068458.4</v>
      </c>
      <c r="D264" s="2">
        <f t="shared" si="67"/>
        <v>0</v>
      </c>
      <c r="E264" s="2">
        <f t="shared" si="67"/>
        <v>0</v>
      </c>
      <c r="F264" s="2">
        <f t="shared" si="67"/>
        <v>0</v>
      </c>
      <c r="G264" s="2">
        <f t="shared" si="67"/>
        <v>0</v>
      </c>
      <c r="H264" s="2">
        <f t="shared" si="67"/>
        <v>0</v>
      </c>
      <c r="I264" s="2">
        <f t="shared" si="67"/>
        <v>0</v>
      </c>
      <c r="J264" s="2">
        <f t="shared" si="67"/>
        <v>0</v>
      </c>
      <c r="K264" s="18">
        <f t="shared" si="67"/>
        <v>0</v>
      </c>
      <c r="L264" s="2">
        <f t="shared" si="67"/>
        <v>0</v>
      </c>
      <c r="M264" s="2">
        <f t="shared" si="67"/>
        <v>1220.3</v>
      </c>
      <c r="N264" s="2">
        <f t="shared" si="67"/>
        <v>4068458.4</v>
      </c>
      <c r="O264" s="2">
        <f t="shared" si="67"/>
        <v>0</v>
      </c>
      <c r="P264" s="2">
        <f t="shared" si="67"/>
        <v>0</v>
      </c>
      <c r="Q264" s="2">
        <f t="shared" si="67"/>
        <v>0</v>
      </c>
      <c r="R264" s="2">
        <f t="shared" si="67"/>
        <v>0</v>
      </c>
      <c r="S264" s="2">
        <f t="shared" si="67"/>
        <v>0</v>
      </c>
      <c r="T264" s="2">
        <f t="shared" si="67"/>
        <v>0</v>
      </c>
      <c r="U264" s="2">
        <f t="shared" si="67"/>
        <v>0</v>
      </c>
      <c r="V264" s="20">
        <f>C264+C655</f>
        <v>27825515.229999997</v>
      </c>
    </row>
    <row r="265" spans="1:22" ht="25.15" customHeight="1" x14ac:dyDescent="0.25">
      <c r="A265" s="21" t="s">
        <v>1159</v>
      </c>
      <c r="B265" s="1" t="s">
        <v>924</v>
      </c>
      <c r="C265" s="2">
        <f>D265+L265+N265+P265+R265+S265+T265+U265</f>
        <v>4068458.4</v>
      </c>
      <c r="D265" s="3">
        <f>SUM(E265:J265)</f>
        <v>0</v>
      </c>
      <c r="E265" s="3">
        <v>0</v>
      </c>
      <c r="F265" s="3">
        <v>0</v>
      </c>
      <c r="G265" s="3">
        <v>0</v>
      </c>
      <c r="H265" s="3">
        <v>0</v>
      </c>
      <c r="I265" s="3">
        <v>0</v>
      </c>
      <c r="J265" s="3">
        <v>0</v>
      </c>
      <c r="K265" s="4">
        <v>0</v>
      </c>
      <c r="L265" s="3">
        <v>0</v>
      </c>
      <c r="M265" s="3">
        <v>1220.3</v>
      </c>
      <c r="N265" s="3">
        <v>4068458.4</v>
      </c>
      <c r="O265" s="3">
        <v>0</v>
      </c>
      <c r="P265" s="3">
        <v>0</v>
      </c>
      <c r="Q265" s="3">
        <v>0</v>
      </c>
      <c r="R265" s="3">
        <v>0</v>
      </c>
      <c r="S265" s="3">
        <v>0</v>
      </c>
      <c r="T265" s="3">
        <v>0</v>
      </c>
      <c r="U265" s="3">
        <v>0</v>
      </c>
      <c r="V265" s="5">
        <f>N265/M265</f>
        <v>3333.982135540441</v>
      </c>
    </row>
    <row r="266" spans="1:22" ht="35.1" customHeight="1" x14ac:dyDescent="0.25">
      <c r="A266" s="51" t="s">
        <v>316</v>
      </c>
      <c r="B266" s="51"/>
      <c r="C266" s="2">
        <f>SUM(C267)</f>
        <v>2367169.1</v>
      </c>
      <c r="D266" s="2">
        <f t="shared" ref="D266:U266" si="68">SUM(D267:D267)</f>
        <v>0</v>
      </c>
      <c r="E266" s="2">
        <f t="shared" si="68"/>
        <v>0</v>
      </c>
      <c r="F266" s="2">
        <f t="shared" si="68"/>
        <v>0</v>
      </c>
      <c r="G266" s="2">
        <f t="shared" si="68"/>
        <v>0</v>
      </c>
      <c r="H266" s="2">
        <f t="shared" si="68"/>
        <v>0</v>
      </c>
      <c r="I266" s="2">
        <f t="shared" si="68"/>
        <v>0</v>
      </c>
      <c r="J266" s="2">
        <f t="shared" si="68"/>
        <v>0</v>
      </c>
      <c r="K266" s="18">
        <f t="shared" si="68"/>
        <v>0</v>
      </c>
      <c r="L266" s="2">
        <f t="shared" si="68"/>
        <v>0</v>
      </c>
      <c r="M266" s="2">
        <f t="shared" si="68"/>
        <v>488.37</v>
      </c>
      <c r="N266" s="2">
        <f t="shared" si="68"/>
        <v>2367169.1</v>
      </c>
      <c r="O266" s="2">
        <f t="shared" si="68"/>
        <v>0</v>
      </c>
      <c r="P266" s="2">
        <f t="shared" si="68"/>
        <v>0</v>
      </c>
      <c r="Q266" s="2">
        <f t="shared" si="68"/>
        <v>0</v>
      </c>
      <c r="R266" s="2">
        <f t="shared" si="68"/>
        <v>0</v>
      </c>
      <c r="S266" s="2">
        <f t="shared" si="68"/>
        <v>0</v>
      </c>
      <c r="T266" s="2">
        <f t="shared" si="68"/>
        <v>0</v>
      </c>
      <c r="U266" s="2">
        <f t="shared" si="68"/>
        <v>0</v>
      </c>
      <c r="V266" s="20">
        <f>C266</f>
        <v>2367169.1</v>
      </c>
    </row>
    <row r="267" spans="1:22" ht="25.15" customHeight="1" x14ac:dyDescent="0.25">
      <c r="A267" s="15" t="s">
        <v>1160</v>
      </c>
      <c r="B267" s="24" t="s">
        <v>919</v>
      </c>
      <c r="C267" s="2">
        <f>D267+L267+N267+P267+R267+S267+T267+U267</f>
        <v>2367169.1</v>
      </c>
      <c r="D267" s="3">
        <f>SUM(E267:J267)</f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4">
        <v>0</v>
      </c>
      <c r="L267" s="13">
        <v>0</v>
      </c>
      <c r="M267" s="13">
        <v>488.37</v>
      </c>
      <c r="N267" s="13">
        <v>2367169.1</v>
      </c>
      <c r="O267" s="13">
        <v>0</v>
      </c>
      <c r="P267" s="13">
        <v>0</v>
      </c>
      <c r="Q267" s="13">
        <v>0</v>
      </c>
      <c r="R267" s="13">
        <v>0</v>
      </c>
      <c r="S267" s="13">
        <v>0</v>
      </c>
      <c r="T267" s="13">
        <v>0</v>
      </c>
      <c r="U267" s="13">
        <v>0</v>
      </c>
      <c r="V267" s="5">
        <f>N267/M267</f>
        <v>4847.081311300858</v>
      </c>
    </row>
    <row r="268" spans="1:22" ht="40.15" customHeight="1" x14ac:dyDescent="0.25">
      <c r="A268" s="51" t="s">
        <v>320</v>
      </c>
      <c r="B268" s="51"/>
      <c r="C268" s="2">
        <f t="shared" ref="C268:U268" si="69">SUM(C269)</f>
        <v>1083858.1100000001</v>
      </c>
      <c r="D268" s="2">
        <f t="shared" si="69"/>
        <v>0</v>
      </c>
      <c r="E268" s="2">
        <f t="shared" si="69"/>
        <v>0</v>
      </c>
      <c r="F268" s="2">
        <f t="shared" si="69"/>
        <v>0</v>
      </c>
      <c r="G268" s="2">
        <f t="shared" si="69"/>
        <v>0</v>
      </c>
      <c r="H268" s="2">
        <f t="shared" si="69"/>
        <v>0</v>
      </c>
      <c r="I268" s="2">
        <f t="shared" si="69"/>
        <v>0</v>
      </c>
      <c r="J268" s="2">
        <f t="shared" si="69"/>
        <v>0</v>
      </c>
      <c r="K268" s="18">
        <f t="shared" si="69"/>
        <v>0</v>
      </c>
      <c r="L268" s="2">
        <f t="shared" si="69"/>
        <v>0</v>
      </c>
      <c r="M268" s="2">
        <f t="shared" si="69"/>
        <v>321.10000000000002</v>
      </c>
      <c r="N268" s="2">
        <f t="shared" si="69"/>
        <v>1059307.8500000001</v>
      </c>
      <c r="O268" s="2">
        <f t="shared" si="69"/>
        <v>0</v>
      </c>
      <c r="P268" s="2">
        <f t="shared" si="69"/>
        <v>0</v>
      </c>
      <c r="Q268" s="2">
        <f t="shared" si="69"/>
        <v>0</v>
      </c>
      <c r="R268" s="2">
        <f t="shared" si="69"/>
        <v>0</v>
      </c>
      <c r="S268" s="2">
        <f t="shared" si="69"/>
        <v>0</v>
      </c>
      <c r="T268" s="2">
        <f t="shared" si="69"/>
        <v>0</v>
      </c>
      <c r="U268" s="2">
        <f t="shared" si="69"/>
        <v>24550.26</v>
      </c>
      <c r="V268" s="20">
        <f>C268</f>
        <v>1083858.1100000001</v>
      </c>
    </row>
    <row r="269" spans="1:22" ht="25.15" customHeight="1" x14ac:dyDescent="0.25">
      <c r="A269" s="21" t="s">
        <v>1161</v>
      </c>
      <c r="B269" s="24" t="s">
        <v>321</v>
      </c>
      <c r="C269" s="2">
        <f>D269+L269+N269+P269+R269+S269+T269+U269</f>
        <v>1083858.1100000001</v>
      </c>
      <c r="D269" s="3">
        <f>SUM(E269:J269)</f>
        <v>0</v>
      </c>
      <c r="E269" s="3">
        <v>0</v>
      </c>
      <c r="F269" s="3">
        <v>0</v>
      </c>
      <c r="G269" s="3">
        <v>0</v>
      </c>
      <c r="H269" s="3">
        <v>0</v>
      </c>
      <c r="I269" s="3">
        <v>0</v>
      </c>
      <c r="J269" s="3">
        <v>0</v>
      </c>
      <c r="K269" s="4">
        <v>0</v>
      </c>
      <c r="L269" s="3">
        <v>0</v>
      </c>
      <c r="M269" s="3">
        <v>321.10000000000002</v>
      </c>
      <c r="N269" s="3">
        <v>1059307.8500000001</v>
      </c>
      <c r="O269" s="3">
        <v>0</v>
      </c>
      <c r="P269" s="3">
        <v>0</v>
      </c>
      <c r="Q269" s="3">
        <v>0</v>
      </c>
      <c r="R269" s="3">
        <v>0</v>
      </c>
      <c r="S269" s="3">
        <v>0</v>
      </c>
      <c r="T269" s="3">
        <v>0</v>
      </c>
      <c r="U269" s="3">
        <v>24550.26</v>
      </c>
      <c r="V269" s="5">
        <f>N269/M269</f>
        <v>3298.9967299906571</v>
      </c>
    </row>
    <row r="270" spans="1:22" ht="40.15" customHeight="1" x14ac:dyDescent="0.25">
      <c r="A270" s="51" t="s">
        <v>983</v>
      </c>
      <c r="B270" s="51"/>
      <c r="C270" s="2">
        <f t="shared" ref="C270:U270" si="70">SUM(C271:C283)</f>
        <v>51998849.679999992</v>
      </c>
      <c r="D270" s="2">
        <f t="shared" si="70"/>
        <v>713279.95</v>
      </c>
      <c r="E270" s="2">
        <f t="shared" si="70"/>
        <v>316423.8</v>
      </c>
      <c r="F270" s="2">
        <f t="shared" si="70"/>
        <v>0</v>
      </c>
      <c r="G270" s="2">
        <f t="shared" si="70"/>
        <v>203648.15</v>
      </c>
      <c r="H270" s="2">
        <f t="shared" si="70"/>
        <v>0</v>
      </c>
      <c r="I270" s="2">
        <f t="shared" si="70"/>
        <v>193208</v>
      </c>
      <c r="J270" s="2">
        <f t="shared" si="70"/>
        <v>0</v>
      </c>
      <c r="K270" s="18">
        <f t="shared" si="70"/>
        <v>0</v>
      </c>
      <c r="L270" s="2">
        <f t="shared" si="70"/>
        <v>0</v>
      </c>
      <c r="M270" s="2">
        <f t="shared" si="70"/>
        <v>7845</v>
      </c>
      <c r="N270" s="2">
        <f t="shared" si="70"/>
        <v>25612943.949999999</v>
      </c>
      <c r="O270" s="2">
        <f t="shared" si="70"/>
        <v>0</v>
      </c>
      <c r="P270" s="2">
        <f t="shared" si="70"/>
        <v>0</v>
      </c>
      <c r="Q270" s="2">
        <f t="shared" si="70"/>
        <v>9809.4</v>
      </c>
      <c r="R270" s="2">
        <f t="shared" si="70"/>
        <v>22910394.800000001</v>
      </c>
      <c r="S270" s="2">
        <f t="shared" si="70"/>
        <v>488565.26</v>
      </c>
      <c r="T270" s="2">
        <f t="shared" si="70"/>
        <v>0</v>
      </c>
      <c r="U270" s="2">
        <f t="shared" si="70"/>
        <v>2273665.7200000002</v>
      </c>
      <c r="V270" s="20">
        <f>C270+C658+C1151</f>
        <v>318177495.85999995</v>
      </c>
    </row>
    <row r="271" spans="1:22" ht="24" customHeight="1" x14ac:dyDescent="0.25">
      <c r="A271" s="21" t="s">
        <v>1162</v>
      </c>
      <c r="B271" s="24" t="s">
        <v>322</v>
      </c>
      <c r="C271" s="2">
        <f t="shared" ref="C271:C283" si="71">D271+L271+N271+P271+R271+S271+T271+U271</f>
        <v>2925706.35</v>
      </c>
      <c r="D271" s="3">
        <f t="shared" ref="D271:D283" si="72">SUM(E271:J271)</f>
        <v>0</v>
      </c>
      <c r="E271" s="3">
        <v>0</v>
      </c>
      <c r="F271" s="3">
        <v>0</v>
      </c>
      <c r="G271" s="3">
        <v>0</v>
      </c>
      <c r="H271" s="3">
        <v>0</v>
      </c>
      <c r="I271" s="3">
        <v>0</v>
      </c>
      <c r="J271" s="3">
        <v>0</v>
      </c>
      <c r="K271" s="4">
        <v>0</v>
      </c>
      <c r="L271" s="3">
        <v>0</v>
      </c>
      <c r="M271" s="3">
        <v>911.03</v>
      </c>
      <c r="N271" s="3">
        <v>2827430.4</v>
      </c>
      <c r="O271" s="3">
        <v>0</v>
      </c>
      <c r="P271" s="3">
        <v>0</v>
      </c>
      <c r="Q271" s="3">
        <v>0</v>
      </c>
      <c r="R271" s="3">
        <v>0</v>
      </c>
      <c r="S271" s="3">
        <v>0</v>
      </c>
      <c r="T271" s="3">
        <v>0</v>
      </c>
      <c r="U271" s="3">
        <v>98275.95</v>
      </c>
      <c r="V271" s="5">
        <f t="shared" ref="V271:V280" si="73">N271/M271</f>
        <v>3103.5535602559739</v>
      </c>
    </row>
    <row r="272" spans="1:22" ht="24" customHeight="1" x14ac:dyDescent="0.25">
      <c r="A272" s="21" t="s">
        <v>1163</v>
      </c>
      <c r="B272" s="24" t="s">
        <v>323</v>
      </c>
      <c r="C272" s="2">
        <f t="shared" si="71"/>
        <v>3929419.09</v>
      </c>
      <c r="D272" s="3">
        <f t="shared" si="72"/>
        <v>0</v>
      </c>
      <c r="E272" s="3">
        <v>0</v>
      </c>
      <c r="F272" s="3">
        <v>0</v>
      </c>
      <c r="G272" s="3">
        <v>0</v>
      </c>
      <c r="H272" s="3">
        <v>0</v>
      </c>
      <c r="I272" s="3">
        <v>0</v>
      </c>
      <c r="J272" s="3">
        <v>0</v>
      </c>
      <c r="K272" s="4">
        <v>0</v>
      </c>
      <c r="L272" s="3">
        <v>0</v>
      </c>
      <c r="M272" s="3">
        <v>1236.1400000000001</v>
      </c>
      <c r="N272" s="3">
        <v>3828000</v>
      </c>
      <c r="O272" s="3">
        <v>0</v>
      </c>
      <c r="P272" s="3">
        <v>0</v>
      </c>
      <c r="Q272" s="3">
        <v>0</v>
      </c>
      <c r="R272" s="3">
        <v>0</v>
      </c>
      <c r="S272" s="3">
        <v>0</v>
      </c>
      <c r="T272" s="3">
        <v>0</v>
      </c>
      <c r="U272" s="3">
        <v>101419.09</v>
      </c>
      <c r="V272" s="5">
        <f t="shared" si="73"/>
        <v>3096.7366155937029</v>
      </c>
    </row>
    <row r="273" spans="1:22" ht="24" customHeight="1" x14ac:dyDescent="0.25">
      <c r="A273" s="21" t="s">
        <v>1164</v>
      </c>
      <c r="B273" s="24" t="s">
        <v>324</v>
      </c>
      <c r="C273" s="2">
        <f t="shared" si="71"/>
        <v>4817880.9799999995</v>
      </c>
      <c r="D273" s="3">
        <f t="shared" si="72"/>
        <v>0</v>
      </c>
      <c r="E273" s="3">
        <v>0</v>
      </c>
      <c r="F273" s="3">
        <v>0</v>
      </c>
      <c r="G273" s="3">
        <v>0</v>
      </c>
      <c r="H273" s="3">
        <v>0</v>
      </c>
      <c r="I273" s="3">
        <v>0</v>
      </c>
      <c r="J273" s="3">
        <v>0</v>
      </c>
      <c r="K273" s="4">
        <v>0</v>
      </c>
      <c r="L273" s="3">
        <v>0</v>
      </c>
      <c r="M273" s="3">
        <v>1587.42</v>
      </c>
      <c r="N273" s="3">
        <v>4706253.5999999996</v>
      </c>
      <c r="O273" s="3">
        <v>0</v>
      </c>
      <c r="P273" s="3">
        <v>0</v>
      </c>
      <c r="Q273" s="3">
        <v>0</v>
      </c>
      <c r="R273" s="3">
        <v>0</v>
      </c>
      <c r="S273" s="3">
        <v>0</v>
      </c>
      <c r="T273" s="3">
        <v>0</v>
      </c>
      <c r="U273" s="3">
        <v>111627.38</v>
      </c>
      <c r="V273" s="5">
        <f t="shared" si="73"/>
        <v>2964.71859999244</v>
      </c>
    </row>
    <row r="274" spans="1:22" ht="24" customHeight="1" x14ac:dyDescent="0.25">
      <c r="A274" s="21" t="s">
        <v>1165</v>
      </c>
      <c r="B274" s="24" t="s">
        <v>325</v>
      </c>
      <c r="C274" s="2">
        <f t="shared" si="71"/>
        <v>4998407.29</v>
      </c>
      <c r="D274" s="3">
        <f t="shared" si="72"/>
        <v>0</v>
      </c>
      <c r="E274" s="3">
        <v>0</v>
      </c>
      <c r="F274" s="3">
        <v>0</v>
      </c>
      <c r="G274" s="3">
        <v>0</v>
      </c>
      <c r="H274" s="3">
        <v>0</v>
      </c>
      <c r="I274" s="3">
        <v>0</v>
      </c>
      <c r="J274" s="3">
        <v>0</v>
      </c>
      <c r="K274" s="4">
        <v>0</v>
      </c>
      <c r="L274" s="3">
        <v>0</v>
      </c>
      <c r="M274" s="3">
        <v>1673</v>
      </c>
      <c r="N274" s="3">
        <v>4914912</v>
      </c>
      <c r="O274" s="3">
        <v>0</v>
      </c>
      <c r="P274" s="3">
        <v>0</v>
      </c>
      <c r="Q274" s="3">
        <v>0</v>
      </c>
      <c r="R274" s="3">
        <v>0</v>
      </c>
      <c r="S274" s="3">
        <v>0</v>
      </c>
      <c r="T274" s="3">
        <v>0</v>
      </c>
      <c r="U274" s="3">
        <v>83495.289999999994</v>
      </c>
      <c r="V274" s="5">
        <f t="shared" si="73"/>
        <v>2937.7836222355049</v>
      </c>
    </row>
    <row r="275" spans="1:22" ht="24" customHeight="1" x14ac:dyDescent="0.25">
      <c r="A275" s="21" t="s">
        <v>1166</v>
      </c>
      <c r="B275" s="24" t="s">
        <v>326</v>
      </c>
      <c r="C275" s="2">
        <f t="shared" si="71"/>
        <v>4568951.93</v>
      </c>
      <c r="D275" s="3">
        <f t="shared" si="72"/>
        <v>0</v>
      </c>
      <c r="E275" s="3">
        <v>0</v>
      </c>
      <c r="F275" s="3">
        <v>0</v>
      </c>
      <c r="G275" s="3">
        <v>0</v>
      </c>
      <c r="H275" s="3">
        <v>0</v>
      </c>
      <c r="I275" s="3">
        <v>0</v>
      </c>
      <c r="J275" s="3">
        <v>0</v>
      </c>
      <c r="K275" s="4">
        <v>0</v>
      </c>
      <c r="L275" s="3">
        <v>0</v>
      </c>
      <c r="M275" s="3">
        <v>0</v>
      </c>
      <c r="N275" s="3">
        <v>0</v>
      </c>
      <c r="O275" s="3">
        <v>0</v>
      </c>
      <c r="P275" s="3">
        <v>0</v>
      </c>
      <c r="Q275" s="3">
        <v>2218</v>
      </c>
      <c r="R275" s="3">
        <v>4428500</v>
      </c>
      <c r="S275" s="3">
        <v>0</v>
      </c>
      <c r="T275" s="3">
        <v>0</v>
      </c>
      <c r="U275" s="3">
        <v>140451.93</v>
      </c>
      <c r="V275" s="5" t="e">
        <f t="shared" si="73"/>
        <v>#DIV/0!</v>
      </c>
    </row>
    <row r="276" spans="1:22" ht="24" customHeight="1" x14ac:dyDescent="0.25">
      <c r="A276" s="21" t="s">
        <v>1167</v>
      </c>
      <c r="B276" s="24" t="s">
        <v>328</v>
      </c>
      <c r="C276" s="2">
        <f t="shared" si="71"/>
        <v>4381271.97</v>
      </c>
      <c r="D276" s="3">
        <f t="shared" si="72"/>
        <v>0</v>
      </c>
      <c r="E276" s="3">
        <v>0</v>
      </c>
      <c r="F276" s="3">
        <v>0</v>
      </c>
      <c r="G276" s="3">
        <v>0</v>
      </c>
      <c r="H276" s="3">
        <v>0</v>
      </c>
      <c r="I276" s="3">
        <v>0</v>
      </c>
      <c r="J276" s="3">
        <v>0</v>
      </c>
      <c r="K276" s="4">
        <v>0</v>
      </c>
      <c r="L276" s="3">
        <v>0</v>
      </c>
      <c r="M276" s="3">
        <v>0</v>
      </c>
      <c r="N276" s="3">
        <v>0</v>
      </c>
      <c r="O276" s="3">
        <v>0</v>
      </c>
      <c r="P276" s="3">
        <v>0</v>
      </c>
      <c r="Q276" s="3">
        <v>1909</v>
      </c>
      <c r="R276" s="3">
        <v>4251450.3099999996</v>
      </c>
      <c r="S276" s="3">
        <v>0</v>
      </c>
      <c r="T276" s="3">
        <v>0</v>
      </c>
      <c r="U276" s="3">
        <v>129821.66</v>
      </c>
      <c r="V276" s="5" t="e">
        <f t="shared" si="73"/>
        <v>#DIV/0!</v>
      </c>
    </row>
    <row r="277" spans="1:22" ht="24" customHeight="1" x14ac:dyDescent="0.25">
      <c r="A277" s="21" t="s">
        <v>1168</v>
      </c>
      <c r="B277" s="24" t="s">
        <v>329</v>
      </c>
      <c r="C277" s="2">
        <f t="shared" si="71"/>
        <v>4530496.58</v>
      </c>
      <c r="D277" s="3">
        <f t="shared" si="72"/>
        <v>0</v>
      </c>
      <c r="E277" s="3">
        <v>0</v>
      </c>
      <c r="F277" s="3">
        <v>0</v>
      </c>
      <c r="G277" s="3">
        <v>0</v>
      </c>
      <c r="H277" s="3">
        <v>0</v>
      </c>
      <c r="I277" s="3">
        <v>0</v>
      </c>
      <c r="J277" s="3">
        <v>0</v>
      </c>
      <c r="K277" s="4">
        <v>0</v>
      </c>
      <c r="L277" s="3">
        <v>0</v>
      </c>
      <c r="M277" s="3">
        <v>0</v>
      </c>
      <c r="N277" s="3">
        <v>0</v>
      </c>
      <c r="O277" s="3">
        <v>0</v>
      </c>
      <c r="P277" s="3">
        <v>0</v>
      </c>
      <c r="Q277" s="3">
        <v>1788.4</v>
      </c>
      <c r="R277" s="3">
        <v>4406045.6500000004</v>
      </c>
      <c r="S277" s="3">
        <v>0</v>
      </c>
      <c r="T277" s="3">
        <v>0</v>
      </c>
      <c r="U277" s="3">
        <v>124450.93</v>
      </c>
      <c r="V277" s="5" t="e">
        <f t="shared" si="73"/>
        <v>#DIV/0!</v>
      </c>
    </row>
    <row r="278" spans="1:22" ht="24" customHeight="1" x14ac:dyDescent="0.25">
      <c r="A278" s="21" t="s">
        <v>1169</v>
      </c>
      <c r="B278" s="24" t="s">
        <v>330</v>
      </c>
      <c r="C278" s="2">
        <f t="shared" si="71"/>
        <v>4528460.6399999997</v>
      </c>
      <c r="D278" s="3">
        <f t="shared" si="72"/>
        <v>0</v>
      </c>
      <c r="E278" s="3">
        <v>0</v>
      </c>
      <c r="F278" s="3">
        <v>0</v>
      </c>
      <c r="G278" s="3">
        <v>0</v>
      </c>
      <c r="H278" s="3">
        <v>0</v>
      </c>
      <c r="I278" s="3">
        <v>0</v>
      </c>
      <c r="J278" s="3">
        <v>0</v>
      </c>
      <c r="K278" s="4">
        <v>0</v>
      </c>
      <c r="L278" s="3">
        <v>0</v>
      </c>
      <c r="M278" s="3">
        <v>0</v>
      </c>
      <c r="N278" s="3">
        <v>0</v>
      </c>
      <c r="O278" s="3">
        <v>0</v>
      </c>
      <c r="P278" s="3">
        <v>0</v>
      </c>
      <c r="Q278" s="3">
        <v>1894</v>
      </c>
      <c r="R278" s="3">
        <v>4406264.83</v>
      </c>
      <c r="S278" s="3">
        <v>0</v>
      </c>
      <c r="T278" s="3">
        <v>0</v>
      </c>
      <c r="U278" s="3">
        <v>122195.81</v>
      </c>
      <c r="V278" s="5" t="e">
        <f t="shared" si="73"/>
        <v>#DIV/0!</v>
      </c>
    </row>
    <row r="279" spans="1:22" ht="24" customHeight="1" x14ac:dyDescent="0.25">
      <c r="A279" s="21" t="s">
        <v>1170</v>
      </c>
      <c r="B279" s="24" t="s">
        <v>327</v>
      </c>
      <c r="C279" s="2">
        <f t="shared" si="71"/>
        <v>105201.37</v>
      </c>
      <c r="D279" s="3">
        <f t="shared" si="72"/>
        <v>0</v>
      </c>
      <c r="E279" s="3">
        <v>0</v>
      </c>
      <c r="F279" s="3">
        <v>0</v>
      </c>
      <c r="G279" s="3">
        <v>0</v>
      </c>
      <c r="H279" s="3">
        <v>0</v>
      </c>
      <c r="I279" s="3">
        <v>0</v>
      </c>
      <c r="J279" s="3">
        <v>0</v>
      </c>
      <c r="K279" s="4">
        <v>0</v>
      </c>
      <c r="L279" s="3">
        <v>0</v>
      </c>
      <c r="M279" s="3">
        <v>0</v>
      </c>
      <c r="N279" s="3">
        <v>0</v>
      </c>
      <c r="O279" s="3">
        <v>0</v>
      </c>
      <c r="P279" s="3">
        <v>0</v>
      </c>
      <c r="Q279" s="3">
        <v>0</v>
      </c>
      <c r="R279" s="3">
        <v>0</v>
      </c>
      <c r="S279" s="3">
        <v>0</v>
      </c>
      <c r="T279" s="3">
        <v>0</v>
      </c>
      <c r="U279" s="3">
        <v>105201.37</v>
      </c>
      <c r="V279" s="5" t="e">
        <f t="shared" si="73"/>
        <v>#DIV/0!</v>
      </c>
    </row>
    <row r="280" spans="1:22" ht="24" customHeight="1" x14ac:dyDescent="0.25">
      <c r="A280" s="21" t="s">
        <v>1171</v>
      </c>
      <c r="B280" s="24" t="s">
        <v>879</v>
      </c>
      <c r="C280" s="2">
        <f t="shared" si="71"/>
        <v>3104305.26</v>
      </c>
      <c r="D280" s="3">
        <f t="shared" si="72"/>
        <v>0</v>
      </c>
      <c r="E280" s="3">
        <v>0</v>
      </c>
      <c r="F280" s="3">
        <v>0</v>
      </c>
      <c r="G280" s="3">
        <v>0</v>
      </c>
      <c r="H280" s="3">
        <v>0</v>
      </c>
      <c r="I280" s="3">
        <v>0</v>
      </c>
      <c r="J280" s="3">
        <v>0</v>
      </c>
      <c r="K280" s="4">
        <v>0</v>
      </c>
      <c r="L280" s="3">
        <v>0</v>
      </c>
      <c r="M280" s="13">
        <v>0</v>
      </c>
      <c r="N280" s="13">
        <v>0</v>
      </c>
      <c r="O280" s="3">
        <v>0</v>
      </c>
      <c r="P280" s="3">
        <v>0</v>
      </c>
      <c r="Q280" s="3">
        <v>900</v>
      </c>
      <c r="R280" s="3">
        <v>2375136.16</v>
      </c>
      <c r="S280" s="3">
        <v>488565.26</v>
      </c>
      <c r="T280" s="3">
        <v>0</v>
      </c>
      <c r="U280" s="3">
        <v>240603.84</v>
      </c>
      <c r="V280" s="5" t="e">
        <f t="shared" si="73"/>
        <v>#DIV/0!</v>
      </c>
    </row>
    <row r="281" spans="1:22" ht="24" customHeight="1" x14ac:dyDescent="0.25">
      <c r="A281" s="21" t="s">
        <v>1172</v>
      </c>
      <c r="B281" s="24" t="s">
        <v>843</v>
      </c>
      <c r="C281" s="2">
        <f t="shared" si="71"/>
        <v>435666.08</v>
      </c>
      <c r="D281" s="3">
        <f t="shared" si="72"/>
        <v>0</v>
      </c>
      <c r="E281" s="3">
        <v>0</v>
      </c>
      <c r="F281" s="3">
        <v>0</v>
      </c>
      <c r="G281" s="3">
        <v>0</v>
      </c>
      <c r="H281" s="3">
        <v>0</v>
      </c>
      <c r="I281" s="3">
        <v>0</v>
      </c>
      <c r="J281" s="3">
        <v>0</v>
      </c>
      <c r="K281" s="4">
        <v>0</v>
      </c>
      <c r="L281" s="3">
        <v>0</v>
      </c>
      <c r="M281" s="3">
        <v>0</v>
      </c>
      <c r="N281" s="3">
        <v>0</v>
      </c>
      <c r="O281" s="3">
        <v>0</v>
      </c>
      <c r="P281" s="3">
        <v>0</v>
      </c>
      <c r="Q281" s="3">
        <v>0</v>
      </c>
      <c r="R281" s="3">
        <v>0</v>
      </c>
      <c r="S281" s="3">
        <v>0</v>
      </c>
      <c r="T281" s="3">
        <v>0</v>
      </c>
      <c r="U281" s="3">
        <v>435666.08</v>
      </c>
      <c r="V281" s="5" t="e">
        <f>#REF!/#REF!</f>
        <v>#REF!</v>
      </c>
    </row>
    <row r="282" spans="1:22" ht="24" customHeight="1" x14ac:dyDescent="0.25">
      <c r="A282" s="21" t="s">
        <v>1173</v>
      </c>
      <c r="B282" s="24" t="s">
        <v>880</v>
      </c>
      <c r="C282" s="2">
        <f t="shared" si="71"/>
        <v>8063449.2299999995</v>
      </c>
      <c r="D282" s="3">
        <f t="shared" si="72"/>
        <v>713279.95</v>
      </c>
      <c r="E282" s="3">
        <v>316423.8</v>
      </c>
      <c r="F282" s="3">
        <v>0</v>
      </c>
      <c r="G282" s="3">
        <v>203648.15</v>
      </c>
      <c r="H282" s="3">
        <v>0</v>
      </c>
      <c r="I282" s="3">
        <v>193208</v>
      </c>
      <c r="J282" s="3">
        <v>0</v>
      </c>
      <c r="K282" s="4">
        <v>0</v>
      </c>
      <c r="L282" s="3">
        <v>0</v>
      </c>
      <c r="M282" s="13">
        <v>746</v>
      </c>
      <c r="N282" s="13">
        <v>3974815.15</v>
      </c>
      <c r="O282" s="3">
        <v>0</v>
      </c>
      <c r="P282" s="3">
        <v>0</v>
      </c>
      <c r="Q282" s="3">
        <v>1100</v>
      </c>
      <c r="R282" s="3">
        <v>3042997.85</v>
      </c>
      <c r="S282" s="3">
        <v>0</v>
      </c>
      <c r="T282" s="3">
        <v>0</v>
      </c>
      <c r="U282" s="3">
        <v>332356.28000000003</v>
      </c>
      <c r="V282" s="5">
        <f>N282/M282</f>
        <v>5328.1704423592491</v>
      </c>
    </row>
    <row r="283" spans="1:22" ht="24" customHeight="1" x14ac:dyDescent="0.25">
      <c r="A283" s="21" t="s">
        <v>1174</v>
      </c>
      <c r="B283" s="24" t="s">
        <v>354</v>
      </c>
      <c r="C283" s="2">
        <f t="shared" si="71"/>
        <v>5609632.9100000001</v>
      </c>
      <c r="D283" s="3">
        <f t="shared" si="72"/>
        <v>0</v>
      </c>
      <c r="E283" s="3">
        <v>0</v>
      </c>
      <c r="F283" s="3">
        <v>0</v>
      </c>
      <c r="G283" s="3">
        <v>0</v>
      </c>
      <c r="H283" s="3">
        <v>0</v>
      </c>
      <c r="I283" s="3">
        <v>0</v>
      </c>
      <c r="J283" s="3">
        <v>0</v>
      </c>
      <c r="K283" s="4">
        <v>0</v>
      </c>
      <c r="L283" s="3">
        <v>0</v>
      </c>
      <c r="M283" s="3">
        <v>1691.41</v>
      </c>
      <c r="N283" s="3">
        <v>5361532.8</v>
      </c>
      <c r="O283" s="3">
        <v>0</v>
      </c>
      <c r="P283" s="3">
        <v>0</v>
      </c>
      <c r="Q283" s="3">
        <v>0</v>
      </c>
      <c r="R283" s="3">
        <v>0</v>
      </c>
      <c r="S283" s="3">
        <v>0</v>
      </c>
      <c r="T283" s="3">
        <v>0</v>
      </c>
      <c r="U283" s="3">
        <v>248100.11</v>
      </c>
      <c r="V283" s="5">
        <f>N283/M283</f>
        <v>3169.8599393405498</v>
      </c>
    </row>
    <row r="284" spans="1:22" s="79" customFormat="1" ht="24.95" customHeight="1" x14ac:dyDescent="0.25">
      <c r="A284" s="77" t="s">
        <v>196</v>
      </c>
      <c r="B284" s="77"/>
      <c r="C284" s="77"/>
      <c r="D284" s="77"/>
      <c r="E284" s="77"/>
      <c r="F284" s="77"/>
      <c r="G284" s="77"/>
      <c r="H284" s="77"/>
      <c r="I284" s="77"/>
      <c r="J284" s="77"/>
      <c r="K284" s="77"/>
      <c r="L284" s="77"/>
      <c r="M284" s="77"/>
      <c r="N284" s="77"/>
      <c r="O284" s="77"/>
      <c r="P284" s="77"/>
      <c r="Q284" s="77"/>
      <c r="R284" s="77"/>
      <c r="S284" s="77"/>
      <c r="T284" s="77"/>
      <c r="U284" s="77"/>
      <c r="V284" s="78"/>
    </row>
    <row r="285" spans="1:22" ht="24.95" customHeight="1" x14ac:dyDescent="0.25">
      <c r="A285" s="74" t="s">
        <v>197</v>
      </c>
      <c r="B285" s="74"/>
      <c r="C285" s="2">
        <f t="shared" ref="C285:U285" si="74">C286+C289+C309+C311+C315+C318+C320+C323+C328+C336+C338+C341+C343+C346+C348+C352+C356+C360+C362+C382+C389+C397+C399+C416+C418+C420+C423+C425+C627+C630+C632+C635+C645+C647+C651+C653+C655+C658+C672+C674</f>
        <v>1029019230.9799995</v>
      </c>
      <c r="D285" s="2">
        <f t="shared" si="74"/>
        <v>143844949.20000002</v>
      </c>
      <c r="E285" s="2">
        <f t="shared" si="74"/>
        <v>29993743.079999998</v>
      </c>
      <c r="F285" s="2">
        <f t="shared" si="74"/>
        <v>75775992.849999979</v>
      </c>
      <c r="G285" s="2">
        <f t="shared" si="74"/>
        <v>13049736.169999998</v>
      </c>
      <c r="H285" s="2">
        <f t="shared" si="74"/>
        <v>11963847.17</v>
      </c>
      <c r="I285" s="2">
        <f t="shared" si="74"/>
        <v>13061629.93</v>
      </c>
      <c r="J285" s="2">
        <f t="shared" si="74"/>
        <v>0</v>
      </c>
      <c r="K285" s="18">
        <f t="shared" si="74"/>
        <v>39</v>
      </c>
      <c r="L285" s="2">
        <f t="shared" si="74"/>
        <v>74728344.170000002</v>
      </c>
      <c r="M285" s="2">
        <f t="shared" si="74"/>
        <v>117277.4</v>
      </c>
      <c r="N285" s="2">
        <f t="shared" si="74"/>
        <v>572204383.69999969</v>
      </c>
      <c r="O285" s="2">
        <f t="shared" si="74"/>
        <v>1696.1999999999998</v>
      </c>
      <c r="P285" s="2">
        <f t="shared" si="74"/>
        <v>1569467.5</v>
      </c>
      <c r="Q285" s="2">
        <f t="shared" si="74"/>
        <v>82083.529999999984</v>
      </c>
      <c r="R285" s="2">
        <f t="shared" si="74"/>
        <v>211288760.96999997</v>
      </c>
      <c r="S285" s="2">
        <f t="shared" si="74"/>
        <v>52420.18</v>
      </c>
      <c r="T285" s="2">
        <f t="shared" si="74"/>
        <v>0</v>
      </c>
      <c r="U285" s="2">
        <f t="shared" si="74"/>
        <v>25330905.260000002</v>
      </c>
    </row>
    <row r="286" spans="1:22" ht="40.15" customHeight="1" x14ac:dyDescent="0.25">
      <c r="A286" s="51" t="s">
        <v>982</v>
      </c>
      <c r="B286" s="51"/>
      <c r="C286" s="2">
        <f t="shared" ref="C286:U286" si="75">SUM(C287:C288)</f>
        <v>9205122.290000001</v>
      </c>
      <c r="D286" s="2">
        <f t="shared" si="75"/>
        <v>498637.9</v>
      </c>
      <c r="E286" s="2">
        <f t="shared" si="75"/>
        <v>498637.9</v>
      </c>
      <c r="F286" s="2">
        <f t="shared" si="75"/>
        <v>0</v>
      </c>
      <c r="G286" s="2">
        <f t="shared" si="75"/>
        <v>0</v>
      </c>
      <c r="H286" s="2">
        <f t="shared" si="75"/>
        <v>0</v>
      </c>
      <c r="I286" s="2">
        <f t="shared" si="75"/>
        <v>0</v>
      </c>
      <c r="J286" s="2">
        <f t="shared" si="75"/>
        <v>0</v>
      </c>
      <c r="K286" s="18">
        <f t="shared" si="75"/>
        <v>0</v>
      </c>
      <c r="L286" s="2">
        <f t="shared" si="75"/>
        <v>0</v>
      </c>
      <c r="M286" s="2">
        <f t="shared" si="75"/>
        <v>1095.82</v>
      </c>
      <c r="N286" s="2">
        <f t="shared" si="75"/>
        <v>5132919.0999999996</v>
      </c>
      <c r="O286" s="2">
        <f t="shared" si="75"/>
        <v>0</v>
      </c>
      <c r="P286" s="2">
        <f t="shared" si="75"/>
        <v>0</v>
      </c>
      <c r="Q286" s="2">
        <f t="shared" si="75"/>
        <v>1219</v>
      </c>
      <c r="R286" s="2">
        <f t="shared" si="75"/>
        <v>3459521.49</v>
      </c>
      <c r="S286" s="2">
        <f t="shared" si="75"/>
        <v>0</v>
      </c>
      <c r="T286" s="2">
        <f t="shared" si="75"/>
        <v>0</v>
      </c>
      <c r="U286" s="2">
        <f t="shared" si="75"/>
        <v>114043.8</v>
      </c>
    </row>
    <row r="287" spans="1:22" ht="24" customHeight="1" x14ac:dyDescent="0.25">
      <c r="A287" s="21" t="s">
        <v>1205</v>
      </c>
      <c r="B287" s="29" t="s">
        <v>20</v>
      </c>
      <c r="C287" s="2">
        <f>D287+L287+N287+P287+R287+S287+T287+U287</f>
        <v>4387260.9000000004</v>
      </c>
      <c r="D287" s="3">
        <f>SUM(E287:J287)</f>
        <v>242550</v>
      </c>
      <c r="E287" s="3">
        <f>350*693</f>
        <v>242550</v>
      </c>
      <c r="F287" s="3">
        <f>800*0</f>
        <v>0</v>
      </c>
      <c r="G287" s="3">
        <v>0</v>
      </c>
      <c r="H287" s="3">
        <f>400*0</f>
        <v>0</v>
      </c>
      <c r="I287" s="3">
        <v>0</v>
      </c>
      <c r="J287" s="3">
        <f>350*0</f>
        <v>0</v>
      </c>
      <c r="K287" s="4">
        <v>0</v>
      </c>
      <c r="L287" s="3">
        <v>0</v>
      </c>
      <c r="M287" s="3">
        <v>496.42</v>
      </c>
      <c r="N287" s="3">
        <v>2477386.25</v>
      </c>
      <c r="O287" s="3">
        <v>0</v>
      </c>
      <c r="P287" s="3">
        <v>0</v>
      </c>
      <c r="Q287" s="3">
        <v>569</v>
      </c>
      <c r="R287" s="3">
        <v>1611460.79</v>
      </c>
      <c r="S287" s="3">
        <v>0</v>
      </c>
      <c r="T287" s="3">
        <v>0</v>
      </c>
      <c r="U287" s="3">
        <v>55863.86</v>
      </c>
      <c r="V287" s="5">
        <f>N287/M287</f>
        <v>4990.5045123081263</v>
      </c>
    </row>
    <row r="288" spans="1:22" ht="24" customHeight="1" x14ac:dyDescent="0.25">
      <c r="A288" s="21" t="s">
        <v>1206</v>
      </c>
      <c r="B288" s="30" t="s">
        <v>23</v>
      </c>
      <c r="C288" s="2">
        <f>D288+L288+N288+P288+R288+S288+T288+U288</f>
        <v>4817861.3900000006</v>
      </c>
      <c r="D288" s="3">
        <f>SUM(E288:J288)</f>
        <v>256087.9</v>
      </c>
      <c r="E288" s="3">
        <v>256087.9</v>
      </c>
      <c r="F288" s="3">
        <f>800*0</f>
        <v>0</v>
      </c>
      <c r="G288" s="3">
        <v>0</v>
      </c>
      <c r="H288" s="3">
        <f>400*0</f>
        <v>0</v>
      </c>
      <c r="I288" s="3">
        <v>0</v>
      </c>
      <c r="J288" s="3">
        <f>350*0</f>
        <v>0</v>
      </c>
      <c r="K288" s="4">
        <v>0</v>
      </c>
      <c r="L288" s="3">
        <v>0</v>
      </c>
      <c r="M288" s="3">
        <v>599.4</v>
      </c>
      <c r="N288" s="3">
        <v>2655532.85</v>
      </c>
      <c r="O288" s="3">
        <v>0</v>
      </c>
      <c r="P288" s="3">
        <v>0</v>
      </c>
      <c r="Q288" s="3">
        <v>650</v>
      </c>
      <c r="R288" s="3">
        <v>1848060.7</v>
      </c>
      <c r="S288" s="3">
        <v>0</v>
      </c>
      <c r="T288" s="3">
        <v>0</v>
      </c>
      <c r="U288" s="3">
        <v>58179.94</v>
      </c>
      <c r="V288" s="5">
        <f>N288/M288</f>
        <v>4430.3184017350686</v>
      </c>
    </row>
    <row r="289" spans="1:22" ht="40.15" customHeight="1" x14ac:dyDescent="0.25">
      <c r="A289" s="51" t="s">
        <v>0</v>
      </c>
      <c r="B289" s="51"/>
      <c r="C289" s="2">
        <f t="shared" ref="C289:U289" si="76">SUM(C290:C308)</f>
        <v>98735767.409999996</v>
      </c>
      <c r="D289" s="2">
        <f t="shared" si="76"/>
        <v>7436576.3999999994</v>
      </c>
      <c r="E289" s="2">
        <f t="shared" si="76"/>
        <v>1881183</v>
      </c>
      <c r="F289" s="2">
        <f t="shared" si="76"/>
        <v>2739651.8</v>
      </c>
      <c r="G289" s="2">
        <f t="shared" si="76"/>
        <v>647216.19999999995</v>
      </c>
      <c r="H289" s="2">
        <f t="shared" si="76"/>
        <v>1083258.2</v>
      </c>
      <c r="I289" s="2">
        <f t="shared" si="76"/>
        <v>1085267.2</v>
      </c>
      <c r="J289" s="2">
        <f t="shared" si="76"/>
        <v>0</v>
      </c>
      <c r="K289" s="18">
        <f t="shared" si="76"/>
        <v>10</v>
      </c>
      <c r="L289" s="2">
        <f t="shared" si="76"/>
        <v>21908867.84</v>
      </c>
      <c r="M289" s="2">
        <f t="shared" si="76"/>
        <v>9411.4299999999985</v>
      </c>
      <c r="N289" s="2">
        <f t="shared" si="76"/>
        <v>40492927.57</v>
      </c>
      <c r="O289" s="2">
        <f t="shared" si="76"/>
        <v>498</v>
      </c>
      <c r="P289" s="2">
        <f t="shared" si="76"/>
        <v>471445</v>
      </c>
      <c r="Q289" s="2">
        <f t="shared" si="76"/>
        <v>9236.7999999999993</v>
      </c>
      <c r="R289" s="2">
        <f t="shared" si="76"/>
        <v>25833161.600000001</v>
      </c>
      <c r="S289" s="2">
        <f t="shared" si="76"/>
        <v>0</v>
      </c>
      <c r="T289" s="2">
        <f t="shared" si="76"/>
        <v>0</v>
      </c>
      <c r="U289" s="2">
        <f t="shared" si="76"/>
        <v>2592789</v>
      </c>
    </row>
    <row r="290" spans="1:22" ht="24" customHeight="1" x14ac:dyDescent="0.25">
      <c r="A290" s="15" t="s">
        <v>1207</v>
      </c>
      <c r="B290" s="24" t="s">
        <v>44</v>
      </c>
      <c r="C290" s="2">
        <f t="shared" ref="C290:C308" si="77">D290+L290+N290+P290+R290+S290+T290+U290</f>
        <v>4342584</v>
      </c>
      <c r="D290" s="3">
        <f>SUM(E290:J290)</f>
        <v>0</v>
      </c>
      <c r="E290" s="3">
        <v>0</v>
      </c>
      <c r="F290" s="3">
        <v>0</v>
      </c>
      <c r="G290" s="3">
        <v>0</v>
      </c>
      <c r="H290" s="3">
        <v>0</v>
      </c>
      <c r="I290" s="3">
        <v>0</v>
      </c>
      <c r="J290" s="3">
        <v>0</v>
      </c>
      <c r="K290" s="4">
        <v>0</v>
      </c>
      <c r="L290" s="3">
        <v>0</v>
      </c>
      <c r="M290" s="3">
        <v>804</v>
      </c>
      <c r="N290" s="3">
        <v>4342584</v>
      </c>
      <c r="O290" s="3">
        <v>0</v>
      </c>
      <c r="P290" s="3">
        <v>0</v>
      </c>
      <c r="Q290" s="3">
        <v>0</v>
      </c>
      <c r="R290" s="3">
        <v>0</v>
      </c>
      <c r="S290" s="3">
        <v>0</v>
      </c>
      <c r="T290" s="3">
        <v>0</v>
      </c>
      <c r="U290" s="3">
        <v>0</v>
      </c>
      <c r="V290" s="5">
        <f t="shared" ref="V290:V308" si="78">N290/M290</f>
        <v>5401.2238805970146</v>
      </c>
    </row>
    <row r="291" spans="1:22" ht="24" customHeight="1" x14ac:dyDescent="0.25">
      <c r="A291" s="15" t="s">
        <v>1208</v>
      </c>
      <c r="B291" s="24" t="s">
        <v>47</v>
      </c>
      <c r="C291" s="2">
        <f t="shared" si="77"/>
        <v>1403380</v>
      </c>
      <c r="D291" s="3">
        <f>SUM(E291:J291)</f>
        <v>0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4">
        <v>0</v>
      </c>
      <c r="L291" s="3">
        <v>0</v>
      </c>
      <c r="M291" s="3">
        <v>255.16</v>
      </c>
      <c r="N291" s="3">
        <v>1403380</v>
      </c>
      <c r="O291" s="3">
        <v>0</v>
      </c>
      <c r="P291" s="3">
        <v>0</v>
      </c>
      <c r="Q291" s="3">
        <v>0</v>
      </c>
      <c r="R291" s="3">
        <v>0</v>
      </c>
      <c r="S291" s="3">
        <v>0</v>
      </c>
      <c r="T291" s="3">
        <v>0</v>
      </c>
      <c r="U291" s="3">
        <v>0</v>
      </c>
      <c r="V291" s="5">
        <f t="shared" si="78"/>
        <v>5500</v>
      </c>
    </row>
    <row r="292" spans="1:22" ht="24" customHeight="1" x14ac:dyDescent="0.25">
      <c r="A292" s="15" t="s">
        <v>1209</v>
      </c>
      <c r="B292" s="24" t="s">
        <v>32</v>
      </c>
      <c r="C292" s="2">
        <f t="shared" si="77"/>
        <v>8641715.9100000001</v>
      </c>
      <c r="D292" s="3">
        <f>SUM(E292:J292)</f>
        <v>1732618.5999999999</v>
      </c>
      <c r="E292" s="3">
        <f>350*996.4</f>
        <v>348740</v>
      </c>
      <c r="F292" s="3">
        <f>1050*996.4</f>
        <v>1046220</v>
      </c>
      <c r="G292" s="3">
        <v>58998.2</v>
      </c>
      <c r="H292" s="3">
        <v>38673</v>
      </c>
      <c r="I292" s="3">
        <v>239987.4</v>
      </c>
      <c r="J292" s="3">
        <f>350*0</f>
        <v>0</v>
      </c>
      <c r="K292" s="4">
        <v>0</v>
      </c>
      <c r="L292" s="3">
        <v>0</v>
      </c>
      <c r="M292" s="3">
        <v>724.8</v>
      </c>
      <c r="N292" s="3">
        <v>3980451.6</v>
      </c>
      <c r="O292" s="3">
        <v>498</v>
      </c>
      <c r="P292" s="3">
        <v>471445</v>
      </c>
      <c r="Q292" s="3">
        <v>858</v>
      </c>
      <c r="R292" s="3">
        <v>2334746</v>
      </c>
      <c r="S292" s="3">
        <v>0</v>
      </c>
      <c r="T292" s="3">
        <v>0</v>
      </c>
      <c r="U292" s="3">
        <v>122454.71</v>
      </c>
      <c r="V292" s="5">
        <f t="shared" si="78"/>
        <v>5491.7930463576167</v>
      </c>
    </row>
    <row r="293" spans="1:22" ht="24" customHeight="1" x14ac:dyDescent="0.25">
      <c r="A293" s="15" t="s">
        <v>1210</v>
      </c>
      <c r="B293" s="24" t="s">
        <v>51</v>
      </c>
      <c r="C293" s="2">
        <f t="shared" si="77"/>
        <v>5034090</v>
      </c>
      <c r="D293" s="3">
        <f>SUM(E293:J293)</f>
        <v>0</v>
      </c>
      <c r="E293" s="3">
        <v>0</v>
      </c>
      <c r="F293" s="3">
        <v>0</v>
      </c>
      <c r="G293" s="3">
        <v>0</v>
      </c>
      <c r="H293" s="3">
        <v>0</v>
      </c>
      <c r="I293" s="3">
        <v>0</v>
      </c>
      <c r="J293" s="3">
        <v>0</v>
      </c>
      <c r="K293" s="4">
        <v>0</v>
      </c>
      <c r="L293" s="3">
        <v>0</v>
      </c>
      <c r="M293" s="3">
        <v>973.74</v>
      </c>
      <c r="N293" s="3">
        <v>5034090</v>
      </c>
      <c r="O293" s="3">
        <v>0</v>
      </c>
      <c r="P293" s="3">
        <v>0</v>
      </c>
      <c r="Q293" s="3">
        <v>0</v>
      </c>
      <c r="R293" s="3">
        <v>0</v>
      </c>
      <c r="S293" s="3">
        <v>0</v>
      </c>
      <c r="T293" s="3">
        <v>0</v>
      </c>
      <c r="U293" s="3">
        <v>0</v>
      </c>
      <c r="V293" s="5">
        <f t="shared" si="78"/>
        <v>5169.8502680386964</v>
      </c>
    </row>
    <row r="294" spans="1:22" ht="24" customHeight="1" x14ac:dyDescent="0.25">
      <c r="A294" s="15" t="s">
        <v>1211</v>
      </c>
      <c r="B294" s="22" t="s">
        <v>852</v>
      </c>
      <c r="C294" s="2">
        <f t="shared" si="77"/>
        <v>427448.83</v>
      </c>
      <c r="D294" s="3">
        <v>0</v>
      </c>
      <c r="E294" s="3">
        <v>0</v>
      </c>
      <c r="F294" s="3">
        <v>0</v>
      </c>
      <c r="G294" s="3">
        <v>0</v>
      </c>
      <c r="H294" s="3">
        <v>0</v>
      </c>
      <c r="I294" s="3">
        <v>0</v>
      </c>
      <c r="J294" s="3">
        <v>0</v>
      </c>
      <c r="K294" s="4">
        <v>0</v>
      </c>
      <c r="L294" s="3">
        <v>0</v>
      </c>
      <c r="M294" s="3">
        <v>0</v>
      </c>
      <c r="N294" s="23">
        <v>0</v>
      </c>
      <c r="O294" s="3">
        <v>0</v>
      </c>
      <c r="P294" s="3">
        <v>0</v>
      </c>
      <c r="Q294" s="3">
        <v>0</v>
      </c>
      <c r="R294" s="3">
        <v>0</v>
      </c>
      <c r="S294" s="3">
        <v>0</v>
      </c>
      <c r="T294" s="3">
        <v>0</v>
      </c>
      <c r="U294" s="3">
        <v>427448.83</v>
      </c>
      <c r="V294" s="5" t="e">
        <f t="shared" si="78"/>
        <v>#DIV/0!</v>
      </c>
    </row>
    <row r="295" spans="1:22" ht="24" customHeight="1" x14ac:dyDescent="0.25">
      <c r="A295" s="15" t="s">
        <v>1212</v>
      </c>
      <c r="B295" s="24" t="s">
        <v>54</v>
      </c>
      <c r="C295" s="2">
        <f t="shared" si="77"/>
        <v>420367.69</v>
      </c>
      <c r="D295" s="3">
        <v>0</v>
      </c>
      <c r="E295" s="3">
        <v>0</v>
      </c>
      <c r="F295" s="3">
        <v>0</v>
      </c>
      <c r="G295" s="3">
        <v>0</v>
      </c>
      <c r="H295" s="3">
        <v>0</v>
      </c>
      <c r="I295" s="3">
        <v>0</v>
      </c>
      <c r="J295" s="3">
        <v>0</v>
      </c>
      <c r="K295" s="4">
        <v>0</v>
      </c>
      <c r="L295" s="3">
        <v>0</v>
      </c>
      <c r="M295" s="3">
        <v>0</v>
      </c>
      <c r="N295" s="23">
        <v>0</v>
      </c>
      <c r="O295" s="3">
        <v>0</v>
      </c>
      <c r="P295" s="3">
        <v>0</v>
      </c>
      <c r="Q295" s="3">
        <v>0</v>
      </c>
      <c r="R295" s="3">
        <v>0</v>
      </c>
      <c r="S295" s="3">
        <v>0</v>
      </c>
      <c r="T295" s="3">
        <v>0</v>
      </c>
      <c r="U295" s="3">
        <v>420367.69</v>
      </c>
      <c r="V295" s="5" t="e">
        <f t="shared" si="78"/>
        <v>#DIV/0!</v>
      </c>
    </row>
    <row r="296" spans="1:22" ht="24" customHeight="1" x14ac:dyDescent="0.25">
      <c r="A296" s="15" t="s">
        <v>1213</v>
      </c>
      <c r="B296" s="24" t="s">
        <v>52</v>
      </c>
      <c r="C296" s="2">
        <f t="shared" si="77"/>
        <v>2582996.2599999998</v>
      </c>
      <c r="D296" s="3">
        <f t="shared" ref="D296:D308" si="79">SUM(E296:J296)</f>
        <v>0</v>
      </c>
      <c r="E296" s="3">
        <v>0</v>
      </c>
      <c r="F296" s="3">
        <v>0</v>
      </c>
      <c r="G296" s="3">
        <v>0</v>
      </c>
      <c r="H296" s="3">
        <v>0</v>
      </c>
      <c r="I296" s="3">
        <v>0</v>
      </c>
      <c r="J296" s="3">
        <v>0</v>
      </c>
      <c r="K296" s="4">
        <v>0</v>
      </c>
      <c r="L296" s="3">
        <v>0</v>
      </c>
      <c r="M296" s="3">
        <v>496.6</v>
      </c>
      <c r="N296" s="3">
        <v>2582996.2599999998</v>
      </c>
      <c r="O296" s="3">
        <v>0</v>
      </c>
      <c r="P296" s="3">
        <v>0</v>
      </c>
      <c r="Q296" s="3">
        <v>0</v>
      </c>
      <c r="R296" s="3">
        <v>0</v>
      </c>
      <c r="S296" s="3">
        <v>0</v>
      </c>
      <c r="T296" s="3">
        <v>0</v>
      </c>
      <c r="U296" s="3">
        <v>0</v>
      </c>
      <c r="V296" s="5">
        <f t="shared" si="78"/>
        <v>5201.3617801047112</v>
      </c>
    </row>
    <row r="297" spans="1:22" ht="24" customHeight="1" x14ac:dyDescent="0.25">
      <c r="A297" s="15" t="s">
        <v>1214</v>
      </c>
      <c r="B297" s="22" t="s">
        <v>58</v>
      </c>
      <c r="C297" s="2">
        <f t="shared" si="77"/>
        <v>3051154.77</v>
      </c>
      <c r="D297" s="3">
        <f t="shared" si="79"/>
        <v>0</v>
      </c>
      <c r="E297" s="3">
        <v>0</v>
      </c>
      <c r="F297" s="3">
        <v>0</v>
      </c>
      <c r="G297" s="3">
        <v>0</v>
      </c>
      <c r="H297" s="3">
        <v>0</v>
      </c>
      <c r="I297" s="3">
        <v>0</v>
      </c>
      <c r="J297" s="3">
        <v>0</v>
      </c>
      <c r="K297" s="4">
        <v>0</v>
      </c>
      <c r="L297" s="3">
        <v>0</v>
      </c>
      <c r="M297" s="3">
        <v>554.79999999999995</v>
      </c>
      <c r="N297" s="3">
        <v>3051154.77</v>
      </c>
      <c r="O297" s="3">
        <v>0</v>
      </c>
      <c r="P297" s="3">
        <v>0</v>
      </c>
      <c r="Q297" s="3">
        <v>0</v>
      </c>
      <c r="R297" s="3">
        <v>0</v>
      </c>
      <c r="S297" s="3">
        <v>0</v>
      </c>
      <c r="T297" s="3">
        <v>0</v>
      </c>
      <c r="U297" s="3">
        <v>0</v>
      </c>
      <c r="V297" s="5">
        <f t="shared" si="78"/>
        <v>5499.5579848594089</v>
      </c>
    </row>
    <row r="298" spans="1:22" ht="24" customHeight="1" x14ac:dyDescent="0.25">
      <c r="A298" s="15" t="s">
        <v>1215</v>
      </c>
      <c r="B298" s="24" t="s">
        <v>33</v>
      </c>
      <c r="C298" s="2">
        <f t="shared" si="77"/>
        <v>3795805.94</v>
      </c>
      <c r="D298" s="3">
        <f t="shared" si="79"/>
        <v>0</v>
      </c>
      <c r="E298" s="3">
        <v>0</v>
      </c>
      <c r="F298" s="3">
        <v>0</v>
      </c>
      <c r="G298" s="3">
        <v>0</v>
      </c>
      <c r="H298" s="3">
        <v>0</v>
      </c>
      <c r="I298" s="3">
        <v>0</v>
      </c>
      <c r="J298" s="3">
        <v>0</v>
      </c>
      <c r="K298" s="4">
        <v>0</v>
      </c>
      <c r="L298" s="3">
        <v>0</v>
      </c>
      <c r="M298" s="3">
        <v>1096.3</v>
      </c>
      <c r="N298" s="3">
        <v>3795805.94</v>
      </c>
      <c r="O298" s="3">
        <v>0</v>
      </c>
      <c r="P298" s="3">
        <v>0</v>
      </c>
      <c r="Q298" s="3">
        <v>0</v>
      </c>
      <c r="R298" s="3">
        <v>0</v>
      </c>
      <c r="S298" s="3">
        <v>0</v>
      </c>
      <c r="T298" s="3">
        <v>0</v>
      </c>
      <c r="U298" s="3">
        <v>0</v>
      </c>
      <c r="V298" s="5">
        <f t="shared" si="78"/>
        <v>3462.378856152513</v>
      </c>
    </row>
    <row r="299" spans="1:22" ht="25.15" customHeight="1" x14ac:dyDescent="0.25">
      <c r="A299" s="15" t="s">
        <v>1216</v>
      </c>
      <c r="B299" s="24" t="s">
        <v>988</v>
      </c>
      <c r="C299" s="2">
        <f t="shared" si="77"/>
        <v>14021461.279999999</v>
      </c>
      <c r="D299" s="3">
        <f t="shared" si="79"/>
        <v>0</v>
      </c>
      <c r="E299" s="3">
        <v>0</v>
      </c>
      <c r="F299" s="3">
        <v>0</v>
      </c>
      <c r="G299" s="3">
        <v>0</v>
      </c>
      <c r="H299" s="3">
        <v>0</v>
      </c>
      <c r="I299" s="3">
        <v>0</v>
      </c>
      <c r="J299" s="3">
        <v>0</v>
      </c>
      <c r="K299" s="4">
        <v>6</v>
      </c>
      <c r="L299" s="3">
        <v>13523876.699999999</v>
      </c>
      <c r="M299" s="3">
        <v>0</v>
      </c>
      <c r="N299" s="3">
        <v>0</v>
      </c>
      <c r="O299" s="3">
        <v>0</v>
      </c>
      <c r="P299" s="3">
        <v>0</v>
      </c>
      <c r="Q299" s="3">
        <v>0</v>
      </c>
      <c r="R299" s="3">
        <v>0</v>
      </c>
      <c r="S299" s="3">
        <v>0</v>
      </c>
      <c r="T299" s="3">
        <v>0</v>
      </c>
      <c r="U299" s="3">
        <v>497584.58</v>
      </c>
      <c r="V299" s="5" t="e">
        <f t="shared" si="78"/>
        <v>#DIV/0!</v>
      </c>
    </row>
    <row r="300" spans="1:22" ht="25.15" customHeight="1" x14ac:dyDescent="0.25">
      <c r="A300" s="15" t="s">
        <v>1217</v>
      </c>
      <c r="B300" s="24" t="s">
        <v>34</v>
      </c>
      <c r="C300" s="2">
        <f t="shared" si="77"/>
        <v>957241.2</v>
      </c>
      <c r="D300" s="3">
        <f t="shared" si="79"/>
        <v>0</v>
      </c>
      <c r="E300" s="3">
        <v>0</v>
      </c>
      <c r="F300" s="3">
        <v>0</v>
      </c>
      <c r="G300" s="3">
        <v>0</v>
      </c>
      <c r="H300" s="3">
        <v>0</v>
      </c>
      <c r="I300" s="3">
        <v>0</v>
      </c>
      <c r="J300" s="3">
        <v>0</v>
      </c>
      <c r="K300" s="4">
        <v>0</v>
      </c>
      <c r="L300" s="3">
        <v>0</v>
      </c>
      <c r="M300" s="3">
        <v>330.02</v>
      </c>
      <c r="N300" s="3">
        <v>957241.2</v>
      </c>
      <c r="O300" s="3">
        <v>0</v>
      </c>
      <c r="P300" s="3">
        <v>0</v>
      </c>
      <c r="Q300" s="3">
        <v>0</v>
      </c>
      <c r="R300" s="3">
        <v>0</v>
      </c>
      <c r="S300" s="3">
        <v>0</v>
      </c>
      <c r="T300" s="3">
        <v>0</v>
      </c>
      <c r="U300" s="3">
        <v>0</v>
      </c>
      <c r="V300" s="5">
        <f t="shared" si="78"/>
        <v>2900.5551178716441</v>
      </c>
    </row>
    <row r="301" spans="1:22" ht="25.15" customHeight="1" x14ac:dyDescent="0.25">
      <c r="A301" s="15" t="s">
        <v>1218</v>
      </c>
      <c r="B301" s="24" t="s">
        <v>61</v>
      </c>
      <c r="C301" s="2">
        <f t="shared" si="77"/>
        <v>4819705</v>
      </c>
      <c r="D301" s="3">
        <f t="shared" si="79"/>
        <v>0</v>
      </c>
      <c r="E301" s="3">
        <v>0</v>
      </c>
      <c r="F301" s="3">
        <v>0</v>
      </c>
      <c r="G301" s="3">
        <v>0</v>
      </c>
      <c r="H301" s="3">
        <v>0</v>
      </c>
      <c r="I301" s="3">
        <v>0</v>
      </c>
      <c r="J301" s="3">
        <v>0</v>
      </c>
      <c r="K301" s="4">
        <v>0</v>
      </c>
      <c r="L301" s="3">
        <v>0</v>
      </c>
      <c r="M301" s="3">
        <v>876.31</v>
      </c>
      <c r="N301" s="3">
        <f>M301*5500</f>
        <v>4819705</v>
      </c>
      <c r="O301" s="3">
        <v>0</v>
      </c>
      <c r="P301" s="3">
        <v>0</v>
      </c>
      <c r="Q301" s="3">
        <v>0</v>
      </c>
      <c r="R301" s="3">
        <v>0</v>
      </c>
      <c r="S301" s="3">
        <v>0</v>
      </c>
      <c r="T301" s="3">
        <v>0</v>
      </c>
      <c r="U301" s="3">
        <v>0</v>
      </c>
      <c r="V301" s="5">
        <f t="shared" si="78"/>
        <v>5500</v>
      </c>
    </row>
    <row r="302" spans="1:22" ht="25.15" customHeight="1" x14ac:dyDescent="0.25">
      <c r="A302" s="15" t="s">
        <v>1219</v>
      </c>
      <c r="B302" s="24" t="s">
        <v>60</v>
      </c>
      <c r="C302" s="2">
        <f t="shared" si="77"/>
        <v>103983.92</v>
      </c>
      <c r="D302" s="3">
        <f t="shared" si="79"/>
        <v>0</v>
      </c>
      <c r="E302" s="3">
        <v>0</v>
      </c>
      <c r="F302" s="3">
        <v>0</v>
      </c>
      <c r="G302" s="3">
        <v>0</v>
      </c>
      <c r="H302" s="3">
        <v>0</v>
      </c>
      <c r="I302" s="3">
        <v>0</v>
      </c>
      <c r="J302" s="3">
        <v>0</v>
      </c>
      <c r="K302" s="4">
        <v>0</v>
      </c>
      <c r="L302" s="3">
        <v>0</v>
      </c>
      <c r="M302" s="3">
        <v>0</v>
      </c>
      <c r="N302" s="3">
        <f>M302*5500</f>
        <v>0</v>
      </c>
      <c r="O302" s="3">
        <v>0</v>
      </c>
      <c r="P302" s="3">
        <v>0</v>
      </c>
      <c r="Q302" s="3">
        <v>0</v>
      </c>
      <c r="R302" s="3">
        <v>0</v>
      </c>
      <c r="S302" s="3">
        <v>0</v>
      </c>
      <c r="T302" s="3">
        <v>0</v>
      </c>
      <c r="U302" s="3">
        <v>103983.92</v>
      </c>
      <c r="V302" s="5" t="e">
        <f t="shared" si="78"/>
        <v>#DIV/0!</v>
      </c>
    </row>
    <row r="303" spans="1:22" ht="25.15" customHeight="1" x14ac:dyDescent="0.25">
      <c r="A303" s="15" t="s">
        <v>1220</v>
      </c>
      <c r="B303" s="24" t="s">
        <v>64</v>
      </c>
      <c r="C303" s="2">
        <f t="shared" si="77"/>
        <v>349158.1</v>
      </c>
      <c r="D303" s="3">
        <f t="shared" si="79"/>
        <v>0</v>
      </c>
      <c r="E303" s="3">
        <v>0</v>
      </c>
      <c r="F303" s="3">
        <v>0</v>
      </c>
      <c r="G303" s="3">
        <v>0</v>
      </c>
      <c r="H303" s="3">
        <v>0</v>
      </c>
      <c r="I303" s="3">
        <v>0</v>
      </c>
      <c r="J303" s="3">
        <v>0</v>
      </c>
      <c r="K303" s="4">
        <v>0</v>
      </c>
      <c r="L303" s="3">
        <v>0</v>
      </c>
      <c r="M303" s="3">
        <v>0</v>
      </c>
      <c r="N303" s="3">
        <f>M303*3686</f>
        <v>0</v>
      </c>
      <c r="O303" s="3">
        <v>0</v>
      </c>
      <c r="P303" s="3">
        <v>0</v>
      </c>
      <c r="Q303" s="3">
        <v>0</v>
      </c>
      <c r="R303" s="3">
        <f>Q303*3000</f>
        <v>0</v>
      </c>
      <c r="S303" s="3">
        <v>0</v>
      </c>
      <c r="T303" s="3">
        <v>0</v>
      </c>
      <c r="U303" s="3">
        <v>349158.1</v>
      </c>
      <c r="V303" s="5" t="e">
        <f t="shared" si="78"/>
        <v>#DIV/0!</v>
      </c>
    </row>
    <row r="304" spans="1:22" ht="25.15" customHeight="1" x14ac:dyDescent="0.25">
      <c r="A304" s="15" t="s">
        <v>1221</v>
      </c>
      <c r="B304" s="24" t="s">
        <v>818</v>
      </c>
      <c r="C304" s="2">
        <f t="shared" si="77"/>
        <v>11139009.6</v>
      </c>
      <c r="D304" s="3">
        <f t="shared" si="79"/>
        <v>0</v>
      </c>
      <c r="E304" s="3">
        <v>0</v>
      </c>
      <c r="F304" s="3">
        <v>0</v>
      </c>
      <c r="G304" s="3">
        <v>0</v>
      </c>
      <c r="H304" s="3">
        <v>0</v>
      </c>
      <c r="I304" s="3">
        <v>0</v>
      </c>
      <c r="J304" s="3">
        <v>0</v>
      </c>
      <c r="K304" s="4">
        <v>0</v>
      </c>
      <c r="L304" s="3">
        <v>0</v>
      </c>
      <c r="M304" s="3">
        <v>997</v>
      </c>
      <c r="N304" s="3">
        <v>3333591.6</v>
      </c>
      <c r="O304" s="3">
        <v>0</v>
      </c>
      <c r="P304" s="3">
        <v>0</v>
      </c>
      <c r="Q304" s="3">
        <v>2940</v>
      </c>
      <c r="R304" s="3">
        <v>7805418</v>
      </c>
      <c r="S304" s="3">
        <v>0</v>
      </c>
      <c r="T304" s="3">
        <v>0</v>
      </c>
      <c r="U304" s="3">
        <v>0</v>
      </c>
      <c r="V304" s="5">
        <f t="shared" si="78"/>
        <v>3343.6224674022069</v>
      </c>
    </row>
    <row r="305" spans="1:22" ht="25.15" customHeight="1" x14ac:dyDescent="0.25">
      <c r="A305" s="15" t="s">
        <v>1222</v>
      </c>
      <c r="B305" s="22" t="s">
        <v>36</v>
      </c>
      <c r="C305" s="2">
        <f t="shared" si="77"/>
        <v>4118881.2</v>
      </c>
      <c r="D305" s="3">
        <f t="shared" si="79"/>
        <v>0</v>
      </c>
      <c r="E305" s="3">
        <v>0</v>
      </c>
      <c r="F305" s="3">
        <v>0</v>
      </c>
      <c r="G305" s="3">
        <v>0</v>
      </c>
      <c r="H305" s="3">
        <v>0</v>
      </c>
      <c r="I305" s="3">
        <v>0</v>
      </c>
      <c r="J305" s="3">
        <v>0</v>
      </c>
      <c r="K305" s="4">
        <v>0</v>
      </c>
      <c r="L305" s="3">
        <v>0</v>
      </c>
      <c r="M305" s="3">
        <v>1240.4000000000001</v>
      </c>
      <c r="N305" s="3">
        <v>4118881.2</v>
      </c>
      <c r="O305" s="3">
        <v>0</v>
      </c>
      <c r="P305" s="3">
        <v>0</v>
      </c>
      <c r="Q305" s="3">
        <v>0</v>
      </c>
      <c r="R305" s="3">
        <v>0</v>
      </c>
      <c r="S305" s="3">
        <v>0</v>
      </c>
      <c r="T305" s="3">
        <v>0</v>
      </c>
      <c r="U305" s="3">
        <v>0</v>
      </c>
      <c r="V305" s="5">
        <f t="shared" si="78"/>
        <v>3320.6072234762978</v>
      </c>
    </row>
    <row r="306" spans="1:22" ht="25.15" customHeight="1" x14ac:dyDescent="0.25">
      <c r="A306" s="15" t="s">
        <v>1223</v>
      </c>
      <c r="B306" s="24" t="s">
        <v>835</v>
      </c>
      <c r="C306" s="2">
        <f t="shared" si="77"/>
        <v>8750299.8599999994</v>
      </c>
      <c r="D306" s="3">
        <f t="shared" si="79"/>
        <v>0</v>
      </c>
      <c r="E306" s="3">
        <v>0</v>
      </c>
      <c r="F306" s="3">
        <v>0</v>
      </c>
      <c r="G306" s="3">
        <v>0</v>
      </c>
      <c r="H306" s="3">
        <v>0</v>
      </c>
      <c r="I306" s="3">
        <v>0</v>
      </c>
      <c r="J306" s="3">
        <v>0</v>
      </c>
      <c r="K306" s="4">
        <v>4</v>
      </c>
      <c r="L306" s="3">
        <v>8384991.1399999997</v>
      </c>
      <c r="M306" s="3">
        <v>0</v>
      </c>
      <c r="N306" s="23">
        <v>0</v>
      </c>
      <c r="O306" s="3">
        <v>0</v>
      </c>
      <c r="P306" s="3">
        <v>0</v>
      </c>
      <c r="Q306" s="3">
        <v>0</v>
      </c>
      <c r="R306" s="3">
        <v>0</v>
      </c>
      <c r="S306" s="3">
        <v>0</v>
      </c>
      <c r="T306" s="3">
        <v>0</v>
      </c>
      <c r="U306" s="3">
        <v>365308.72</v>
      </c>
      <c r="V306" s="5" t="e">
        <f t="shared" si="78"/>
        <v>#DIV/0!</v>
      </c>
    </row>
    <row r="307" spans="1:22" ht="25.15" customHeight="1" x14ac:dyDescent="0.25">
      <c r="A307" s="15" t="s">
        <v>1224</v>
      </c>
      <c r="B307" s="22" t="s">
        <v>37</v>
      </c>
      <c r="C307" s="2">
        <f t="shared" si="77"/>
        <v>15692997.6</v>
      </c>
      <c r="D307" s="3">
        <f t="shared" si="79"/>
        <v>0</v>
      </c>
      <c r="E307" s="3">
        <v>0</v>
      </c>
      <c r="F307" s="3">
        <v>0</v>
      </c>
      <c r="G307" s="3">
        <v>0</v>
      </c>
      <c r="H307" s="3">
        <v>0</v>
      </c>
      <c r="I307" s="3">
        <v>0</v>
      </c>
      <c r="J307" s="3">
        <v>0</v>
      </c>
      <c r="K307" s="4">
        <v>0</v>
      </c>
      <c r="L307" s="3">
        <v>0</v>
      </c>
      <c r="M307" s="3">
        <v>0</v>
      </c>
      <c r="N307" s="3">
        <v>0</v>
      </c>
      <c r="O307" s="3">
        <v>0</v>
      </c>
      <c r="P307" s="3">
        <v>0</v>
      </c>
      <c r="Q307" s="3">
        <v>5438.8</v>
      </c>
      <c r="R307" s="3">
        <v>15692997.6</v>
      </c>
      <c r="S307" s="3">
        <v>0</v>
      </c>
      <c r="T307" s="3">
        <v>0</v>
      </c>
      <c r="U307" s="3">
        <v>0</v>
      </c>
      <c r="V307" s="5" t="e">
        <f t="shared" si="78"/>
        <v>#DIV/0!</v>
      </c>
    </row>
    <row r="308" spans="1:22" ht="25.15" customHeight="1" x14ac:dyDescent="0.25">
      <c r="A308" s="15" t="s">
        <v>1225</v>
      </c>
      <c r="B308" s="22" t="s">
        <v>38</v>
      </c>
      <c r="C308" s="2">
        <f t="shared" si="77"/>
        <v>9083486.25</v>
      </c>
      <c r="D308" s="3">
        <f t="shared" si="79"/>
        <v>5703957.7999999998</v>
      </c>
      <c r="E308" s="3">
        <v>1532443</v>
      </c>
      <c r="F308" s="3">
        <v>1693431.8</v>
      </c>
      <c r="G308" s="3">
        <v>588218</v>
      </c>
      <c r="H308" s="3">
        <v>1044585.2</v>
      </c>
      <c r="I308" s="3">
        <v>845279.8</v>
      </c>
      <c r="J308" s="3">
        <f>350*0</f>
        <v>0</v>
      </c>
      <c r="K308" s="4">
        <v>0</v>
      </c>
      <c r="L308" s="3">
        <v>0</v>
      </c>
      <c r="M308" s="3">
        <v>1062.3</v>
      </c>
      <c r="N308" s="3">
        <v>3073046</v>
      </c>
      <c r="O308" s="3">
        <v>0</v>
      </c>
      <c r="P308" s="3">
        <v>0</v>
      </c>
      <c r="Q308" s="3">
        <v>0</v>
      </c>
      <c r="R308" s="3">
        <v>0</v>
      </c>
      <c r="S308" s="3">
        <v>0</v>
      </c>
      <c r="T308" s="3">
        <v>0</v>
      </c>
      <c r="U308" s="3">
        <v>306482.45</v>
      </c>
      <c r="V308" s="5">
        <f t="shared" si="78"/>
        <v>2892.8231196460511</v>
      </c>
    </row>
    <row r="309" spans="1:22" ht="42.95" customHeight="1" x14ac:dyDescent="0.25">
      <c r="A309" s="51" t="s">
        <v>30</v>
      </c>
      <c r="B309" s="51"/>
      <c r="C309" s="2">
        <f t="shared" ref="C309:U309" si="80">SUM(C310)</f>
        <v>100972.17</v>
      </c>
      <c r="D309" s="2">
        <f t="shared" si="80"/>
        <v>0</v>
      </c>
      <c r="E309" s="2">
        <f t="shared" si="80"/>
        <v>0</v>
      </c>
      <c r="F309" s="2">
        <f t="shared" si="80"/>
        <v>0</v>
      </c>
      <c r="G309" s="2">
        <f t="shared" si="80"/>
        <v>0</v>
      </c>
      <c r="H309" s="2">
        <f t="shared" si="80"/>
        <v>0</v>
      </c>
      <c r="I309" s="2">
        <f t="shared" si="80"/>
        <v>0</v>
      </c>
      <c r="J309" s="2">
        <f t="shared" si="80"/>
        <v>0</v>
      </c>
      <c r="K309" s="18">
        <f t="shared" si="80"/>
        <v>0</v>
      </c>
      <c r="L309" s="2">
        <f t="shared" si="80"/>
        <v>0</v>
      </c>
      <c r="M309" s="2">
        <f t="shared" si="80"/>
        <v>0</v>
      </c>
      <c r="N309" s="2">
        <f t="shared" si="80"/>
        <v>0</v>
      </c>
      <c r="O309" s="2">
        <f t="shared" si="80"/>
        <v>0</v>
      </c>
      <c r="P309" s="2">
        <f t="shared" si="80"/>
        <v>0</v>
      </c>
      <c r="Q309" s="2">
        <f t="shared" si="80"/>
        <v>0</v>
      </c>
      <c r="R309" s="2">
        <f t="shared" si="80"/>
        <v>0</v>
      </c>
      <c r="S309" s="2">
        <f t="shared" si="80"/>
        <v>0</v>
      </c>
      <c r="T309" s="2">
        <f t="shared" si="80"/>
        <v>0</v>
      </c>
      <c r="U309" s="2">
        <f t="shared" si="80"/>
        <v>100972.17</v>
      </c>
      <c r="V309" s="20">
        <f>C309</f>
        <v>100972.17</v>
      </c>
    </row>
    <row r="310" spans="1:22" ht="25.15" customHeight="1" x14ac:dyDescent="0.25">
      <c r="A310" s="21" t="s">
        <v>1226</v>
      </c>
      <c r="B310" s="24" t="s">
        <v>31</v>
      </c>
      <c r="C310" s="2">
        <f>D310+L310+N310+P310+R310+S310+T310+U310</f>
        <v>100972.17</v>
      </c>
      <c r="D310" s="3">
        <f>SUM(E310:J310)</f>
        <v>0</v>
      </c>
      <c r="E310" s="3">
        <v>0</v>
      </c>
      <c r="F310" s="3">
        <v>0</v>
      </c>
      <c r="G310" s="3">
        <v>0</v>
      </c>
      <c r="H310" s="3">
        <v>0</v>
      </c>
      <c r="I310" s="3">
        <v>0</v>
      </c>
      <c r="J310" s="3">
        <v>0</v>
      </c>
      <c r="K310" s="4">
        <v>0</v>
      </c>
      <c r="L310" s="3">
        <v>0</v>
      </c>
      <c r="M310" s="3">
        <v>0</v>
      </c>
      <c r="N310" s="3">
        <f>M310*5500</f>
        <v>0</v>
      </c>
      <c r="O310" s="3">
        <v>0</v>
      </c>
      <c r="P310" s="3">
        <v>0</v>
      </c>
      <c r="Q310" s="3">
        <v>0</v>
      </c>
      <c r="R310" s="3">
        <v>0</v>
      </c>
      <c r="S310" s="3">
        <v>0</v>
      </c>
      <c r="T310" s="3">
        <v>0</v>
      </c>
      <c r="U310" s="3">
        <v>100972.17</v>
      </c>
      <c r="V310" s="5" t="e">
        <f>N310/M310</f>
        <v>#DIV/0!</v>
      </c>
    </row>
    <row r="311" spans="1:22" ht="42.95" customHeight="1" x14ac:dyDescent="0.25">
      <c r="A311" s="51" t="s">
        <v>73</v>
      </c>
      <c r="B311" s="51"/>
      <c r="C311" s="2">
        <f t="shared" ref="C311:U311" si="81">SUM(C312:C314)</f>
        <v>7136655.46</v>
      </c>
      <c r="D311" s="2">
        <f t="shared" si="81"/>
        <v>0</v>
      </c>
      <c r="E311" s="2">
        <f t="shared" si="81"/>
        <v>0</v>
      </c>
      <c r="F311" s="2">
        <f t="shared" si="81"/>
        <v>0</v>
      </c>
      <c r="G311" s="2">
        <f t="shared" si="81"/>
        <v>0</v>
      </c>
      <c r="H311" s="2">
        <f t="shared" si="81"/>
        <v>0</v>
      </c>
      <c r="I311" s="2">
        <f t="shared" si="81"/>
        <v>0</v>
      </c>
      <c r="J311" s="2">
        <f t="shared" si="81"/>
        <v>0</v>
      </c>
      <c r="K311" s="18">
        <f t="shared" si="81"/>
        <v>0</v>
      </c>
      <c r="L311" s="2">
        <f t="shared" si="81"/>
        <v>0</v>
      </c>
      <c r="M311" s="2">
        <f t="shared" si="81"/>
        <v>1302.0999999999999</v>
      </c>
      <c r="N311" s="2">
        <f t="shared" si="81"/>
        <v>6894899.5899999999</v>
      </c>
      <c r="O311" s="2">
        <f t="shared" si="81"/>
        <v>0</v>
      </c>
      <c r="P311" s="2">
        <f t="shared" si="81"/>
        <v>0</v>
      </c>
      <c r="Q311" s="2">
        <f t="shared" si="81"/>
        <v>0</v>
      </c>
      <c r="R311" s="2">
        <f t="shared" si="81"/>
        <v>0</v>
      </c>
      <c r="S311" s="2">
        <f t="shared" si="81"/>
        <v>0</v>
      </c>
      <c r="T311" s="2">
        <f t="shared" si="81"/>
        <v>0</v>
      </c>
      <c r="U311" s="2">
        <f t="shared" si="81"/>
        <v>241755.87</v>
      </c>
    </row>
    <row r="312" spans="1:22" ht="25.15" customHeight="1" x14ac:dyDescent="0.25">
      <c r="A312" s="15" t="s">
        <v>1227</v>
      </c>
      <c r="B312" s="24" t="s">
        <v>813</v>
      </c>
      <c r="C312" s="2">
        <f>D312+L312+N312+P312+R312+S312+T312+U312</f>
        <v>241755.87</v>
      </c>
      <c r="D312" s="3">
        <f>SUM(E312:J312)</f>
        <v>0</v>
      </c>
      <c r="E312" s="3">
        <v>0</v>
      </c>
      <c r="F312" s="3">
        <v>0</v>
      </c>
      <c r="G312" s="3">
        <v>0</v>
      </c>
      <c r="H312" s="3">
        <v>0</v>
      </c>
      <c r="I312" s="3">
        <v>0</v>
      </c>
      <c r="J312" s="3">
        <v>0</v>
      </c>
      <c r="K312" s="14">
        <v>0</v>
      </c>
      <c r="L312" s="13">
        <v>0</v>
      </c>
      <c r="M312" s="13">
        <v>0</v>
      </c>
      <c r="N312" s="13">
        <v>0</v>
      </c>
      <c r="O312" s="13">
        <v>0</v>
      </c>
      <c r="P312" s="13">
        <v>0</v>
      </c>
      <c r="Q312" s="13">
        <v>0</v>
      </c>
      <c r="R312" s="13">
        <v>0</v>
      </c>
      <c r="S312" s="13">
        <v>0</v>
      </c>
      <c r="T312" s="13">
        <v>0</v>
      </c>
      <c r="U312" s="13">
        <v>241755.87</v>
      </c>
      <c r="V312" s="5" t="e">
        <f>N312/M312</f>
        <v>#DIV/0!</v>
      </c>
    </row>
    <row r="313" spans="1:22" ht="25.15" customHeight="1" x14ac:dyDescent="0.25">
      <c r="A313" s="15" t="s">
        <v>1228</v>
      </c>
      <c r="B313" s="24" t="s">
        <v>814</v>
      </c>
      <c r="C313" s="2">
        <f>D313+L313+N313+P313+R313+S313+T313+U313</f>
        <v>4381157.46</v>
      </c>
      <c r="D313" s="3">
        <f>SUM(E313:J313)</f>
        <v>0</v>
      </c>
      <c r="E313" s="3">
        <v>0</v>
      </c>
      <c r="F313" s="3">
        <v>0</v>
      </c>
      <c r="G313" s="3">
        <v>0</v>
      </c>
      <c r="H313" s="3">
        <v>0</v>
      </c>
      <c r="I313" s="3">
        <v>0</v>
      </c>
      <c r="J313" s="3">
        <v>0</v>
      </c>
      <c r="K313" s="4">
        <v>0</v>
      </c>
      <c r="L313" s="3">
        <v>0</v>
      </c>
      <c r="M313" s="3">
        <v>807.1</v>
      </c>
      <c r="N313" s="3">
        <v>4381157.46</v>
      </c>
      <c r="O313" s="3">
        <v>0</v>
      </c>
      <c r="P313" s="3">
        <v>0</v>
      </c>
      <c r="Q313" s="3">
        <v>0</v>
      </c>
      <c r="R313" s="3">
        <v>0</v>
      </c>
      <c r="S313" s="3">
        <v>0</v>
      </c>
      <c r="T313" s="13">
        <v>0</v>
      </c>
      <c r="U313" s="3">
        <v>0</v>
      </c>
      <c r="V313" s="5">
        <f>N313/M313</f>
        <v>5428.2709205798537</v>
      </c>
    </row>
    <row r="314" spans="1:22" ht="25.15" customHeight="1" x14ac:dyDescent="0.25">
      <c r="A314" s="15" t="s">
        <v>1229</v>
      </c>
      <c r="B314" s="24" t="s">
        <v>815</v>
      </c>
      <c r="C314" s="2">
        <f>D314+L314+N314+P314+R314+S314+T314+U314</f>
        <v>2513742.13</v>
      </c>
      <c r="D314" s="3">
        <f>SUM(E314:J314)</f>
        <v>0</v>
      </c>
      <c r="E314" s="3">
        <v>0</v>
      </c>
      <c r="F314" s="3">
        <v>0</v>
      </c>
      <c r="G314" s="3">
        <v>0</v>
      </c>
      <c r="H314" s="3">
        <v>0</v>
      </c>
      <c r="I314" s="3">
        <v>0</v>
      </c>
      <c r="J314" s="3">
        <v>0</v>
      </c>
      <c r="K314" s="4">
        <v>0</v>
      </c>
      <c r="L314" s="3">
        <v>0</v>
      </c>
      <c r="M314" s="3">
        <v>495</v>
      </c>
      <c r="N314" s="3">
        <v>2513742.13</v>
      </c>
      <c r="O314" s="3">
        <v>0</v>
      </c>
      <c r="P314" s="3">
        <v>0</v>
      </c>
      <c r="Q314" s="3">
        <v>0</v>
      </c>
      <c r="R314" s="3">
        <v>0</v>
      </c>
      <c r="S314" s="3">
        <v>0</v>
      </c>
      <c r="T314" s="13">
        <v>0</v>
      </c>
      <c r="U314" s="3">
        <v>0</v>
      </c>
      <c r="V314" s="5">
        <f>N314/M314</f>
        <v>5078.2669292929295</v>
      </c>
    </row>
    <row r="315" spans="1:22" ht="42.95" customHeight="1" x14ac:dyDescent="0.25">
      <c r="A315" s="51" t="s">
        <v>2</v>
      </c>
      <c r="B315" s="51"/>
      <c r="C315" s="2">
        <f t="shared" ref="C315:U315" si="82">SUM(C316:C317)</f>
        <v>5038178.04</v>
      </c>
      <c r="D315" s="2">
        <f t="shared" si="82"/>
        <v>0</v>
      </c>
      <c r="E315" s="2">
        <f t="shared" si="82"/>
        <v>0</v>
      </c>
      <c r="F315" s="2">
        <f t="shared" si="82"/>
        <v>0</v>
      </c>
      <c r="G315" s="2">
        <f t="shared" si="82"/>
        <v>0</v>
      </c>
      <c r="H315" s="2">
        <f t="shared" si="82"/>
        <v>0</v>
      </c>
      <c r="I315" s="2">
        <f t="shared" si="82"/>
        <v>0</v>
      </c>
      <c r="J315" s="2">
        <f t="shared" si="82"/>
        <v>0</v>
      </c>
      <c r="K315" s="18">
        <f t="shared" si="82"/>
        <v>0</v>
      </c>
      <c r="L315" s="2">
        <f t="shared" si="82"/>
        <v>0</v>
      </c>
      <c r="M315" s="2">
        <f t="shared" si="82"/>
        <v>1019.4</v>
      </c>
      <c r="N315" s="2">
        <f t="shared" si="82"/>
        <v>5038178.04</v>
      </c>
      <c r="O315" s="2">
        <f t="shared" si="82"/>
        <v>0</v>
      </c>
      <c r="P315" s="2">
        <f t="shared" si="82"/>
        <v>0</v>
      </c>
      <c r="Q315" s="2">
        <f t="shared" si="82"/>
        <v>0</v>
      </c>
      <c r="R315" s="2">
        <f t="shared" si="82"/>
        <v>0</v>
      </c>
      <c r="S315" s="2">
        <f t="shared" si="82"/>
        <v>0</v>
      </c>
      <c r="T315" s="2">
        <f t="shared" si="82"/>
        <v>0</v>
      </c>
      <c r="U315" s="2">
        <f t="shared" si="82"/>
        <v>0</v>
      </c>
    </row>
    <row r="316" spans="1:22" ht="25.15" customHeight="1" x14ac:dyDescent="0.25">
      <c r="A316" s="21" t="s">
        <v>1230</v>
      </c>
      <c r="B316" s="24" t="s">
        <v>78</v>
      </c>
      <c r="C316" s="2">
        <f>D316+L316+N316+P316+R316+S316+T316+U316</f>
        <v>2531403.33</v>
      </c>
      <c r="D316" s="3">
        <f>SUM(E316:J316)</f>
        <v>0</v>
      </c>
      <c r="E316" s="3">
        <v>0</v>
      </c>
      <c r="F316" s="3">
        <v>0</v>
      </c>
      <c r="G316" s="3">
        <v>0</v>
      </c>
      <c r="H316" s="3">
        <v>0</v>
      </c>
      <c r="I316" s="3">
        <v>0</v>
      </c>
      <c r="J316" s="3">
        <v>0</v>
      </c>
      <c r="K316" s="4">
        <v>0</v>
      </c>
      <c r="L316" s="3">
        <v>0</v>
      </c>
      <c r="M316" s="13">
        <v>509.7</v>
      </c>
      <c r="N316" s="3">
        <v>2531403.33</v>
      </c>
      <c r="O316" s="3">
        <v>0</v>
      </c>
      <c r="P316" s="3">
        <v>0</v>
      </c>
      <c r="Q316" s="3">
        <v>0</v>
      </c>
      <c r="R316" s="3">
        <v>0</v>
      </c>
      <c r="S316" s="3">
        <v>0</v>
      </c>
      <c r="T316" s="3">
        <v>0</v>
      </c>
      <c r="U316" s="13">
        <v>0</v>
      </c>
      <c r="V316" s="5">
        <f>N316/M316</f>
        <v>4966.4573866980581</v>
      </c>
    </row>
    <row r="317" spans="1:22" ht="25.15" customHeight="1" x14ac:dyDescent="0.25">
      <c r="A317" s="21" t="s">
        <v>1231</v>
      </c>
      <c r="B317" s="24" t="s">
        <v>79</v>
      </c>
      <c r="C317" s="2">
        <f>D317+L317+N317+P317+R317+S317+T317+U317</f>
        <v>2506774.71</v>
      </c>
      <c r="D317" s="3">
        <f>SUM(E317:J317)</f>
        <v>0</v>
      </c>
      <c r="E317" s="3">
        <v>0</v>
      </c>
      <c r="F317" s="3">
        <v>0</v>
      </c>
      <c r="G317" s="3">
        <v>0</v>
      </c>
      <c r="H317" s="3">
        <v>0</v>
      </c>
      <c r="I317" s="3">
        <v>0</v>
      </c>
      <c r="J317" s="3">
        <v>0</v>
      </c>
      <c r="K317" s="4">
        <v>0</v>
      </c>
      <c r="L317" s="3">
        <v>0</v>
      </c>
      <c r="M317" s="13">
        <v>509.7</v>
      </c>
      <c r="N317" s="3">
        <v>2506774.71</v>
      </c>
      <c r="O317" s="3">
        <v>0</v>
      </c>
      <c r="P317" s="3">
        <v>0</v>
      </c>
      <c r="Q317" s="3">
        <v>0</v>
      </c>
      <c r="R317" s="3">
        <v>0</v>
      </c>
      <c r="S317" s="3">
        <v>0</v>
      </c>
      <c r="T317" s="3">
        <v>0</v>
      </c>
      <c r="U317" s="13">
        <v>0</v>
      </c>
      <c r="V317" s="5">
        <f>N317/M317</f>
        <v>4918.1375515008831</v>
      </c>
    </row>
    <row r="318" spans="1:22" ht="45" customHeight="1" x14ac:dyDescent="0.25">
      <c r="A318" s="51" t="s">
        <v>80</v>
      </c>
      <c r="B318" s="51"/>
      <c r="C318" s="2">
        <f t="shared" ref="C318:U318" si="83">SUM(C319)</f>
        <v>71020.7</v>
      </c>
      <c r="D318" s="2">
        <f t="shared" si="83"/>
        <v>0</v>
      </c>
      <c r="E318" s="2">
        <f t="shared" si="83"/>
        <v>0</v>
      </c>
      <c r="F318" s="2">
        <f t="shared" si="83"/>
        <v>0</v>
      </c>
      <c r="G318" s="2">
        <f t="shared" si="83"/>
        <v>0</v>
      </c>
      <c r="H318" s="2">
        <f t="shared" si="83"/>
        <v>0</v>
      </c>
      <c r="I318" s="2">
        <f t="shared" si="83"/>
        <v>0</v>
      </c>
      <c r="J318" s="2">
        <f t="shared" si="83"/>
        <v>0</v>
      </c>
      <c r="K318" s="18">
        <f t="shared" si="83"/>
        <v>0</v>
      </c>
      <c r="L318" s="2">
        <f t="shared" si="83"/>
        <v>0</v>
      </c>
      <c r="M318" s="2">
        <f t="shared" si="83"/>
        <v>0</v>
      </c>
      <c r="N318" s="2">
        <f t="shared" si="83"/>
        <v>0</v>
      </c>
      <c r="O318" s="2">
        <f t="shared" si="83"/>
        <v>0</v>
      </c>
      <c r="P318" s="2">
        <f t="shared" si="83"/>
        <v>0</v>
      </c>
      <c r="Q318" s="2">
        <f t="shared" si="83"/>
        <v>0</v>
      </c>
      <c r="R318" s="2">
        <f t="shared" si="83"/>
        <v>0</v>
      </c>
      <c r="S318" s="2">
        <f t="shared" si="83"/>
        <v>0</v>
      </c>
      <c r="T318" s="2">
        <f t="shared" si="83"/>
        <v>0</v>
      </c>
      <c r="U318" s="2">
        <f t="shared" si="83"/>
        <v>71020.7</v>
      </c>
      <c r="V318" s="20">
        <f>C318+C725</f>
        <v>1434220.7</v>
      </c>
    </row>
    <row r="319" spans="1:22" ht="25.15" customHeight="1" x14ac:dyDescent="0.25">
      <c r="A319" s="15" t="s">
        <v>1232</v>
      </c>
      <c r="B319" s="1" t="s">
        <v>81</v>
      </c>
      <c r="C319" s="2">
        <f>D319+L319+N319+P319+R319+S319+T319+U319</f>
        <v>71020.7</v>
      </c>
      <c r="D319" s="3">
        <f>SUM(E319:J319)</f>
        <v>0</v>
      </c>
      <c r="E319" s="3">
        <v>0</v>
      </c>
      <c r="F319" s="3">
        <v>0</v>
      </c>
      <c r="G319" s="3">
        <v>0</v>
      </c>
      <c r="H319" s="3">
        <v>0</v>
      </c>
      <c r="I319" s="3">
        <v>0</v>
      </c>
      <c r="J319" s="3">
        <f>350*0</f>
        <v>0</v>
      </c>
      <c r="K319" s="14">
        <v>0</v>
      </c>
      <c r="L319" s="13">
        <v>0</v>
      </c>
      <c r="M319" s="13">
        <v>0</v>
      </c>
      <c r="N319" s="13">
        <v>0</v>
      </c>
      <c r="O319" s="13">
        <v>0</v>
      </c>
      <c r="P319" s="13">
        <v>0</v>
      </c>
      <c r="Q319" s="13">
        <v>0</v>
      </c>
      <c r="R319" s="3">
        <v>0</v>
      </c>
      <c r="S319" s="13">
        <v>0</v>
      </c>
      <c r="T319" s="13">
        <v>0</v>
      </c>
      <c r="U319" s="13">
        <v>71020.7</v>
      </c>
      <c r="V319" s="5" t="e">
        <f>N319/M319</f>
        <v>#DIV/0!</v>
      </c>
    </row>
    <row r="320" spans="1:22" ht="45" customHeight="1" x14ac:dyDescent="0.25">
      <c r="A320" s="51" t="s">
        <v>792</v>
      </c>
      <c r="B320" s="51"/>
      <c r="C320" s="2">
        <f t="shared" ref="C320:U320" si="84">SUM(C321:C322)</f>
        <v>3892881.29</v>
      </c>
      <c r="D320" s="2">
        <f t="shared" si="84"/>
        <v>0</v>
      </c>
      <c r="E320" s="2">
        <f t="shared" si="84"/>
        <v>0</v>
      </c>
      <c r="F320" s="2">
        <f t="shared" si="84"/>
        <v>0</v>
      </c>
      <c r="G320" s="2">
        <f t="shared" si="84"/>
        <v>0</v>
      </c>
      <c r="H320" s="2">
        <f t="shared" si="84"/>
        <v>0</v>
      </c>
      <c r="I320" s="2">
        <f t="shared" si="84"/>
        <v>0</v>
      </c>
      <c r="J320" s="2">
        <f t="shared" si="84"/>
        <v>0</v>
      </c>
      <c r="K320" s="18">
        <f t="shared" si="84"/>
        <v>0</v>
      </c>
      <c r="L320" s="2">
        <f t="shared" si="84"/>
        <v>0</v>
      </c>
      <c r="M320" s="2">
        <f t="shared" si="84"/>
        <v>341.2</v>
      </c>
      <c r="N320" s="2">
        <f t="shared" si="84"/>
        <v>1158583.52</v>
      </c>
      <c r="O320" s="2">
        <f t="shared" si="84"/>
        <v>0</v>
      </c>
      <c r="P320" s="2">
        <f t="shared" si="84"/>
        <v>0</v>
      </c>
      <c r="Q320" s="2">
        <f t="shared" si="84"/>
        <v>855</v>
      </c>
      <c r="R320" s="2">
        <f t="shared" si="84"/>
        <v>2565000</v>
      </c>
      <c r="S320" s="2">
        <f t="shared" si="84"/>
        <v>0</v>
      </c>
      <c r="T320" s="2">
        <f t="shared" si="84"/>
        <v>0</v>
      </c>
      <c r="U320" s="2">
        <f t="shared" si="84"/>
        <v>169297.77</v>
      </c>
    </row>
    <row r="321" spans="1:258" ht="25.15" customHeight="1" x14ac:dyDescent="0.25">
      <c r="A321" s="21" t="s">
        <v>1233</v>
      </c>
      <c r="B321" s="24" t="s">
        <v>86</v>
      </c>
      <c r="C321" s="2">
        <f>D321+L321+N321+P321+R321+S321+T321+U321</f>
        <v>169297.77</v>
      </c>
      <c r="D321" s="3">
        <f>SUM(E321:J321)</f>
        <v>0</v>
      </c>
      <c r="E321" s="3">
        <v>0</v>
      </c>
      <c r="F321" s="3">
        <v>0</v>
      </c>
      <c r="G321" s="3">
        <v>0</v>
      </c>
      <c r="H321" s="3">
        <v>0</v>
      </c>
      <c r="I321" s="3">
        <v>0</v>
      </c>
      <c r="J321" s="3">
        <v>0</v>
      </c>
      <c r="K321" s="4">
        <v>0</v>
      </c>
      <c r="L321" s="3">
        <v>0</v>
      </c>
      <c r="M321" s="3">
        <v>0</v>
      </c>
      <c r="N321" s="3">
        <f>M321*5500</f>
        <v>0</v>
      </c>
      <c r="O321" s="3">
        <v>0</v>
      </c>
      <c r="P321" s="3">
        <v>0</v>
      </c>
      <c r="Q321" s="3">
        <v>0</v>
      </c>
      <c r="R321" s="3">
        <v>0</v>
      </c>
      <c r="S321" s="3">
        <v>0</v>
      </c>
      <c r="T321" s="3">
        <v>0</v>
      </c>
      <c r="U321" s="3">
        <v>169297.77</v>
      </c>
      <c r="V321" s="5" t="e">
        <f>N321/M321</f>
        <v>#DIV/0!</v>
      </c>
    </row>
    <row r="322" spans="1:258" ht="25.15" customHeight="1" x14ac:dyDescent="0.25">
      <c r="A322" s="21" t="s">
        <v>1234</v>
      </c>
      <c r="B322" s="24" t="s">
        <v>87</v>
      </c>
      <c r="C322" s="2">
        <f>D322+L322+N322+P322+R322+S322+T322+U322</f>
        <v>3723583.52</v>
      </c>
      <c r="D322" s="3">
        <f>SUM(E322:J322)</f>
        <v>0</v>
      </c>
      <c r="E322" s="3">
        <v>0</v>
      </c>
      <c r="F322" s="3">
        <v>0</v>
      </c>
      <c r="G322" s="3">
        <v>0</v>
      </c>
      <c r="H322" s="3">
        <v>0</v>
      </c>
      <c r="I322" s="3">
        <v>0</v>
      </c>
      <c r="J322" s="3">
        <v>0</v>
      </c>
      <c r="K322" s="14">
        <v>0</v>
      </c>
      <c r="L322" s="13">
        <v>0</v>
      </c>
      <c r="M322" s="13">
        <v>341.2</v>
      </c>
      <c r="N322" s="13">
        <v>1158583.52</v>
      </c>
      <c r="O322" s="13">
        <v>0</v>
      </c>
      <c r="P322" s="13">
        <v>0</v>
      </c>
      <c r="Q322" s="13">
        <v>855</v>
      </c>
      <c r="R322" s="3">
        <v>2565000</v>
      </c>
      <c r="S322" s="13">
        <v>0</v>
      </c>
      <c r="T322" s="13">
        <v>0</v>
      </c>
      <c r="U322" s="13">
        <v>0</v>
      </c>
      <c r="V322" s="5">
        <f>N322/M322</f>
        <v>3395.614067995311</v>
      </c>
      <c r="IX322" s="19"/>
    </row>
    <row r="323" spans="1:258" ht="45" customHeight="1" x14ac:dyDescent="0.25">
      <c r="A323" s="51" t="s">
        <v>90</v>
      </c>
      <c r="B323" s="51"/>
      <c r="C323" s="2">
        <f t="shared" ref="C323:U323" si="85">SUM(C324:C327)</f>
        <v>13701948.35</v>
      </c>
      <c r="D323" s="2">
        <f t="shared" si="85"/>
        <v>198676.96</v>
      </c>
      <c r="E323" s="2">
        <f t="shared" si="85"/>
        <v>161634.29999999999</v>
      </c>
      <c r="F323" s="2">
        <f t="shared" si="85"/>
        <v>0</v>
      </c>
      <c r="G323" s="2">
        <f t="shared" si="85"/>
        <v>37042.660000000003</v>
      </c>
      <c r="H323" s="2">
        <f t="shared" si="85"/>
        <v>0</v>
      </c>
      <c r="I323" s="2">
        <f t="shared" si="85"/>
        <v>0</v>
      </c>
      <c r="J323" s="2">
        <f t="shared" si="85"/>
        <v>0</v>
      </c>
      <c r="K323" s="18">
        <f t="shared" si="85"/>
        <v>5</v>
      </c>
      <c r="L323" s="2">
        <f t="shared" si="85"/>
        <v>10458966.57</v>
      </c>
      <c r="M323" s="2">
        <f t="shared" si="85"/>
        <v>747</v>
      </c>
      <c r="N323" s="2">
        <f t="shared" si="85"/>
        <v>2503149.33</v>
      </c>
      <c r="O323" s="2">
        <f t="shared" si="85"/>
        <v>0</v>
      </c>
      <c r="P323" s="2">
        <f t="shared" si="85"/>
        <v>0</v>
      </c>
      <c r="Q323" s="2">
        <f t="shared" si="85"/>
        <v>0</v>
      </c>
      <c r="R323" s="2">
        <f t="shared" si="85"/>
        <v>0</v>
      </c>
      <c r="S323" s="2">
        <f t="shared" si="85"/>
        <v>0</v>
      </c>
      <c r="T323" s="2">
        <f t="shared" si="85"/>
        <v>0</v>
      </c>
      <c r="U323" s="2">
        <f t="shared" si="85"/>
        <v>541155.49</v>
      </c>
    </row>
    <row r="324" spans="1:258" s="31" customFormat="1" ht="25.15" customHeight="1" x14ac:dyDescent="0.25">
      <c r="A324" s="21" t="s">
        <v>1235</v>
      </c>
      <c r="B324" s="24" t="s">
        <v>91</v>
      </c>
      <c r="C324" s="2">
        <f>D324+L324+N324+P324+R324+S324+T324+U324</f>
        <v>2503149.33</v>
      </c>
      <c r="D324" s="3">
        <f>SUM(E324:J324)</f>
        <v>0</v>
      </c>
      <c r="E324" s="3">
        <v>0</v>
      </c>
      <c r="F324" s="3">
        <v>0</v>
      </c>
      <c r="G324" s="3">
        <v>0</v>
      </c>
      <c r="H324" s="3">
        <v>0</v>
      </c>
      <c r="I324" s="3">
        <v>0</v>
      </c>
      <c r="J324" s="3">
        <v>0</v>
      </c>
      <c r="K324" s="4">
        <v>0</v>
      </c>
      <c r="L324" s="3">
        <v>0</v>
      </c>
      <c r="M324" s="13">
        <v>747</v>
      </c>
      <c r="N324" s="3">
        <v>2503149.33</v>
      </c>
      <c r="O324" s="3">
        <v>0</v>
      </c>
      <c r="P324" s="3">
        <v>0</v>
      </c>
      <c r="Q324" s="3">
        <v>0</v>
      </c>
      <c r="R324" s="3">
        <v>0</v>
      </c>
      <c r="S324" s="3">
        <v>0</v>
      </c>
      <c r="T324" s="3">
        <v>0</v>
      </c>
      <c r="U324" s="3">
        <v>0</v>
      </c>
      <c r="V324" s="5">
        <f>N324/M324</f>
        <v>3350.9361847389559</v>
      </c>
    </row>
    <row r="325" spans="1:258" s="5" customFormat="1" ht="25.15" customHeight="1" x14ac:dyDescent="0.25">
      <c r="A325" s="21" t="s">
        <v>1236</v>
      </c>
      <c r="B325" s="24" t="s">
        <v>92</v>
      </c>
      <c r="C325" s="2">
        <f>D325+L325+N325+P325+R325+S325+T325+U325</f>
        <v>257304.78</v>
      </c>
      <c r="D325" s="3">
        <f>SUM(E325:J325)</f>
        <v>198676.96</v>
      </c>
      <c r="E325" s="13">
        <v>161634.29999999999</v>
      </c>
      <c r="F325" s="13">
        <f>800*0</f>
        <v>0</v>
      </c>
      <c r="G325" s="13">
        <v>37042.660000000003</v>
      </c>
      <c r="H325" s="13">
        <f>500*0</f>
        <v>0</v>
      </c>
      <c r="I325" s="13">
        <v>0</v>
      </c>
      <c r="J325" s="13">
        <f>350*0</f>
        <v>0</v>
      </c>
      <c r="K325" s="14">
        <v>0</v>
      </c>
      <c r="L325" s="13">
        <v>0</v>
      </c>
      <c r="M325" s="13">
        <v>0</v>
      </c>
      <c r="N325" s="13">
        <v>0</v>
      </c>
      <c r="O325" s="13">
        <v>0</v>
      </c>
      <c r="P325" s="13">
        <v>0</v>
      </c>
      <c r="Q325" s="13">
        <v>0</v>
      </c>
      <c r="R325" s="13">
        <v>0</v>
      </c>
      <c r="S325" s="13">
        <v>0</v>
      </c>
      <c r="T325" s="13">
        <v>0</v>
      </c>
      <c r="U325" s="13">
        <v>58627.82</v>
      </c>
      <c r="V325" s="5" t="e">
        <f>N325/M325</f>
        <v>#DIV/0!</v>
      </c>
    </row>
    <row r="326" spans="1:258" s="5" customFormat="1" ht="25.15" customHeight="1" x14ac:dyDescent="0.25">
      <c r="A326" s="21" t="s">
        <v>1237</v>
      </c>
      <c r="B326" s="24" t="s">
        <v>95</v>
      </c>
      <c r="C326" s="2">
        <f>D326+L326+N326+P326+R326+S326+T326+U326</f>
        <v>4376745.24</v>
      </c>
      <c r="D326" s="3">
        <f>SUM(E326:J326)</f>
        <v>0</v>
      </c>
      <c r="E326" s="3">
        <v>0</v>
      </c>
      <c r="F326" s="3">
        <v>0</v>
      </c>
      <c r="G326" s="3">
        <v>0</v>
      </c>
      <c r="H326" s="3">
        <v>0</v>
      </c>
      <c r="I326" s="3">
        <v>0</v>
      </c>
      <c r="J326" s="3">
        <v>0</v>
      </c>
      <c r="K326" s="14">
        <v>2</v>
      </c>
      <c r="L326" s="13">
        <v>4170220.4</v>
      </c>
      <c r="M326" s="13">
        <v>0</v>
      </c>
      <c r="N326" s="13">
        <v>0</v>
      </c>
      <c r="O326" s="13">
        <v>0</v>
      </c>
      <c r="P326" s="13">
        <v>0</v>
      </c>
      <c r="Q326" s="13">
        <v>0</v>
      </c>
      <c r="R326" s="13">
        <v>0</v>
      </c>
      <c r="S326" s="13">
        <v>0</v>
      </c>
      <c r="T326" s="13">
        <v>0</v>
      </c>
      <c r="U326" s="13">
        <v>206524.84</v>
      </c>
      <c r="V326" s="5" t="e">
        <f>N326/M326</f>
        <v>#DIV/0!</v>
      </c>
    </row>
    <row r="327" spans="1:258" ht="25.15" customHeight="1" x14ac:dyDescent="0.25">
      <c r="A327" s="21" t="s">
        <v>1238</v>
      </c>
      <c r="B327" s="24" t="s">
        <v>97</v>
      </c>
      <c r="C327" s="2">
        <f>D327+L327+N327+P327+R327+S327+T327+U327</f>
        <v>6564749</v>
      </c>
      <c r="D327" s="3">
        <f>SUM(E327:J327)</f>
        <v>0</v>
      </c>
      <c r="E327" s="3">
        <v>0</v>
      </c>
      <c r="F327" s="3">
        <v>0</v>
      </c>
      <c r="G327" s="3">
        <v>0</v>
      </c>
      <c r="H327" s="3">
        <v>0</v>
      </c>
      <c r="I327" s="3">
        <v>0</v>
      </c>
      <c r="J327" s="3">
        <v>0</v>
      </c>
      <c r="K327" s="4">
        <v>3</v>
      </c>
      <c r="L327" s="3">
        <v>6288746.1699999999</v>
      </c>
      <c r="M327" s="13">
        <v>0</v>
      </c>
      <c r="N327" s="13">
        <v>0</v>
      </c>
      <c r="O327" s="3">
        <v>0</v>
      </c>
      <c r="P327" s="3">
        <v>0</v>
      </c>
      <c r="Q327" s="3">
        <v>0</v>
      </c>
      <c r="R327" s="3">
        <v>0</v>
      </c>
      <c r="S327" s="3">
        <v>0</v>
      </c>
      <c r="T327" s="3">
        <v>0</v>
      </c>
      <c r="U327" s="3">
        <v>276002.83</v>
      </c>
      <c r="V327" s="5" t="e">
        <f>N327/M327</f>
        <v>#DIV/0!</v>
      </c>
    </row>
    <row r="328" spans="1:258" ht="50.25" customHeight="1" x14ac:dyDescent="0.25">
      <c r="A328" s="51" t="s">
        <v>99</v>
      </c>
      <c r="B328" s="51"/>
      <c r="C328" s="2">
        <f t="shared" ref="C328:U328" si="86">SUM(C329:C335)</f>
        <v>25162921.030000001</v>
      </c>
      <c r="D328" s="2">
        <f t="shared" si="86"/>
        <v>1498260.9100000001</v>
      </c>
      <c r="E328" s="2">
        <f t="shared" si="86"/>
        <v>295858.87</v>
      </c>
      <c r="F328" s="2">
        <f t="shared" si="86"/>
        <v>961380</v>
      </c>
      <c r="G328" s="2">
        <f t="shared" si="86"/>
        <v>148263.76</v>
      </c>
      <c r="H328" s="2">
        <f t="shared" si="86"/>
        <v>92758.28</v>
      </c>
      <c r="I328" s="2">
        <f t="shared" si="86"/>
        <v>0</v>
      </c>
      <c r="J328" s="2">
        <f t="shared" si="86"/>
        <v>0</v>
      </c>
      <c r="K328" s="18">
        <f t="shared" si="86"/>
        <v>0</v>
      </c>
      <c r="L328" s="2">
        <f t="shared" si="86"/>
        <v>0</v>
      </c>
      <c r="M328" s="2">
        <f t="shared" si="86"/>
        <v>4288.4600000000009</v>
      </c>
      <c r="N328" s="2">
        <f t="shared" si="86"/>
        <v>20884485.370000001</v>
      </c>
      <c r="O328" s="2">
        <f t="shared" si="86"/>
        <v>0</v>
      </c>
      <c r="P328" s="2">
        <f t="shared" si="86"/>
        <v>0</v>
      </c>
      <c r="Q328" s="2">
        <f t="shared" si="86"/>
        <v>942</v>
      </c>
      <c r="R328" s="2">
        <f t="shared" si="86"/>
        <v>2780174.75</v>
      </c>
      <c r="S328" s="2">
        <f t="shared" si="86"/>
        <v>0</v>
      </c>
      <c r="T328" s="2">
        <f t="shared" si="86"/>
        <v>0</v>
      </c>
      <c r="U328" s="2">
        <f t="shared" si="86"/>
        <v>0</v>
      </c>
    </row>
    <row r="329" spans="1:258" s="32" customFormat="1" ht="25.15" customHeight="1" x14ac:dyDescent="0.25">
      <c r="A329" s="21" t="s">
        <v>1239</v>
      </c>
      <c r="B329" s="24" t="s">
        <v>100</v>
      </c>
      <c r="C329" s="2">
        <f t="shared" ref="C329:C335" si="87">D329+L329+N329+P329+R329+S329+T329+U329</f>
        <v>3229619.15</v>
      </c>
      <c r="D329" s="3">
        <f t="shared" ref="D329:D335" si="88">SUM(E329:J329)</f>
        <v>0</v>
      </c>
      <c r="E329" s="3">
        <v>0</v>
      </c>
      <c r="F329" s="3">
        <v>0</v>
      </c>
      <c r="G329" s="3">
        <v>0</v>
      </c>
      <c r="H329" s="3">
        <v>0</v>
      </c>
      <c r="I329" s="3">
        <v>0</v>
      </c>
      <c r="J329" s="3">
        <v>0</v>
      </c>
      <c r="K329" s="4">
        <v>0</v>
      </c>
      <c r="L329" s="3">
        <v>0</v>
      </c>
      <c r="M329" s="13">
        <v>632</v>
      </c>
      <c r="N329" s="3">
        <v>3229619.15</v>
      </c>
      <c r="O329" s="3">
        <v>0</v>
      </c>
      <c r="P329" s="3">
        <v>0</v>
      </c>
      <c r="Q329" s="3">
        <v>0</v>
      </c>
      <c r="R329" s="3">
        <v>0</v>
      </c>
      <c r="S329" s="3">
        <v>0</v>
      </c>
      <c r="T329" s="3">
        <v>0</v>
      </c>
      <c r="U329" s="3">
        <v>0</v>
      </c>
      <c r="V329" s="5">
        <f t="shared" ref="V329:V335" si="89">N329/M329</f>
        <v>5110.1568829113921</v>
      </c>
    </row>
    <row r="330" spans="1:258" ht="25.15" customHeight="1" x14ac:dyDescent="0.25">
      <c r="A330" s="21" t="s">
        <v>1240</v>
      </c>
      <c r="B330" s="24" t="s">
        <v>102</v>
      </c>
      <c r="C330" s="2">
        <f t="shared" si="87"/>
        <v>3371061.19</v>
      </c>
      <c r="D330" s="3">
        <f t="shared" si="88"/>
        <v>0</v>
      </c>
      <c r="E330" s="3">
        <v>0</v>
      </c>
      <c r="F330" s="3">
        <v>0</v>
      </c>
      <c r="G330" s="3">
        <v>0</v>
      </c>
      <c r="H330" s="3">
        <v>0</v>
      </c>
      <c r="I330" s="3">
        <v>0</v>
      </c>
      <c r="J330" s="3">
        <v>0</v>
      </c>
      <c r="K330" s="4">
        <v>0</v>
      </c>
      <c r="L330" s="3">
        <v>0</v>
      </c>
      <c r="M330" s="13">
        <v>645</v>
      </c>
      <c r="N330" s="3">
        <v>3371061.19</v>
      </c>
      <c r="O330" s="3">
        <v>0</v>
      </c>
      <c r="P330" s="3">
        <v>0</v>
      </c>
      <c r="Q330" s="3">
        <v>0</v>
      </c>
      <c r="R330" s="3">
        <v>0</v>
      </c>
      <c r="S330" s="3">
        <v>0</v>
      </c>
      <c r="T330" s="3">
        <v>0</v>
      </c>
      <c r="U330" s="3">
        <v>0</v>
      </c>
      <c r="V330" s="5">
        <f t="shared" si="89"/>
        <v>5226.451457364341</v>
      </c>
    </row>
    <row r="331" spans="1:258" ht="25.15" customHeight="1" x14ac:dyDescent="0.25">
      <c r="A331" s="21" t="s">
        <v>1241</v>
      </c>
      <c r="B331" s="24" t="s">
        <v>918</v>
      </c>
      <c r="C331" s="2">
        <f t="shared" si="87"/>
        <v>3363849.99</v>
      </c>
      <c r="D331" s="3">
        <f t="shared" si="88"/>
        <v>0</v>
      </c>
      <c r="E331" s="3">
        <f>350*0</f>
        <v>0</v>
      </c>
      <c r="F331" s="3">
        <f>800*0</f>
        <v>0</v>
      </c>
      <c r="G331" s="3">
        <f>350*0</f>
        <v>0</v>
      </c>
      <c r="H331" s="3">
        <f>400*0</f>
        <v>0</v>
      </c>
      <c r="I331" s="3">
        <f>250*0</f>
        <v>0</v>
      </c>
      <c r="J331" s="3">
        <v>0</v>
      </c>
      <c r="K331" s="14">
        <v>0</v>
      </c>
      <c r="L331" s="13">
        <v>0</v>
      </c>
      <c r="M331" s="13">
        <v>916.9</v>
      </c>
      <c r="N331" s="13">
        <v>3363849.99</v>
      </c>
      <c r="O331" s="13">
        <v>0</v>
      </c>
      <c r="P331" s="13">
        <v>0</v>
      </c>
      <c r="Q331" s="13">
        <v>0</v>
      </c>
      <c r="R331" s="13">
        <f>Q331*3000</f>
        <v>0</v>
      </c>
      <c r="S331" s="13">
        <v>0</v>
      </c>
      <c r="T331" s="13">
        <v>0</v>
      </c>
      <c r="U331" s="13">
        <v>0</v>
      </c>
      <c r="V331" s="5">
        <f t="shared" si="89"/>
        <v>3668.7206783727784</v>
      </c>
    </row>
    <row r="332" spans="1:258" ht="25.15" customHeight="1" x14ac:dyDescent="0.25">
      <c r="A332" s="21" t="s">
        <v>1242</v>
      </c>
      <c r="B332" s="24" t="s">
        <v>105</v>
      </c>
      <c r="C332" s="2">
        <f t="shared" si="87"/>
        <v>4278435.66</v>
      </c>
      <c r="D332" s="3">
        <f t="shared" si="88"/>
        <v>1498260.9100000001</v>
      </c>
      <c r="E332" s="3">
        <v>295858.87</v>
      </c>
      <c r="F332" s="3">
        <f>1050*915.6</f>
        <v>961380</v>
      </c>
      <c r="G332" s="3">
        <v>148263.76</v>
      </c>
      <c r="H332" s="3">
        <v>92758.28</v>
      </c>
      <c r="I332" s="3">
        <v>0</v>
      </c>
      <c r="J332" s="3">
        <v>0</v>
      </c>
      <c r="K332" s="4">
        <v>0</v>
      </c>
      <c r="L332" s="3">
        <v>0</v>
      </c>
      <c r="M332" s="13">
        <v>0</v>
      </c>
      <c r="N332" s="13">
        <v>0</v>
      </c>
      <c r="O332" s="3">
        <v>0</v>
      </c>
      <c r="P332" s="3">
        <v>0</v>
      </c>
      <c r="Q332" s="3">
        <v>942</v>
      </c>
      <c r="R332" s="3">
        <v>2780174.75</v>
      </c>
      <c r="S332" s="3">
        <v>0</v>
      </c>
      <c r="T332" s="3">
        <v>0</v>
      </c>
      <c r="U332" s="3">
        <v>0</v>
      </c>
      <c r="V332" s="5" t="e">
        <f t="shared" si="89"/>
        <v>#DIV/0!</v>
      </c>
    </row>
    <row r="333" spans="1:258" ht="25.15" customHeight="1" x14ac:dyDescent="0.25">
      <c r="A333" s="21" t="s">
        <v>1243</v>
      </c>
      <c r="B333" s="24" t="s">
        <v>110</v>
      </c>
      <c r="C333" s="2">
        <f t="shared" si="87"/>
        <v>3220380.49</v>
      </c>
      <c r="D333" s="3">
        <f t="shared" si="88"/>
        <v>0</v>
      </c>
      <c r="E333" s="3">
        <v>0</v>
      </c>
      <c r="F333" s="3">
        <v>0</v>
      </c>
      <c r="G333" s="3">
        <v>0</v>
      </c>
      <c r="H333" s="3">
        <v>0</v>
      </c>
      <c r="I333" s="3">
        <v>0</v>
      </c>
      <c r="J333" s="3">
        <v>0</v>
      </c>
      <c r="K333" s="4">
        <v>0</v>
      </c>
      <c r="L333" s="3">
        <v>0</v>
      </c>
      <c r="M333" s="13">
        <v>635.49</v>
      </c>
      <c r="N333" s="3">
        <v>3220380.49</v>
      </c>
      <c r="O333" s="3">
        <v>0</v>
      </c>
      <c r="P333" s="3">
        <v>0</v>
      </c>
      <c r="Q333" s="3">
        <v>0</v>
      </c>
      <c r="R333" s="3">
        <v>0</v>
      </c>
      <c r="S333" s="3">
        <v>0</v>
      </c>
      <c r="T333" s="3">
        <v>0</v>
      </c>
      <c r="U333" s="3">
        <v>0</v>
      </c>
      <c r="V333" s="5">
        <f t="shared" si="89"/>
        <v>5067.5549418558912</v>
      </c>
    </row>
    <row r="334" spans="1:258" ht="25.15" customHeight="1" x14ac:dyDescent="0.25">
      <c r="A334" s="21" t="s">
        <v>1244</v>
      </c>
      <c r="B334" s="24" t="s">
        <v>111</v>
      </c>
      <c r="C334" s="2">
        <f t="shared" si="87"/>
        <v>4425182.18</v>
      </c>
      <c r="D334" s="3">
        <f t="shared" si="88"/>
        <v>0</v>
      </c>
      <c r="E334" s="3">
        <v>0</v>
      </c>
      <c r="F334" s="3">
        <v>0</v>
      </c>
      <c r="G334" s="3">
        <v>0</v>
      </c>
      <c r="H334" s="3">
        <v>0</v>
      </c>
      <c r="I334" s="3">
        <v>0</v>
      </c>
      <c r="J334" s="3">
        <v>0</v>
      </c>
      <c r="K334" s="4">
        <v>0</v>
      </c>
      <c r="L334" s="3">
        <v>0</v>
      </c>
      <c r="M334" s="13">
        <v>813.55</v>
      </c>
      <c r="N334" s="3">
        <v>4425182.18</v>
      </c>
      <c r="O334" s="3">
        <v>0</v>
      </c>
      <c r="P334" s="3">
        <v>0</v>
      </c>
      <c r="Q334" s="3">
        <v>0</v>
      </c>
      <c r="R334" s="3">
        <v>0</v>
      </c>
      <c r="S334" s="3">
        <v>0</v>
      </c>
      <c r="T334" s="3">
        <v>0</v>
      </c>
      <c r="U334" s="3">
        <v>0</v>
      </c>
      <c r="V334" s="5">
        <f t="shared" si="89"/>
        <v>5439.3487554544899</v>
      </c>
    </row>
    <row r="335" spans="1:258" ht="25.15" customHeight="1" x14ac:dyDescent="0.25">
      <c r="A335" s="21" t="s">
        <v>1245</v>
      </c>
      <c r="B335" s="24" t="s">
        <v>112</v>
      </c>
      <c r="C335" s="2">
        <f t="shared" si="87"/>
        <v>3274392.37</v>
      </c>
      <c r="D335" s="3">
        <f t="shared" si="88"/>
        <v>0</v>
      </c>
      <c r="E335" s="3">
        <v>0</v>
      </c>
      <c r="F335" s="3">
        <v>0</v>
      </c>
      <c r="G335" s="3">
        <v>0</v>
      </c>
      <c r="H335" s="3">
        <v>0</v>
      </c>
      <c r="I335" s="3">
        <v>0</v>
      </c>
      <c r="J335" s="3">
        <v>0</v>
      </c>
      <c r="K335" s="4">
        <v>0</v>
      </c>
      <c r="L335" s="3">
        <v>0</v>
      </c>
      <c r="M335" s="13">
        <v>645.52</v>
      </c>
      <c r="N335" s="3">
        <v>3274392.37</v>
      </c>
      <c r="O335" s="3">
        <v>0</v>
      </c>
      <c r="P335" s="3">
        <v>0</v>
      </c>
      <c r="Q335" s="3">
        <v>0</v>
      </c>
      <c r="R335" s="3">
        <v>0</v>
      </c>
      <c r="S335" s="3">
        <v>0</v>
      </c>
      <c r="T335" s="3">
        <v>0</v>
      </c>
      <c r="U335" s="3">
        <v>0</v>
      </c>
      <c r="V335" s="5">
        <f t="shared" si="89"/>
        <v>5072.4878702441447</v>
      </c>
    </row>
    <row r="336" spans="1:258" ht="45" customHeight="1" x14ac:dyDescent="0.25">
      <c r="A336" s="51" t="s">
        <v>113</v>
      </c>
      <c r="B336" s="51"/>
      <c r="C336" s="2">
        <f t="shared" ref="C336:U336" si="90">SUM(C337)</f>
        <v>1238562</v>
      </c>
      <c r="D336" s="2">
        <f t="shared" si="90"/>
        <v>0</v>
      </c>
      <c r="E336" s="2">
        <f t="shared" si="90"/>
        <v>0</v>
      </c>
      <c r="F336" s="2">
        <f t="shared" si="90"/>
        <v>0</v>
      </c>
      <c r="G336" s="2">
        <f t="shared" si="90"/>
        <v>0</v>
      </c>
      <c r="H336" s="2">
        <f t="shared" si="90"/>
        <v>0</v>
      </c>
      <c r="I336" s="2">
        <f t="shared" si="90"/>
        <v>0</v>
      </c>
      <c r="J336" s="2">
        <f t="shared" si="90"/>
        <v>0</v>
      </c>
      <c r="K336" s="18">
        <f t="shared" si="90"/>
        <v>0</v>
      </c>
      <c r="L336" s="2">
        <f t="shared" si="90"/>
        <v>0</v>
      </c>
      <c r="M336" s="2">
        <f t="shared" si="90"/>
        <v>253.26</v>
      </c>
      <c r="N336" s="2">
        <f t="shared" si="90"/>
        <v>1238562</v>
      </c>
      <c r="O336" s="2">
        <f t="shared" si="90"/>
        <v>0</v>
      </c>
      <c r="P336" s="2">
        <f t="shared" si="90"/>
        <v>0</v>
      </c>
      <c r="Q336" s="2">
        <f t="shared" si="90"/>
        <v>0</v>
      </c>
      <c r="R336" s="2">
        <f t="shared" si="90"/>
        <v>0</v>
      </c>
      <c r="S336" s="2">
        <f t="shared" si="90"/>
        <v>0</v>
      </c>
      <c r="T336" s="2">
        <f t="shared" si="90"/>
        <v>0</v>
      </c>
      <c r="U336" s="2">
        <f t="shared" si="90"/>
        <v>0</v>
      </c>
      <c r="V336" s="20"/>
    </row>
    <row r="337" spans="1:22" ht="25.15" customHeight="1" x14ac:dyDescent="0.25">
      <c r="A337" s="21" t="s">
        <v>1246</v>
      </c>
      <c r="B337" s="24" t="s">
        <v>115</v>
      </c>
      <c r="C337" s="2">
        <f>D337+L337+N337+P337+R337+S337+T337+U337</f>
        <v>1238562</v>
      </c>
      <c r="D337" s="3">
        <f>SUM(E337:J337)</f>
        <v>0</v>
      </c>
      <c r="E337" s="3">
        <v>0</v>
      </c>
      <c r="F337" s="3">
        <v>0</v>
      </c>
      <c r="G337" s="3">
        <v>0</v>
      </c>
      <c r="H337" s="3">
        <v>0</v>
      </c>
      <c r="I337" s="3">
        <v>0</v>
      </c>
      <c r="J337" s="3">
        <v>0</v>
      </c>
      <c r="K337" s="4">
        <v>0</v>
      </c>
      <c r="L337" s="3">
        <v>0</v>
      </c>
      <c r="M337" s="13">
        <v>253.26</v>
      </c>
      <c r="N337" s="3">
        <v>1238562</v>
      </c>
      <c r="O337" s="13">
        <v>0</v>
      </c>
      <c r="P337" s="13">
        <v>0</v>
      </c>
      <c r="Q337" s="13">
        <v>0</v>
      </c>
      <c r="R337" s="13">
        <v>0</v>
      </c>
      <c r="S337" s="13">
        <v>0</v>
      </c>
      <c r="T337" s="13">
        <v>0</v>
      </c>
      <c r="U337" s="13">
        <v>0</v>
      </c>
      <c r="V337" s="5">
        <f>N337/M337</f>
        <v>4890.4761904761908</v>
      </c>
    </row>
    <row r="338" spans="1:22" ht="45" customHeight="1" x14ac:dyDescent="0.25">
      <c r="A338" s="51" t="s">
        <v>121</v>
      </c>
      <c r="B338" s="51"/>
      <c r="C338" s="2">
        <f t="shared" ref="C338:U338" si="91">SUM(C339:C340)</f>
        <v>2319175.34</v>
      </c>
      <c r="D338" s="2">
        <f t="shared" si="91"/>
        <v>0</v>
      </c>
      <c r="E338" s="2">
        <f t="shared" si="91"/>
        <v>0</v>
      </c>
      <c r="F338" s="2">
        <f t="shared" si="91"/>
        <v>0</v>
      </c>
      <c r="G338" s="2">
        <f t="shared" si="91"/>
        <v>0</v>
      </c>
      <c r="H338" s="2">
        <f t="shared" si="91"/>
        <v>0</v>
      </c>
      <c r="I338" s="2">
        <f t="shared" si="91"/>
        <v>0</v>
      </c>
      <c r="J338" s="2">
        <f t="shared" si="91"/>
        <v>0</v>
      </c>
      <c r="K338" s="18">
        <f t="shared" si="91"/>
        <v>0</v>
      </c>
      <c r="L338" s="2">
        <f t="shared" si="91"/>
        <v>0</v>
      </c>
      <c r="M338" s="2">
        <f t="shared" si="91"/>
        <v>490.4</v>
      </c>
      <c r="N338" s="2">
        <f t="shared" si="91"/>
        <v>2319175.34</v>
      </c>
      <c r="O338" s="2">
        <f t="shared" si="91"/>
        <v>0</v>
      </c>
      <c r="P338" s="2">
        <f t="shared" si="91"/>
        <v>0</v>
      </c>
      <c r="Q338" s="2">
        <f t="shared" si="91"/>
        <v>0</v>
      </c>
      <c r="R338" s="2">
        <f t="shared" si="91"/>
        <v>0</v>
      </c>
      <c r="S338" s="2">
        <f t="shared" si="91"/>
        <v>0</v>
      </c>
      <c r="T338" s="2">
        <f t="shared" si="91"/>
        <v>0</v>
      </c>
      <c r="U338" s="2">
        <f t="shared" si="91"/>
        <v>0</v>
      </c>
    </row>
    <row r="339" spans="1:22" ht="25.15" customHeight="1" x14ac:dyDescent="0.25">
      <c r="A339" s="21" t="s">
        <v>1247</v>
      </c>
      <c r="B339" s="1" t="s">
        <v>118</v>
      </c>
      <c r="C339" s="2">
        <f>D339+L339+N339+P339+R339+S339+T339+U339</f>
        <v>655984.46</v>
      </c>
      <c r="D339" s="3">
        <f>SUM(E339:J339)</f>
        <v>0</v>
      </c>
      <c r="E339" s="3">
        <v>0</v>
      </c>
      <c r="F339" s="3">
        <v>0</v>
      </c>
      <c r="G339" s="3">
        <v>0</v>
      </c>
      <c r="H339" s="3">
        <v>0</v>
      </c>
      <c r="I339" s="3">
        <v>0</v>
      </c>
      <c r="J339" s="3">
        <v>0</v>
      </c>
      <c r="K339" s="4">
        <v>0</v>
      </c>
      <c r="L339" s="3">
        <v>0</v>
      </c>
      <c r="M339" s="3">
        <v>145.4</v>
      </c>
      <c r="N339" s="3">
        <v>655984.46</v>
      </c>
      <c r="O339" s="3">
        <v>0</v>
      </c>
      <c r="P339" s="3">
        <v>0</v>
      </c>
      <c r="Q339" s="3">
        <v>0</v>
      </c>
      <c r="R339" s="3">
        <v>0</v>
      </c>
      <c r="S339" s="3">
        <v>0</v>
      </c>
      <c r="T339" s="3">
        <v>0</v>
      </c>
      <c r="U339" s="3">
        <v>0</v>
      </c>
      <c r="V339" s="5">
        <f>N339/M339</f>
        <v>4511.585006877579</v>
      </c>
    </row>
    <row r="340" spans="1:22" ht="25.15" customHeight="1" x14ac:dyDescent="0.25">
      <c r="A340" s="21" t="s">
        <v>1248</v>
      </c>
      <c r="B340" s="1" t="s">
        <v>120</v>
      </c>
      <c r="C340" s="2">
        <f>D340+L340+N340+P340+R340+S340+T340+U340</f>
        <v>1663190.88</v>
      </c>
      <c r="D340" s="3">
        <f>SUM(E340:J340)</f>
        <v>0</v>
      </c>
      <c r="E340" s="3">
        <v>0</v>
      </c>
      <c r="F340" s="3">
        <v>0</v>
      </c>
      <c r="G340" s="3">
        <v>0</v>
      </c>
      <c r="H340" s="3">
        <v>0</v>
      </c>
      <c r="I340" s="3">
        <v>0</v>
      </c>
      <c r="J340" s="3">
        <v>0</v>
      </c>
      <c r="K340" s="14">
        <v>0</v>
      </c>
      <c r="L340" s="13">
        <v>0</v>
      </c>
      <c r="M340" s="13">
        <v>345</v>
      </c>
      <c r="N340" s="3">
        <v>1663190.88</v>
      </c>
      <c r="O340" s="13">
        <v>0</v>
      </c>
      <c r="P340" s="13">
        <v>0</v>
      </c>
      <c r="Q340" s="13">
        <v>0</v>
      </c>
      <c r="R340" s="13">
        <v>0</v>
      </c>
      <c r="S340" s="13">
        <v>0</v>
      </c>
      <c r="T340" s="13">
        <v>0</v>
      </c>
      <c r="U340" s="13">
        <v>0</v>
      </c>
      <c r="V340" s="5">
        <f>N340/M340</f>
        <v>4820.8431304347823</v>
      </c>
    </row>
    <row r="341" spans="1:22" ht="40.15" customHeight="1" x14ac:dyDescent="0.25">
      <c r="A341" s="51" t="s">
        <v>124</v>
      </c>
      <c r="B341" s="51"/>
      <c r="C341" s="2">
        <f t="shared" ref="C341:U341" si="92">SUM(C342)</f>
        <v>2583463.5900000003</v>
      </c>
      <c r="D341" s="2">
        <f t="shared" si="92"/>
        <v>123025</v>
      </c>
      <c r="E341" s="2">
        <f t="shared" si="92"/>
        <v>123025</v>
      </c>
      <c r="F341" s="2">
        <f t="shared" si="92"/>
        <v>0</v>
      </c>
      <c r="G341" s="2">
        <f t="shared" si="92"/>
        <v>0</v>
      </c>
      <c r="H341" s="2">
        <f t="shared" si="92"/>
        <v>0</v>
      </c>
      <c r="I341" s="2">
        <f t="shared" si="92"/>
        <v>0</v>
      </c>
      <c r="J341" s="2">
        <f t="shared" si="92"/>
        <v>0</v>
      </c>
      <c r="K341" s="18">
        <f t="shared" si="92"/>
        <v>0</v>
      </c>
      <c r="L341" s="2">
        <f t="shared" si="92"/>
        <v>0</v>
      </c>
      <c r="M341" s="2">
        <f t="shared" si="92"/>
        <v>282</v>
      </c>
      <c r="N341" s="2">
        <f t="shared" si="92"/>
        <v>1456069.2</v>
      </c>
      <c r="O341" s="2">
        <f t="shared" si="92"/>
        <v>0</v>
      </c>
      <c r="P341" s="2">
        <f t="shared" si="92"/>
        <v>0</v>
      </c>
      <c r="Q341" s="2">
        <f t="shared" si="92"/>
        <v>318</v>
      </c>
      <c r="R341" s="2">
        <f t="shared" si="92"/>
        <v>954000</v>
      </c>
      <c r="S341" s="2">
        <f t="shared" si="92"/>
        <v>0</v>
      </c>
      <c r="T341" s="2">
        <f t="shared" si="92"/>
        <v>0</v>
      </c>
      <c r="U341" s="2">
        <f t="shared" si="92"/>
        <v>50369.39</v>
      </c>
      <c r="V341" s="20"/>
    </row>
    <row r="342" spans="1:22" ht="25.15" customHeight="1" x14ac:dyDescent="0.25">
      <c r="A342" s="15" t="s">
        <v>1249</v>
      </c>
      <c r="B342" s="24" t="s">
        <v>122</v>
      </c>
      <c r="C342" s="2">
        <f>D342+L342+N342+P342+R342+S342+T342+U342</f>
        <v>2583463.5900000003</v>
      </c>
      <c r="D342" s="3">
        <f>SUM(E342:J342)</f>
        <v>123025</v>
      </c>
      <c r="E342" s="3">
        <f>350*351.5</f>
        <v>123025</v>
      </c>
      <c r="F342" s="3">
        <f>800*0</f>
        <v>0</v>
      </c>
      <c r="G342" s="3">
        <f>350*0</f>
        <v>0</v>
      </c>
      <c r="H342" s="3">
        <f>400*0</f>
        <v>0</v>
      </c>
      <c r="I342" s="3">
        <f>250*0</f>
        <v>0</v>
      </c>
      <c r="J342" s="3">
        <v>0</v>
      </c>
      <c r="K342" s="14">
        <v>0</v>
      </c>
      <c r="L342" s="13">
        <v>0</v>
      </c>
      <c r="M342" s="13">
        <v>282</v>
      </c>
      <c r="N342" s="3">
        <v>1456069.2</v>
      </c>
      <c r="O342" s="13">
        <v>0</v>
      </c>
      <c r="P342" s="13">
        <v>0</v>
      </c>
      <c r="Q342" s="13">
        <v>318</v>
      </c>
      <c r="R342" s="3">
        <f>Q342*3000</f>
        <v>954000</v>
      </c>
      <c r="S342" s="13">
        <v>0</v>
      </c>
      <c r="T342" s="13">
        <v>0</v>
      </c>
      <c r="U342" s="13">
        <v>50369.39</v>
      </c>
      <c r="V342" s="5">
        <f>N342/M342</f>
        <v>5163.3659574468084</v>
      </c>
    </row>
    <row r="343" spans="1:22" ht="40.15" customHeight="1" x14ac:dyDescent="0.25">
      <c r="A343" s="51" t="s">
        <v>127</v>
      </c>
      <c r="B343" s="51"/>
      <c r="C343" s="2">
        <f t="shared" ref="C343:U343" si="93">SUM(C344:C345)</f>
        <v>6356362.3600000003</v>
      </c>
      <c r="D343" s="2">
        <f t="shared" si="93"/>
        <v>0</v>
      </c>
      <c r="E343" s="2">
        <f t="shared" si="93"/>
        <v>0</v>
      </c>
      <c r="F343" s="2">
        <f t="shared" si="93"/>
        <v>0</v>
      </c>
      <c r="G343" s="2">
        <f t="shared" si="93"/>
        <v>0</v>
      </c>
      <c r="H343" s="2">
        <f t="shared" si="93"/>
        <v>0</v>
      </c>
      <c r="I343" s="2">
        <f t="shared" si="93"/>
        <v>0</v>
      </c>
      <c r="J343" s="2">
        <f t="shared" si="93"/>
        <v>0</v>
      </c>
      <c r="K343" s="18">
        <f t="shared" si="93"/>
        <v>0</v>
      </c>
      <c r="L343" s="2">
        <f t="shared" si="93"/>
        <v>0</v>
      </c>
      <c r="M343" s="2">
        <f t="shared" si="93"/>
        <v>1732.06</v>
      </c>
      <c r="N343" s="2">
        <f t="shared" si="93"/>
        <v>6356362.3600000003</v>
      </c>
      <c r="O343" s="2">
        <f t="shared" si="93"/>
        <v>0</v>
      </c>
      <c r="P343" s="2">
        <f t="shared" si="93"/>
        <v>0</v>
      </c>
      <c r="Q343" s="2">
        <f t="shared" si="93"/>
        <v>0</v>
      </c>
      <c r="R343" s="2">
        <f t="shared" si="93"/>
        <v>0</v>
      </c>
      <c r="S343" s="2">
        <f t="shared" si="93"/>
        <v>0</v>
      </c>
      <c r="T343" s="2">
        <f t="shared" si="93"/>
        <v>0</v>
      </c>
      <c r="U343" s="2">
        <f t="shared" si="93"/>
        <v>0</v>
      </c>
    </row>
    <row r="344" spans="1:22" ht="25.15" customHeight="1" x14ac:dyDescent="0.25">
      <c r="A344" s="21" t="s">
        <v>1250</v>
      </c>
      <c r="B344" s="24" t="s">
        <v>910</v>
      </c>
      <c r="C344" s="2">
        <f>D344+L344+N344+P344+R344+S344+T344+U344</f>
        <v>4543533.3600000003</v>
      </c>
      <c r="D344" s="3">
        <f>SUM(E344:J344)</f>
        <v>0</v>
      </c>
      <c r="E344" s="3">
        <v>0</v>
      </c>
      <c r="F344" s="3">
        <v>0</v>
      </c>
      <c r="G344" s="3">
        <v>0</v>
      </c>
      <c r="H344" s="3">
        <v>0</v>
      </c>
      <c r="I344" s="3">
        <v>0</v>
      </c>
      <c r="J344" s="3">
        <v>0</v>
      </c>
      <c r="K344" s="4">
        <v>0</v>
      </c>
      <c r="L344" s="3">
        <v>0</v>
      </c>
      <c r="M344" s="3">
        <v>1388.6</v>
      </c>
      <c r="N344" s="3">
        <v>4543533.3600000003</v>
      </c>
      <c r="O344" s="3">
        <v>0</v>
      </c>
      <c r="P344" s="3">
        <v>0</v>
      </c>
      <c r="Q344" s="3">
        <v>0</v>
      </c>
      <c r="R344" s="13">
        <v>0</v>
      </c>
      <c r="S344" s="3">
        <v>0</v>
      </c>
      <c r="T344" s="3">
        <v>0</v>
      </c>
      <c r="U344" s="3">
        <v>0</v>
      </c>
      <c r="V344" s="5">
        <f>N344/M344</f>
        <v>3272.0246003168663</v>
      </c>
    </row>
    <row r="345" spans="1:22" ht="25.15" customHeight="1" x14ac:dyDescent="0.25">
      <c r="A345" s="21" t="s">
        <v>1251</v>
      </c>
      <c r="B345" s="24" t="s">
        <v>125</v>
      </c>
      <c r="C345" s="2">
        <f>D345+L345+N345+P345+R345+S345+T345+U345</f>
        <v>1812829</v>
      </c>
      <c r="D345" s="3">
        <f>SUM(E345:J345)</f>
        <v>0</v>
      </c>
      <c r="E345" s="3">
        <v>0</v>
      </c>
      <c r="F345" s="3">
        <v>0</v>
      </c>
      <c r="G345" s="3">
        <v>0</v>
      </c>
      <c r="H345" s="3">
        <v>0</v>
      </c>
      <c r="I345" s="3">
        <v>0</v>
      </c>
      <c r="J345" s="3">
        <v>0</v>
      </c>
      <c r="K345" s="4">
        <v>0</v>
      </c>
      <c r="L345" s="3">
        <v>0</v>
      </c>
      <c r="M345" s="3">
        <v>343.46</v>
      </c>
      <c r="N345" s="3">
        <v>1812829</v>
      </c>
      <c r="O345" s="3">
        <v>0</v>
      </c>
      <c r="P345" s="3">
        <v>0</v>
      </c>
      <c r="Q345" s="3">
        <v>0</v>
      </c>
      <c r="R345" s="13">
        <v>0</v>
      </c>
      <c r="S345" s="3">
        <v>0</v>
      </c>
      <c r="T345" s="3">
        <v>0</v>
      </c>
      <c r="U345" s="3">
        <v>0</v>
      </c>
      <c r="V345" s="5">
        <f>N345/M345</f>
        <v>5278.1371921038844</v>
      </c>
    </row>
    <row r="346" spans="1:22" ht="40.15" customHeight="1" x14ac:dyDescent="0.25">
      <c r="A346" s="51" t="s">
        <v>914</v>
      </c>
      <c r="B346" s="51"/>
      <c r="C346" s="2">
        <f t="shared" ref="C346:U346" si="94">SUM(C347)</f>
        <v>1450900</v>
      </c>
      <c r="D346" s="2">
        <f t="shared" si="94"/>
        <v>0</v>
      </c>
      <c r="E346" s="2">
        <f t="shared" si="94"/>
        <v>0</v>
      </c>
      <c r="F346" s="2">
        <f t="shared" si="94"/>
        <v>0</v>
      </c>
      <c r="G346" s="2">
        <f t="shared" si="94"/>
        <v>0</v>
      </c>
      <c r="H346" s="2">
        <f t="shared" si="94"/>
        <v>0</v>
      </c>
      <c r="I346" s="2">
        <f t="shared" si="94"/>
        <v>0</v>
      </c>
      <c r="J346" s="2">
        <f t="shared" si="94"/>
        <v>0</v>
      </c>
      <c r="K346" s="18">
        <f t="shared" si="94"/>
        <v>0</v>
      </c>
      <c r="L346" s="2">
        <f t="shared" si="94"/>
        <v>0</v>
      </c>
      <c r="M346" s="2">
        <f t="shared" si="94"/>
        <v>263.8</v>
      </c>
      <c r="N346" s="2">
        <f t="shared" si="94"/>
        <v>1450900</v>
      </c>
      <c r="O346" s="2">
        <f t="shared" si="94"/>
        <v>0</v>
      </c>
      <c r="P346" s="2">
        <f t="shared" si="94"/>
        <v>0</v>
      </c>
      <c r="Q346" s="2">
        <f t="shared" si="94"/>
        <v>0</v>
      </c>
      <c r="R346" s="2">
        <f t="shared" si="94"/>
        <v>0</v>
      </c>
      <c r="S346" s="2">
        <f t="shared" si="94"/>
        <v>0</v>
      </c>
      <c r="T346" s="2">
        <f t="shared" si="94"/>
        <v>0</v>
      </c>
      <c r="U346" s="2">
        <f t="shared" si="94"/>
        <v>0</v>
      </c>
      <c r="V346" s="20">
        <f>C346</f>
        <v>1450900</v>
      </c>
    </row>
    <row r="347" spans="1:22" ht="25.15" customHeight="1" x14ac:dyDescent="0.25">
      <c r="A347" s="21" t="s">
        <v>1253</v>
      </c>
      <c r="B347" s="24" t="s">
        <v>126</v>
      </c>
      <c r="C347" s="2">
        <f>D347+L347+N347+P347+R347+S347+T347+U347</f>
        <v>1450900</v>
      </c>
      <c r="D347" s="3">
        <f>SUM(E347:J347)</f>
        <v>0</v>
      </c>
      <c r="E347" s="3">
        <v>0</v>
      </c>
      <c r="F347" s="3">
        <v>0</v>
      </c>
      <c r="G347" s="3">
        <v>0</v>
      </c>
      <c r="H347" s="3">
        <v>0</v>
      </c>
      <c r="I347" s="3">
        <v>0</v>
      </c>
      <c r="J347" s="3">
        <v>0</v>
      </c>
      <c r="K347" s="4">
        <v>0</v>
      </c>
      <c r="L347" s="3">
        <v>0</v>
      </c>
      <c r="M347" s="3">
        <v>263.8</v>
      </c>
      <c r="N347" s="3">
        <f>M347*5500</f>
        <v>1450900</v>
      </c>
      <c r="O347" s="3">
        <v>0</v>
      </c>
      <c r="P347" s="3">
        <v>0</v>
      </c>
      <c r="Q347" s="3">
        <v>0</v>
      </c>
      <c r="R347" s="13">
        <v>0</v>
      </c>
      <c r="S347" s="3">
        <v>0</v>
      </c>
      <c r="T347" s="3">
        <v>0</v>
      </c>
      <c r="U347" s="3">
        <v>0</v>
      </c>
      <c r="V347" s="5">
        <f>N347/M347</f>
        <v>5500</v>
      </c>
    </row>
    <row r="348" spans="1:22" ht="45" customHeight="1" x14ac:dyDescent="0.25">
      <c r="A348" s="51" t="s">
        <v>129</v>
      </c>
      <c r="B348" s="51"/>
      <c r="C348" s="2">
        <f t="shared" ref="C348:U348" si="95">SUM(C349:C351)</f>
        <v>3371774.4000000004</v>
      </c>
      <c r="D348" s="2">
        <f t="shared" si="95"/>
        <v>0</v>
      </c>
      <c r="E348" s="2">
        <f t="shared" si="95"/>
        <v>0</v>
      </c>
      <c r="F348" s="2">
        <f t="shared" si="95"/>
        <v>0</v>
      </c>
      <c r="G348" s="2">
        <f t="shared" si="95"/>
        <v>0</v>
      </c>
      <c r="H348" s="2">
        <f t="shared" si="95"/>
        <v>0</v>
      </c>
      <c r="I348" s="2">
        <f t="shared" si="95"/>
        <v>0</v>
      </c>
      <c r="J348" s="2">
        <f t="shared" si="95"/>
        <v>0</v>
      </c>
      <c r="K348" s="18">
        <f t="shared" si="95"/>
        <v>0</v>
      </c>
      <c r="L348" s="2">
        <f t="shared" si="95"/>
        <v>0</v>
      </c>
      <c r="M348" s="2">
        <f t="shared" si="95"/>
        <v>994.41000000000008</v>
      </c>
      <c r="N348" s="2">
        <f t="shared" si="95"/>
        <v>3371774.4000000004</v>
      </c>
      <c r="O348" s="2">
        <f t="shared" si="95"/>
        <v>0</v>
      </c>
      <c r="P348" s="2">
        <f t="shared" si="95"/>
        <v>0</v>
      </c>
      <c r="Q348" s="2">
        <f t="shared" si="95"/>
        <v>0</v>
      </c>
      <c r="R348" s="2">
        <f t="shared" si="95"/>
        <v>0</v>
      </c>
      <c r="S348" s="2">
        <f t="shared" si="95"/>
        <v>0</v>
      </c>
      <c r="T348" s="2">
        <f t="shared" si="95"/>
        <v>0</v>
      </c>
      <c r="U348" s="2">
        <f t="shared" si="95"/>
        <v>0</v>
      </c>
    </row>
    <row r="349" spans="1:22" ht="25.15" customHeight="1" x14ac:dyDescent="0.25">
      <c r="A349" s="15" t="s">
        <v>1252</v>
      </c>
      <c r="B349" s="24" t="s">
        <v>840</v>
      </c>
      <c r="C349" s="2">
        <f>D349+L349+N349+P349+R349+S349+T349+U349</f>
        <v>1121745.6000000001</v>
      </c>
      <c r="D349" s="3">
        <f>SUM(E349:J349)</f>
        <v>0</v>
      </c>
      <c r="E349" s="3">
        <v>0</v>
      </c>
      <c r="F349" s="3">
        <v>0</v>
      </c>
      <c r="G349" s="3">
        <v>0</v>
      </c>
      <c r="H349" s="3">
        <v>0</v>
      </c>
      <c r="I349" s="3">
        <v>0</v>
      </c>
      <c r="J349" s="3">
        <v>0</v>
      </c>
      <c r="K349" s="14">
        <v>0</v>
      </c>
      <c r="L349" s="13">
        <v>0</v>
      </c>
      <c r="M349" s="13">
        <v>331.47</v>
      </c>
      <c r="N349" s="3">
        <v>1121745.6000000001</v>
      </c>
      <c r="O349" s="13">
        <v>0</v>
      </c>
      <c r="P349" s="13">
        <v>0</v>
      </c>
      <c r="Q349" s="13">
        <v>0</v>
      </c>
      <c r="R349" s="13">
        <v>0</v>
      </c>
      <c r="S349" s="13">
        <v>0</v>
      </c>
      <c r="T349" s="13">
        <v>0</v>
      </c>
      <c r="U349" s="13">
        <v>0</v>
      </c>
      <c r="V349" s="5">
        <f>N349/M349</f>
        <v>3384.1542221015475</v>
      </c>
    </row>
    <row r="350" spans="1:22" ht="25.15" customHeight="1" x14ac:dyDescent="0.25">
      <c r="A350" s="15" t="s">
        <v>1254</v>
      </c>
      <c r="B350" s="24" t="s">
        <v>133</v>
      </c>
      <c r="C350" s="2">
        <f>D350+L350+N350+P350+R350+S350+T350+U350</f>
        <v>1121002.8</v>
      </c>
      <c r="D350" s="3">
        <f>SUM(E350:J350)</f>
        <v>0</v>
      </c>
      <c r="E350" s="3">
        <v>0</v>
      </c>
      <c r="F350" s="3">
        <v>0</v>
      </c>
      <c r="G350" s="3">
        <v>0</v>
      </c>
      <c r="H350" s="3">
        <v>0</v>
      </c>
      <c r="I350" s="3">
        <v>0</v>
      </c>
      <c r="J350" s="3">
        <v>0</v>
      </c>
      <c r="K350" s="4">
        <v>0</v>
      </c>
      <c r="L350" s="3">
        <v>0</v>
      </c>
      <c r="M350" s="3">
        <v>331.47</v>
      </c>
      <c r="N350" s="3">
        <v>1121002.8</v>
      </c>
      <c r="O350" s="3">
        <v>0</v>
      </c>
      <c r="P350" s="3">
        <v>0</v>
      </c>
      <c r="Q350" s="3">
        <v>0</v>
      </c>
      <c r="R350" s="3">
        <v>0</v>
      </c>
      <c r="S350" s="3">
        <v>0</v>
      </c>
      <c r="T350" s="3">
        <v>0</v>
      </c>
      <c r="U350" s="3">
        <v>0</v>
      </c>
      <c r="V350" s="5">
        <f>N350/M350</f>
        <v>3381.9132953208432</v>
      </c>
    </row>
    <row r="351" spans="1:22" ht="25.15" customHeight="1" x14ac:dyDescent="0.25">
      <c r="A351" s="15" t="s">
        <v>1255</v>
      </c>
      <c r="B351" s="24" t="s">
        <v>134</v>
      </c>
      <c r="C351" s="2">
        <f>D351+L351+N351+P351+R351+S351+T351+U351</f>
        <v>1129026</v>
      </c>
      <c r="D351" s="3">
        <f>SUM(E351:J351)</f>
        <v>0</v>
      </c>
      <c r="E351" s="3">
        <v>0</v>
      </c>
      <c r="F351" s="3">
        <v>0</v>
      </c>
      <c r="G351" s="3">
        <v>0</v>
      </c>
      <c r="H351" s="3">
        <v>0</v>
      </c>
      <c r="I351" s="3">
        <v>0</v>
      </c>
      <c r="J351" s="3">
        <v>0</v>
      </c>
      <c r="K351" s="4">
        <v>0</v>
      </c>
      <c r="L351" s="3">
        <v>0</v>
      </c>
      <c r="M351" s="3">
        <v>331.47</v>
      </c>
      <c r="N351" s="3">
        <v>1129026</v>
      </c>
      <c r="O351" s="3">
        <v>0</v>
      </c>
      <c r="P351" s="3">
        <v>0</v>
      </c>
      <c r="Q351" s="3">
        <v>0</v>
      </c>
      <c r="R351" s="3">
        <v>0</v>
      </c>
      <c r="S351" s="3">
        <v>0</v>
      </c>
      <c r="T351" s="3">
        <v>0</v>
      </c>
      <c r="U351" s="3">
        <v>0</v>
      </c>
      <c r="V351" s="5">
        <f>N351/M351</f>
        <v>3406.1182007421485</v>
      </c>
    </row>
    <row r="352" spans="1:22" ht="45" customHeight="1" x14ac:dyDescent="0.25">
      <c r="A352" s="51" t="s">
        <v>135</v>
      </c>
      <c r="B352" s="51"/>
      <c r="C352" s="2">
        <f t="shared" ref="C352:U352" si="96">SUM(C353:C355)</f>
        <v>6344967.8000000007</v>
      </c>
      <c r="D352" s="2">
        <f t="shared" si="96"/>
        <v>0</v>
      </c>
      <c r="E352" s="2">
        <f t="shared" si="96"/>
        <v>0</v>
      </c>
      <c r="F352" s="2">
        <f t="shared" si="96"/>
        <v>0</v>
      </c>
      <c r="G352" s="2">
        <f t="shared" si="96"/>
        <v>0</v>
      </c>
      <c r="H352" s="2">
        <f t="shared" si="96"/>
        <v>0</v>
      </c>
      <c r="I352" s="2">
        <f t="shared" si="96"/>
        <v>0</v>
      </c>
      <c r="J352" s="2">
        <f t="shared" si="96"/>
        <v>0</v>
      </c>
      <c r="K352" s="18">
        <f t="shared" si="96"/>
        <v>0</v>
      </c>
      <c r="L352" s="2">
        <f t="shared" si="96"/>
        <v>0</v>
      </c>
      <c r="M352" s="2">
        <f t="shared" si="96"/>
        <v>1158.75</v>
      </c>
      <c r="N352" s="2">
        <f t="shared" si="96"/>
        <v>6344967.8000000007</v>
      </c>
      <c r="O352" s="2">
        <f t="shared" si="96"/>
        <v>0</v>
      </c>
      <c r="P352" s="2">
        <f t="shared" si="96"/>
        <v>0</v>
      </c>
      <c r="Q352" s="2">
        <f t="shared" si="96"/>
        <v>0</v>
      </c>
      <c r="R352" s="2">
        <f t="shared" si="96"/>
        <v>0</v>
      </c>
      <c r="S352" s="2">
        <f t="shared" si="96"/>
        <v>0</v>
      </c>
      <c r="T352" s="2">
        <f t="shared" si="96"/>
        <v>0</v>
      </c>
      <c r="U352" s="2">
        <f t="shared" si="96"/>
        <v>0</v>
      </c>
    </row>
    <row r="353" spans="1:22" ht="34.9" customHeight="1" x14ac:dyDescent="0.25">
      <c r="A353" s="15" t="s">
        <v>1256</v>
      </c>
      <c r="B353" s="24" t="s">
        <v>878</v>
      </c>
      <c r="C353" s="2">
        <f>D353+L353+N353+P353+R353+S353+T353+U353</f>
        <v>2102156.6</v>
      </c>
      <c r="D353" s="3">
        <f>SUM(E353:J353)</f>
        <v>0</v>
      </c>
      <c r="E353" s="3">
        <v>0</v>
      </c>
      <c r="F353" s="3">
        <v>0</v>
      </c>
      <c r="G353" s="3">
        <v>0</v>
      </c>
      <c r="H353" s="3">
        <v>0</v>
      </c>
      <c r="I353" s="3">
        <v>0</v>
      </c>
      <c r="J353" s="3">
        <v>0</v>
      </c>
      <c r="K353" s="4">
        <v>0</v>
      </c>
      <c r="L353" s="3">
        <v>0</v>
      </c>
      <c r="M353" s="3">
        <v>384.85</v>
      </c>
      <c r="N353" s="13">
        <v>2102156.6</v>
      </c>
      <c r="O353" s="3">
        <v>0</v>
      </c>
      <c r="P353" s="3">
        <v>0</v>
      </c>
      <c r="Q353" s="3">
        <v>0</v>
      </c>
      <c r="R353" s="3">
        <v>0</v>
      </c>
      <c r="S353" s="3">
        <v>0</v>
      </c>
      <c r="T353" s="3">
        <v>0</v>
      </c>
      <c r="U353" s="3">
        <v>0</v>
      </c>
      <c r="V353" s="5">
        <f>N353/M353</f>
        <v>5462.2751721449913</v>
      </c>
    </row>
    <row r="354" spans="1:22" ht="25.15" customHeight="1" x14ac:dyDescent="0.25">
      <c r="A354" s="15" t="s">
        <v>1257</v>
      </c>
      <c r="B354" s="24" t="s">
        <v>136</v>
      </c>
      <c r="C354" s="2">
        <f>D354+L354+N354+P354+R354+S354+T354+U354</f>
        <v>2130041.2000000002</v>
      </c>
      <c r="D354" s="3">
        <f>SUM(E354:J354)</f>
        <v>0</v>
      </c>
      <c r="E354" s="3">
        <v>0</v>
      </c>
      <c r="F354" s="3">
        <v>0</v>
      </c>
      <c r="G354" s="3">
        <v>0</v>
      </c>
      <c r="H354" s="3">
        <v>0</v>
      </c>
      <c r="I354" s="3">
        <v>0</v>
      </c>
      <c r="J354" s="3">
        <v>0</v>
      </c>
      <c r="K354" s="4">
        <v>0</v>
      </c>
      <c r="L354" s="3">
        <v>0</v>
      </c>
      <c r="M354" s="3">
        <v>389.76</v>
      </c>
      <c r="N354" s="3">
        <v>2130041.2000000002</v>
      </c>
      <c r="O354" s="3">
        <v>0</v>
      </c>
      <c r="P354" s="3">
        <v>0</v>
      </c>
      <c r="Q354" s="3">
        <v>0</v>
      </c>
      <c r="R354" s="3">
        <v>0</v>
      </c>
      <c r="S354" s="3">
        <v>0</v>
      </c>
      <c r="T354" s="3">
        <v>0</v>
      </c>
      <c r="U354" s="3">
        <v>0</v>
      </c>
      <c r="V354" s="5">
        <f>N354/M354</f>
        <v>5465.0071839080465</v>
      </c>
    </row>
    <row r="355" spans="1:22" ht="25.15" customHeight="1" x14ac:dyDescent="0.25">
      <c r="A355" s="15" t="s">
        <v>1258</v>
      </c>
      <c r="B355" s="24" t="s">
        <v>832</v>
      </c>
      <c r="C355" s="2">
        <f>D355+L355+N355+P355+R355+S355+T355+U355</f>
        <v>2112770</v>
      </c>
      <c r="D355" s="3">
        <f>SUM(E355:J355)</f>
        <v>0</v>
      </c>
      <c r="E355" s="3">
        <v>0</v>
      </c>
      <c r="F355" s="3">
        <v>0</v>
      </c>
      <c r="G355" s="3">
        <v>0</v>
      </c>
      <c r="H355" s="3">
        <v>0</v>
      </c>
      <c r="I355" s="3">
        <v>0</v>
      </c>
      <c r="J355" s="3">
        <v>0</v>
      </c>
      <c r="K355" s="4">
        <v>0</v>
      </c>
      <c r="L355" s="3">
        <v>0</v>
      </c>
      <c r="M355" s="3">
        <v>384.14</v>
      </c>
      <c r="N355" s="3">
        <v>2112770</v>
      </c>
      <c r="O355" s="3">
        <v>0</v>
      </c>
      <c r="P355" s="3">
        <v>0</v>
      </c>
      <c r="Q355" s="3">
        <v>0</v>
      </c>
      <c r="R355" s="3">
        <v>0</v>
      </c>
      <c r="S355" s="3">
        <v>0</v>
      </c>
      <c r="T355" s="3">
        <v>0</v>
      </c>
      <c r="U355" s="3">
        <v>0</v>
      </c>
      <c r="V355" s="5">
        <f>N355/M355</f>
        <v>5500</v>
      </c>
    </row>
    <row r="356" spans="1:22" ht="45" customHeight="1" x14ac:dyDescent="0.25">
      <c r="A356" s="51" t="s">
        <v>144</v>
      </c>
      <c r="B356" s="51"/>
      <c r="C356" s="2">
        <f t="shared" ref="C356:U356" si="97">SUM(C357:C359)</f>
        <v>10538448.530000001</v>
      </c>
      <c r="D356" s="2">
        <f t="shared" si="97"/>
        <v>0</v>
      </c>
      <c r="E356" s="2">
        <f t="shared" si="97"/>
        <v>0</v>
      </c>
      <c r="F356" s="2">
        <f t="shared" si="97"/>
        <v>0</v>
      </c>
      <c r="G356" s="2">
        <f t="shared" si="97"/>
        <v>0</v>
      </c>
      <c r="H356" s="2">
        <f t="shared" si="97"/>
        <v>0</v>
      </c>
      <c r="I356" s="2">
        <f t="shared" si="97"/>
        <v>0</v>
      </c>
      <c r="J356" s="2">
        <f t="shared" si="97"/>
        <v>0</v>
      </c>
      <c r="K356" s="18">
        <f t="shared" si="97"/>
        <v>0</v>
      </c>
      <c r="L356" s="2">
        <f t="shared" si="97"/>
        <v>0</v>
      </c>
      <c r="M356" s="2">
        <f t="shared" si="97"/>
        <v>616.54999999999995</v>
      </c>
      <c r="N356" s="2">
        <f t="shared" si="97"/>
        <v>3240068.4</v>
      </c>
      <c r="O356" s="2">
        <f t="shared" si="97"/>
        <v>0</v>
      </c>
      <c r="P356" s="2">
        <f t="shared" si="97"/>
        <v>0</v>
      </c>
      <c r="Q356" s="2">
        <f t="shared" si="97"/>
        <v>2482.8000000000002</v>
      </c>
      <c r="R356" s="2">
        <f t="shared" si="97"/>
        <v>7030394.4000000004</v>
      </c>
      <c r="S356" s="2">
        <f t="shared" si="97"/>
        <v>0</v>
      </c>
      <c r="T356" s="2">
        <f t="shared" si="97"/>
        <v>0</v>
      </c>
      <c r="U356" s="2">
        <f t="shared" si="97"/>
        <v>267985.73</v>
      </c>
    </row>
    <row r="357" spans="1:22" ht="25.15" customHeight="1" x14ac:dyDescent="0.25">
      <c r="A357" s="21" t="s">
        <v>1259</v>
      </c>
      <c r="B357" s="24" t="s">
        <v>145</v>
      </c>
      <c r="C357" s="2">
        <f>D357+L357+N357+P357+R357+S357+T357+U357</f>
        <v>267985.73</v>
      </c>
      <c r="D357" s="3">
        <f>SUM(E357:J357)</f>
        <v>0</v>
      </c>
      <c r="E357" s="3">
        <v>0</v>
      </c>
      <c r="F357" s="3">
        <v>0</v>
      </c>
      <c r="G357" s="3">
        <v>0</v>
      </c>
      <c r="H357" s="3">
        <v>0</v>
      </c>
      <c r="I357" s="3">
        <v>0</v>
      </c>
      <c r="J357" s="3">
        <v>0</v>
      </c>
      <c r="K357" s="4">
        <v>0</v>
      </c>
      <c r="L357" s="3">
        <v>0</v>
      </c>
      <c r="M357" s="3">
        <v>0</v>
      </c>
      <c r="N357" s="3">
        <v>0</v>
      </c>
      <c r="O357" s="3">
        <v>0</v>
      </c>
      <c r="P357" s="3">
        <v>0</v>
      </c>
      <c r="Q357" s="3">
        <v>0</v>
      </c>
      <c r="R357" s="3">
        <v>0</v>
      </c>
      <c r="S357" s="3">
        <v>0</v>
      </c>
      <c r="T357" s="3">
        <v>0</v>
      </c>
      <c r="U357" s="3">
        <v>267985.73</v>
      </c>
      <c r="V357" s="5" t="e">
        <f>N357/M357</f>
        <v>#DIV/0!</v>
      </c>
    </row>
    <row r="358" spans="1:22" ht="25.15" customHeight="1" x14ac:dyDescent="0.25">
      <c r="A358" s="21" t="s">
        <v>1260</v>
      </c>
      <c r="B358" s="24" t="s">
        <v>811</v>
      </c>
      <c r="C358" s="2">
        <f>D358+L358+N358+P358+R358+S358+T358+U358</f>
        <v>3240068.4</v>
      </c>
      <c r="D358" s="3">
        <f>SUM(E358:J358)</f>
        <v>0</v>
      </c>
      <c r="E358" s="3">
        <v>0</v>
      </c>
      <c r="F358" s="3">
        <v>0</v>
      </c>
      <c r="G358" s="3">
        <v>0</v>
      </c>
      <c r="H358" s="3">
        <v>0</v>
      </c>
      <c r="I358" s="3">
        <v>0</v>
      </c>
      <c r="J358" s="3">
        <v>0</v>
      </c>
      <c r="K358" s="4">
        <v>0</v>
      </c>
      <c r="L358" s="3">
        <v>0</v>
      </c>
      <c r="M358" s="3">
        <v>616.54999999999995</v>
      </c>
      <c r="N358" s="3">
        <v>3240068.4</v>
      </c>
      <c r="O358" s="3">
        <v>0</v>
      </c>
      <c r="P358" s="3">
        <v>0</v>
      </c>
      <c r="Q358" s="3">
        <v>0</v>
      </c>
      <c r="R358" s="3">
        <v>0</v>
      </c>
      <c r="S358" s="3">
        <v>0</v>
      </c>
      <c r="T358" s="3">
        <v>0</v>
      </c>
      <c r="U358" s="3">
        <v>0</v>
      </c>
      <c r="V358" s="5">
        <f>N358/M358</f>
        <v>5255.1591922796206</v>
      </c>
    </row>
    <row r="359" spans="1:22" ht="25.15" customHeight="1" x14ac:dyDescent="0.25">
      <c r="A359" s="21" t="s">
        <v>1261</v>
      </c>
      <c r="B359" s="24" t="s">
        <v>812</v>
      </c>
      <c r="C359" s="2">
        <f>D359+L359+N359+P359+R359+S359+T359+U359</f>
        <v>7030394.4000000004</v>
      </c>
      <c r="D359" s="3">
        <f>SUM(E359:J359)</f>
        <v>0</v>
      </c>
      <c r="E359" s="3">
        <v>0</v>
      </c>
      <c r="F359" s="3">
        <v>0</v>
      </c>
      <c r="G359" s="3">
        <v>0</v>
      </c>
      <c r="H359" s="3">
        <v>0</v>
      </c>
      <c r="I359" s="3">
        <v>0</v>
      </c>
      <c r="J359" s="3">
        <v>0</v>
      </c>
      <c r="K359" s="4">
        <v>0</v>
      </c>
      <c r="L359" s="3">
        <v>0</v>
      </c>
      <c r="M359" s="3">
        <v>0</v>
      </c>
      <c r="N359" s="3">
        <v>0</v>
      </c>
      <c r="O359" s="3">
        <v>0</v>
      </c>
      <c r="P359" s="3">
        <v>0</v>
      </c>
      <c r="Q359" s="3">
        <v>2482.8000000000002</v>
      </c>
      <c r="R359" s="3">
        <v>7030394.4000000004</v>
      </c>
      <c r="S359" s="3">
        <v>0</v>
      </c>
      <c r="T359" s="3">
        <v>0</v>
      </c>
      <c r="U359" s="3">
        <v>0</v>
      </c>
      <c r="V359" s="5" t="e">
        <f>N359/M359</f>
        <v>#DIV/0!</v>
      </c>
    </row>
    <row r="360" spans="1:22" ht="45" customHeight="1" x14ac:dyDescent="0.25">
      <c r="A360" s="51" t="s">
        <v>925</v>
      </c>
      <c r="B360" s="51"/>
      <c r="C360" s="2">
        <f t="shared" ref="C360:U360" si="98">SUM(C361)</f>
        <v>1411160.4</v>
      </c>
      <c r="D360" s="2">
        <f t="shared" si="98"/>
        <v>0</v>
      </c>
      <c r="E360" s="2">
        <f t="shared" si="98"/>
        <v>0</v>
      </c>
      <c r="F360" s="2">
        <f t="shared" si="98"/>
        <v>0</v>
      </c>
      <c r="G360" s="2">
        <f t="shared" si="98"/>
        <v>0</v>
      </c>
      <c r="H360" s="2">
        <f t="shared" si="98"/>
        <v>0</v>
      </c>
      <c r="I360" s="2">
        <f t="shared" si="98"/>
        <v>0</v>
      </c>
      <c r="J360" s="2">
        <f t="shared" si="98"/>
        <v>0</v>
      </c>
      <c r="K360" s="18">
        <f t="shared" si="98"/>
        <v>0</v>
      </c>
      <c r="L360" s="2">
        <f t="shared" si="98"/>
        <v>0</v>
      </c>
      <c r="M360" s="2">
        <f t="shared" si="98"/>
        <v>261.86</v>
      </c>
      <c r="N360" s="2">
        <f t="shared" si="98"/>
        <v>1411160.4</v>
      </c>
      <c r="O360" s="2">
        <f t="shared" si="98"/>
        <v>0</v>
      </c>
      <c r="P360" s="2">
        <f t="shared" si="98"/>
        <v>0</v>
      </c>
      <c r="Q360" s="2">
        <f t="shared" si="98"/>
        <v>0</v>
      </c>
      <c r="R360" s="2">
        <f t="shared" si="98"/>
        <v>0</v>
      </c>
      <c r="S360" s="2">
        <f t="shared" si="98"/>
        <v>0</v>
      </c>
      <c r="T360" s="2">
        <f t="shared" si="98"/>
        <v>0</v>
      </c>
      <c r="U360" s="2">
        <f t="shared" si="98"/>
        <v>0</v>
      </c>
    </row>
    <row r="361" spans="1:22" ht="25.15" customHeight="1" x14ac:dyDescent="0.25">
      <c r="A361" s="21" t="s">
        <v>1262</v>
      </c>
      <c r="B361" s="24" t="s">
        <v>150</v>
      </c>
      <c r="C361" s="2">
        <f>D361+L361+N361+P361+R361+S361+T361+U361</f>
        <v>1411160.4</v>
      </c>
      <c r="D361" s="3">
        <f>SUM(E361:J361)</f>
        <v>0</v>
      </c>
      <c r="E361" s="3">
        <v>0</v>
      </c>
      <c r="F361" s="3">
        <v>0</v>
      </c>
      <c r="G361" s="3">
        <v>0</v>
      </c>
      <c r="H361" s="3">
        <v>0</v>
      </c>
      <c r="I361" s="3">
        <v>0</v>
      </c>
      <c r="J361" s="3">
        <v>0</v>
      </c>
      <c r="K361" s="4">
        <v>0</v>
      </c>
      <c r="L361" s="3">
        <v>0</v>
      </c>
      <c r="M361" s="3">
        <v>261.86</v>
      </c>
      <c r="N361" s="3">
        <v>1411160.4</v>
      </c>
      <c r="O361" s="3">
        <v>0</v>
      </c>
      <c r="P361" s="3">
        <v>0</v>
      </c>
      <c r="Q361" s="3">
        <v>0</v>
      </c>
      <c r="R361" s="13">
        <v>0</v>
      </c>
      <c r="S361" s="3">
        <v>0</v>
      </c>
      <c r="T361" s="3">
        <v>0</v>
      </c>
      <c r="U361" s="3">
        <v>0</v>
      </c>
      <c r="V361" s="5">
        <f>N361/M361</f>
        <v>5388.9880088596956</v>
      </c>
    </row>
    <row r="362" spans="1:22" ht="45" customHeight="1" x14ac:dyDescent="0.25">
      <c r="A362" s="51" t="s">
        <v>154</v>
      </c>
      <c r="B362" s="51"/>
      <c r="C362" s="2">
        <f t="shared" ref="C362:U362" si="99">SUM(C363:C381)</f>
        <v>104574296.73999999</v>
      </c>
      <c r="D362" s="2">
        <f t="shared" si="99"/>
        <v>5442082.3500000006</v>
      </c>
      <c r="E362" s="2">
        <f t="shared" si="99"/>
        <v>2269007.5</v>
      </c>
      <c r="F362" s="2">
        <f t="shared" si="99"/>
        <v>2367392.58</v>
      </c>
      <c r="G362" s="2">
        <f t="shared" si="99"/>
        <v>247933.27000000002</v>
      </c>
      <c r="H362" s="2">
        <f t="shared" si="99"/>
        <v>38518.519999999997</v>
      </c>
      <c r="I362" s="2">
        <f t="shared" si="99"/>
        <v>519230.48</v>
      </c>
      <c r="J362" s="2">
        <f t="shared" si="99"/>
        <v>0</v>
      </c>
      <c r="K362" s="18">
        <f t="shared" si="99"/>
        <v>4</v>
      </c>
      <c r="L362" s="2">
        <f t="shared" si="99"/>
        <v>7524993.0800000001</v>
      </c>
      <c r="M362" s="2">
        <f t="shared" si="99"/>
        <v>10841.26</v>
      </c>
      <c r="N362" s="2">
        <f t="shared" si="99"/>
        <v>45370759.469999991</v>
      </c>
      <c r="O362" s="2">
        <f t="shared" si="99"/>
        <v>0</v>
      </c>
      <c r="P362" s="2">
        <f t="shared" si="99"/>
        <v>0</v>
      </c>
      <c r="Q362" s="2">
        <f t="shared" si="99"/>
        <v>19134.09</v>
      </c>
      <c r="R362" s="2">
        <f t="shared" si="99"/>
        <v>44748083.650000006</v>
      </c>
      <c r="S362" s="2">
        <f t="shared" si="99"/>
        <v>0</v>
      </c>
      <c r="T362" s="2">
        <f t="shared" si="99"/>
        <v>0</v>
      </c>
      <c r="U362" s="2">
        <f t="shared" si="99"/>
        <v>1488378.19</v>
      </c>
    </row>
    <row r="363" spans="1:22" ht="24" customHeight="1" x14ac:dyDescent="0.25">
      <c r="A363" s="21" t="s">
        <v>1263</v>
      </c>
      <c r="B363" s="24" t="s">
        <v>871</v>
      </c>
      <c r="C363" s="2">
        <f t="shared" ref="C363:C381" si="100">D363+L363+N363+P363+R363+S363+T363+U363</f>
        <v>2838709.2</v>
      </c>
      <c r="D363" s="3">
        <f t="shared" ref="D363:D381" si="101">SUM(E363:J363)</f>
        <v>0</v>
      </c>
      <c r="E363" s="3">
        <v>0</v>
      </c>
      <c r="F363" s="3">
        <v>0</v>
      </c>
      <c r="G363" s="3">
        <v>0</v>
      </c>
      <c r="H363" s="3">
        <v>0</v>
      </c>
      <c r="I363" s="3">
        <v>0</v>
      </c>
      <c r="J363" s="3">
        <v>0</v>
      </c>
      <c r="K363" s="4">
        <v>0</v>
      </c>
      <c r="L363" s="3">
        <v>0</v>
      </c>
      <c r="M363" s="13">
        <v>1009.2</v>
      </c>
      <c r="N363" s="13">
        <v>2838709.2</v>
      </c>
      <c r="O363" s="3">
        <v>0</v>
      </c>
      <c r="P363" s="3">
        <v>0</v>
      </c>
      <c r="Q363" s="3">
        <v>0</v>
      </c>
      <c r="R363" s="3">
        <v>0</v>
      </c>
      <c r="S363" s="3">
        <v>0</v>
      </c>
      <c r="T363" s="3">
        <v>0</v>
      </c>
      <c r="U363" s="3">
        <v>0</v>
      </c>
      <c r="V363" s="5">
        <f t="shared" ref="V363:V381" si="102">N363/M363</f>
        <v>2812.8311533888227</v>
      </c>
    </row>
    <row r="364" spans="1:22" ht="24" customHeight="1" x14ac:dyDescent="0.25">
      <c r="A364" s="21" t="s">
        <v>1264</v>
      </c>
      <c r="B364" s="25" t="s">
        <v>159</v>
      </c>
      <c r="C364" s="2">
        <f t="shared" si="100"/>
        <v>15553352</v>
      </c>
      <c r="D364" s="3">
        <f t="shared" si="101"/>
        <v>0</v>
      </c>
      <c r="E364" s="3">
        <v>0</v>
      </c>
      <c r="F364" s="3">
        <v>0</v>
      </c>
      <c r="G364" s="3">
        <v>0</v>
      </c>
      <c r="H364" s="3">
        <v>0</v>
      </c>
      <c r="I364" s="3">
        <v>0</v>
      </c>
      <c r="J364" s="3">
        <v>0</v>
      </c>
      <c r="K364" s="4">
        <v>0</v>
      </c>
      <c r="L364" s="3">
        <v>0</v>
      </c>
      <c r="M364" s="3">
        <v>1670</v>
      </c>
      <c r="N364" s="3">
        <v>5733941.5999999996</v>
      </c>
      <c r="O364" s="3">
        <v>0</v>
      </c>
      <c r="P364" s="3">
        <v>0</v>
      </c>
      <c r="Q364" s="13">
        <v>3905.8</v>
      </c>
      <c r="R364" s="3">
        <v>9819410.4000000004</v>
      </c>
      <c r="S364" s="3">
        <v>0</v>
      </c>
      <c r="T364" s="3">
        <v>0</v>
      </c>
      <c r="U364" s="3">
        <v>0</v>
      </c>
      <c r="V364" s="5">
        <f t="shared" si="102"/>
        <v>3433.4979640718561</v>
      </c>
    </row>
    <row r="365" spans="1:22" ht="24" customHeight="1" x14ac:dyDescent="0.25">
      <c r="A365" s="21" t="s">
        <v>1265</v>
      </c>
      <c r="B365" s="24" t="s">
        <v>883</v>
      </c>
      <c r="C365" s="2">
        <f t="shared" si="100"/>
        <v>6888850.3900000006</v>
      </c>
      <c r="D365" s="3">
        <f t="shared" si="101"/>
        <v>0</v>
      </c>
      <c r="E365" s="3">
        <v>0</v>
      </c>
      <c r="F365" s="3">
        <v>0</v>
      </c>
      <c r="G365" s="3">
        <v>0</v>
      </c>
      <c r="H365" s="3">
        <v>0</v>
      </c>
      <c r="I365" s="3">
        <v>0</v>
      </c>
      <c r="J365" s="3">
        <v>0</v>
      </c>
      <c r="K365" s="4">
        <v>0</v>
      </c>
      <c r="L365" s="13">
        <v>0</v>
      </c>
      <c r="M365" s="3">
        <v>1620.3</v>
      </c>
      <c r="N365" s="13">
        <v>4261730.9400000004</v>
      </c>
      <c r="O365" s="3">
        <v>0</v>
      </c>
      <c r="P365" s="3">
        <v>0</v>
      </c>
      <c r="Q365" s="3">
        <v>3561</v>
      </c>
      <c r="R365" s="3">
        <v>2627119.4500000002</v>
      </c>
      <c r="S365" s="3">
        <v>0</v>
      </c>
      <c r="T365" s="3">
        <v>0</v>
      </c>
      <c r="U365" s="3">
        <v>0</v>
      </c>
      <c r="V365" s="5">
        <f t="shared" si="102"/>
        <v>2630.2110349935201</v>
      </c>
    </row>
    <row r="366" spans="1:22" ht="24" customHeight="1" x14ac:dyDescent="0.25">
      <c r="A366" s="21" t="s">
        <v>1266</v>
      </c>
      <c r="B366" s="25" t="s">
        <v>155</v>
      </c>
      <c r="C366" s="2">
        <f t="shared" si="100"/>
        <v>22899521.830000002</v>
      </c>
      <c r="D366" s="3">
        <f t="shared" si="101"/>
        <v>0</v>
      </c>
      <c r="E366" s="3">
        <v>0</v>
      </c>
      <c r="F366" s="3">
        <v>0</v>
      </c>
      <c r="G366" s="3">
        <v>0</v>
      </c>
      <c r="H366" s="3">
        <v>0</v>
      </c>
      <c r="I366" s="3">
        <v>0</v>
      </c>
      <c r="J366" s="3">
        <v>0</v>
      </c>
      <c r="K366" s="4">
        <v>4</v>
      </c>
      <c r="L366" s="3">
        <v>7524993.0800000001</v>
      </c>
      <c r="M366" s="3">
        <v>0</v>
      </c>
      <c r="N366" s="3">
        <v>0</v>
      </c>
      <c r="O366" s="3">
        <v>0</v>
      </c>
      <c r="P366" s="3">
        <v>0</v>
      </c>
      <c r="Q366" s="13">
        <v>5459</v>
      </c>
      <c r="R366" s="3">
        <v>15065131.4</v>
      </c>
      <c r="S366" s="3">
        <v>0</v>
      </c>
      <c r="T366" s="3">
        <v>0</v>
      </c>
      <c r="U366" s="3">
        <v>309397.34999999998</v>
      </c>
      <c r="V366" s="5" t="e">
        <f t="shared" si="102"/>
        <v>#DIV/0!</v>
      </c>
    </row>
    <row r="367" spans="1:22" ht="24" customHeight="1" x14ac:dyDescent="0.25">
      <c r="A367" s="21" t="s">
        <v>1267</v>
      </c>
      <c r="B367" s="1" t="s">
        <v>796</v>
      </c>
      <c r="C367" s="2">
        <f t="shared" si="100"/>
        <v>4164421.8200000003</v>
      </c>
      <c r="D367" s="3">
        <f t="shared" si="101"/>
        <v>326283.59999999998</v>
      </c>
      <c r="E367" s="3">
        <v>182667.6</v>
      </c>
      <c r="F367" s="3">
        <f>800*0</f>
        <v>0</v>
      </c>
      <c r="G367" s="3">
        <v>40674</v>
      </c>
      <c r="H367" s="3">
        <f>400*0</f>
        <v>0</v>
      </c>
      <c r="I367" s="3">
        <v>102942</v>
      </c>
      <c r="J367" s="3">
        <f t="shared" ref="J367:J377" si="103">350*0</f>
        <v>0</v>
      </c>
      <c r="K367" s="4">
        <v>0</v>
      </c>
      <c r="L367" s="3">
        <v>0</v>
      </c>
      <c r="M367" s="3">
        <v>413.67</v>
      </c>
      <c r="N367" s="3">
        <v>2259236.4</v>
      </c>
      <c r="O367" s="3">
        <v>0</v>
      </c>
      <c r="P367" s="3">
        <f>O367*410</f>
        <v>0</v>
      </c>
      <c r="Q367" s="3">
        <v>488</v>
      </c>
      <c r="R367" s="3">
        <v>1463265.6</v>
      </c>
      <c r="S367" s="3">
        <v>0</v>
      </c>
      <c r="T367" s="3">
        <v>0</v>
      </c>
      <c r="U367" s="3">
        <v>115636.22</v>
      </c>
      <c r="V367" s="5">
        <f t="shared" si="102"/>
        <v>5461.4460802088615</v>
      </c>
    </row>
    <row r="368" spans="1:22" ht="24" customHeight="1" x14ac:dyDescent="0.25">
      <c r="A368" s="21" t="s">
        <v>1268</v>
      </c>
      <c r="B368" s="1" t="s">
        <v>173</v>
      </c>
      <c r="C368" s="2">
        <f t="shared" si="100"/>
        <v>2055575.48</v>
      </c>
      <c r="D368" s="3">
        <f t="shared" si="101"/>
        <v>552918.94999999995</v>
      </c>
      <c r="E368" s="3">
        <v>141282.9</v>
      </c>
      <c r="F368" s="3">
        <v>327751.38</v>
      </c>
      <c r="G368" s="3">
        <v>20070.07</v>
      </c>
      <c r="H368" s="3">
        <v>38518.519999999997</v>
      </c>
      <c r="I368" s="3">
        <v>25296.080000000002</v>
      </c>
      <c r="J368" s="3">
        <f t="shared" si="103"/>
        <v>0</v>
      </c>
      <c r="K368" s="4">
        <v>0</v>
      </c>
      <c r="L368" s="3">
        <v>0</v>
      </c>
      <c r="M368" s="3">
        <v>248</v>
      </c>
      <c r="N368" s="3">
        <f>M368*5500</f>
        <v>1364000</v>
      </c>
      <c r="O368" s="3">
        <v>0</v>
      </c>
      <c r="P368" s="3">
        <f>O368*410</f>
        <v>0</v>
      </c>
      <c r="Q368" s="13">
        <v>0</v>
      </c>
      <c r="R368" s="3">
        <v>0</v>
      </c>
      <c r="S368" s="3">
        <f>S91</f>
        <v>0</v>
      </c>
      <c r="T368" s="3">
        <v>0</v>
      </c>
      <c r="U368" s="3">
        <v>138656.53</v>
      </c>
      <c r="V368" s="5">
        <f t="shared" si="102"/>
        <v>5500</v>
      </c>
    </row>
    <row r="369" spans="1:22" ht="24" customHeight="1" x14ac:dyDescent="0.25">
      <c r="A369" s="21" t="s">
        <v>1269</v>
      </c>
      <c r="B369" s="1" t="s">
        <v>166</v>
      </c>
      <c r="C369" s="2">
        <f t="shared" si="100"/>
        <v>7302495.8099999996</v>
      </c>
      <c r="D369" s="3">
        <f t="shared" si="101"/>
        <v>385350</v>
      </c>
      <c r="E369" s="3">
        <f>350*1101</f>
        <v>385350</v>
      </c>
      <c r="F369" s="3">
        <f>800*0</f>
        <v>0</v>
      </c>
      <c r="G369" s="3">
        <v>0</v>
      </c>
      <c r="H369" s="3">
        <f>400*0</f>
        <v>0</v>
      </c>
      <c r="I369" s="3">
        <v>0</v>
      </c>
      <c r="J369" s="3">
        <f t="shared" si="103"/>
        <v>0</v>
      </c>
      <c r="K369" s="4">
        <v>0</v>
      </c>
      <c r="L369" s="3">
        <v>0</v>
      </c>
      <c r="M369" s="3">
        <v>735.58</v>
      </c>
      <c r="N369" s="3">
        <v>4045690</v>
      </c>
      <c r="O369" s="3">
        <v>0</v>
      </c>
      <c r="P369" s="3">
        <f>O369*410</f>
        <v>0</v>
      </c>
      <c r="Q369" s="3">
        <v>963.58</v>
      </c>
      <c r="R369" s="3">
        <v>2782680</v>
      </c>
      <c r="S369" s="3">
        <v>0</v>
      </c>
      <c r="T369" s="3">
        <v>0</v>
      </c>
      <c r="U369" s="3">
        <v>88775.81</v>
      </c>
      <c r="V369" s="5">
        <f t="shared" si="102"/>
        <v>5500</v>
      </c>
    </row>
    <row r="370" spans="1:22" ht="24" customHeight="1" x14ac:dyDescent="0.25">
      <c r="A370" s="21" t="s">
        <v>1270</v>
      </c>
      <c r="B370" s="1" t="s">
        <v>168</v>
      </c>
      <c r="C370" s="2">
        <f t="shared" si="100"/>
        <v>3696865.6</v>
      </c>
      <c r="D370" s="3">
        <f t="shared" si="101"/>
        <v>220220.4</v>
      </c>
      <c r="E370" s="3">
        <v>220220.4</v>
      </c>
      <c r="F370" s="3">
        <v>0</v>
      </c>
      <c r="G370" s="3">
        <v>0</v>
      </c>
      <c r="H370" s="3">
        <f>500*0</f>
        <v>0</v>
      </c>
      <c r="I370" s="3">
        <v>0</v>
      </c>
      <c r="J370" s="3">
        <f t="shared" si="103"/>
        <v>0</v>
      </c>
      <c r="K370" s="4">
        <v>0</v>
      </c>
      <c r="L370" s="3">
        <v>0</v>
      </c>
      <c r="M370" s="3">
        <v>375.42</v>
      </c>
      <c r="N370" s="3">
        <v>1965745.2</v>
      </c>
      <c r="O370" s="3">
        <v>0</v>
      </c>
      <c r="P370" s="3">
        <v>0</v>
      </c>
      <c r="Q370" s="3">
        <v>580</v>
      </c>
      <c r="R370" s="3">
        <f>Q370*2605</f>
        <v>1510900</v>
      </c>
      <c r="S370" s="3">
        <f>S1279</f>
        <v>0</v>
      </c>
      <c r="T370" s="3">
        <v>0</v>
      </c>
      <c r="U370" s="3">
        <v>0</v>
      </c>
      <c r="V370" s="5">
        <f t="shared" si="102"/>
        <v>5236.1227425283678</v>
      </c>
    </row>
    <row r="371" spans="1:22" ht="24" customHeight="1" x14ac:dyDescent="0.25">
      <c r="A371" s="21" t="s">
        <v>1271</v>
      </c>
      <c r="B371" s="25" t="s">
        <v>169</v>
      </c>
      <c r="C371" s="2">
        <f t="shared" si="100"/>
        <v>4206395.42</v>
      </c>
      <c r="D371" s="3">
        <f t="shared" si="101"/>
        <v>511965.6</v>
      </c>
      <c r="E371" s="3">
        <f>350*504</f>
        <v>176400</v>
      </c>
      <c r="F371" s="3">
        <v>282541.2</v>
      </c>
      <c r="G371" s="3">
        <v>13887.6</v>
      </c>
      <c r="H371" s="3">
        <f t="shared" ref="H371:H376" si="104">400*0</f>
        <v>0</v>
      </c>
      <c r="I371" s="3">
        <v>39136.800000000003</v>
      </c>
      <c r="J371" s="3">
        <f t="shared" si="103"/>
        <v>0</v>
      </c>
      <c r="K371" s="4">
        <v>0</v>
      </c>
      <c r="L371" s="3">
        <v>0</v>
      </c>
      <c r="M371" s="3">
        <v>390.89</v>
      </c>
      <c r="N371" s="3">
        <v>2123000</v>
      </c>
      <c r="O371" s="3">
        <v>0</v>
      </c>
      <c r="P371" s="3">
        <v>0</v>
      </c>
      <c r="Q371" s="3">
        <v>489.22</v>
      </c>
      <c r="R371" s="3">
        <v>1440000</v>
      </c>
      <c r="S371" s="3">
        <f>S1321</f>
        <v>0</v>
      </c>
      <c r="T371" s="3">
        <v>0</v>
      </c>
      <c r="U371" s="3">
        <v>131429.82</v>
      </c>
      <c r="V371" s="5">
        <f t="shared" si="102"/>
        <v>5431.1954769884114</v>
      </c>
    </row>
    <row r="372" spans="1:22" ht="24" customHeight="1" x14ac:dyDescent="0.25">
      <c r="A372" s="21" t="s">
        <v>1272</v>
      </c>
      <c r="B372" s="25" t="s">
        <v>170</v>
      </c>
      <c r="C372" s="2">
        <f t="shared" si="100"/>
        <v>4483430.55</v>
      </c>
      <c r="D372" s="3">
        <f t="shared" si="101"/>
        <v>850805.2</v>
      </c>
      <c r="E372" s="3">
        <f>350*488</f>
        <v>170800</v>
      </c>
      <c r="F372" s="3">
        <f>1050*488</f>
        <v>512400</v>
      </c>
      <c r="G372" s="3">
        <v>71097.600000000006</v>
      </c>
      <c r="H372" s="3">
        <f t="shared" si="104"/>
        <v>0</v>
      </c>
      <c r="I372" s="3">
        <v>96507.6</v>
      </c>
      <c r="J372" s="3">
        <f t="shared" si="103"/>
        <v>0</v>
      </c>
      <c r="K372" s="4">
        <v>0</v>
      </c>
      <c r="L372" s="3">
        <v>0</v>
      </c>
      <c r="M372" s="3">
        <v>402.76</v>
      </c>
      <c r="N372" s="3">
        <v>2002000</v>
      </c>
      <c r="O372" s="3">
        <v>0</v>
      </c>
      <c r="P372" s="3">
        <v>0</v>
      </c>
      <c r="Q372" s="3">
        <v>543.62</v>
      </c>
      <c r="R372" s="3">
        <v>1500000</v>
      </c>
      <c r="S372" s="3">
        <f>S1322</f>
        <v>0</v>
      </c>
      <c r="T372" s="3">
        <v>0</v>
      </c>
      <c r="U372" s="3">
        <v>130625.35</v>
      </c>
      <c r="V372" s="5">
        <f t="shared" si="102"/>
        <v>4970.7021551296057</v>
      </c>
    </row>
    <row r="373" spans="1:22" ht="24" customHeight="1" x14ac:dyDescent="0.25">
      <c r="A373" s="21" t="s">
        <v>1273</v>
      </c>
      <c r="B373" s="25" t="s">
        <v>172</v>
      </c>
      <c r="C373" s="2">
        <f t="shared" si="100"/>
        <v>907862.81</v>
      </c>
      <c r="D373" s="3">
        <f t="shared" si="101"/>
        <v>788416</v>
      </c>
      <c r="E373" s="3">
        <f>350*440</f>
        <v>154000</v>
      </c>
      <c r="F373" s="3">
        <f>1050*440</f>
        <v>462000</v>
      </c>
      <c r="G373" s="3">
        <v>73551.600000000006</v>
      </c>
      <c r="H373" s="3">
        <f t="shared" si="104"/>
        <v>0</v>
      </c>
      <c r="I373" s="3">
        <v>98864.4</v>
      </c>
      <c r="J373" s="3">
        <f t="shared" si="103"/>
        <v>0</v>
      </c>
      <c r="K373" s="4">
        <v>0</v>
      </c>
      <c r="L373" s="3">
        <v>0</v>
      </c>
      <c r="M373" s="3">
        <v>0</v>
      </c>
      <c r="N373" s="3">
        <f>M373*5300</f>
        <v>0</v>
      </c>
      <c r="O373" s="3">
        <v>0</v>
      </c>
      <c r="P373" s="3">
        <v>0</v>
      </c>
      <c r="Q373" s="3">
        <v>0</v>
      </c>
      <c r="R373" s="3">
        <v>0</v>
      </c>
      <c r="S373" s="3">
        <v>0</v>
      </c>
      <c r="T373" s="3">
        <v>0</v>
      </c>
      <c r="U373" s="3">
        <v>119446.81</v>
      </c>
      <c r="V373" s="5" t="e">
        <f t="shared" si="102"/>
        <v>#DIV/0!</v>
      </c>
    </row>
    <row r="374" spans="1:22" ht="24" customHeight="1" x14ac:dyDescent="0.25">
      <c r="A374" s="21" t="s">
        <v>1274</v>
      </c>
      <c r="B374" s="1" t="s">
        <v>171</v>
      </c>
      <c r="C374" s="2">
        <f t="shared" si="100"/>
        <v>2827000</v>
      </c>
      <c r="D374" s="3">
        <f t="shared" si="101"/>
        <v>243498</v>
      </c>
      <c r="E374" s="3">
        <v>123780</v>
      </c>
      <c r="F374" s="3">
        <v>119718</v>
      </c>
      <c r="G374" s="3">
        <v>0</v>
      </c>
      <c r="H374" s="3">
        <f t="shared" si="104"/>
        <v>0</v>
      </c>
      <c r="I374" s="3">
        <v>0</v>
      </c>
      <c r="J374" s="3">
        <f t="shared" si="103"/>
        <v>0</v>
      </c>
      <c r="K374" s="4">
        <v>0</v>
      </c>
      <c r="L374" s="3">
        <v>0</v>
      </c>
      <c r="M374" s="3">
        <v>255.7</v>
      </c>
      <c r="N374" s="3">
        <v>1386343.2</v>
      </c>
      <c r="O374" s="3">
        <v>0</v>
      </c>
      <c r="P374" s="3">
        <v>0</v>
      </c>
      <c r="Q374" s="3">
        <v>421.92</v>
      </c>
      <c r="R374" s="3">
        <v>1097158.8</v>
      </c>
      <c r="S374" s="3">
        <v>0</v>
      </c>
      <c r="T374" s="3">
        <v>0</v>
      </c>
      <c r="U374" s="3">
        <v>100000</v>
      </c>
      <c r="V374" s="5">
        <f t="shared" si="102"/>
        <v>5421.7567461869376</v>
      </c>
    </row>
    <row r="375" spans="1:22" ht="24" customHeight="1" x14ac:dyDescent="0.25">
      <c r="A375" s="21" t="s">
        <v>1275</v>
      </c>
      <c r="B375" s="1" t="s">
        <v>174</v>
      </c>
      <c r="C375" s="2">
        <f t="shared" si="100"/>
        <v>3760018.46</v>
      </c>
      <c r="D375" s="3">
        <f t="shared" si="101"/>
        <v>229845.00000000003</v>
      </c>
      <c r="E375" s="3">
        <f>350*656.7</f>
        <v>229845.00000000003</v>
      </c>
      <c r="F375" s="3">
        <v>0</v>
      </c>
      <c r="G375" s="3">
        <v>0</v>
      </c>
      <c r="H375" s="3">
        <f t="shared" si="104"/>
        <v>0</v>
      </c>
      <c r="I375" s="3">
        <v>0</v>
      </c>
      <c r="J375" s="3">
        <f t="shared" si="103"/>
        <v>0</v>
      </c>
      <c r="K375" s="4">
        <v>0</v>
      </c>
      <c r="L375" s="3">
        <v>0</v>
      </c>
      <c r="M375" s="3">
        <v>338.2</v>
      </c>
      <c r="N375" s="3">
        <v>1860100</v>
      </c>
      <c r="O375" s="3">
        <v>0</v>
      </c>
      <c r="P375" s="3">
        <v>0</v>
      </c>
      <c r="Q375" s="13">
        <v>599.04</v>
      </c>
      <c r="R375" s="3">
        <v>1593271.2</v>
      </c>
      <c r="S375" s="3">
        <f>S1135</f>
        <v>0</v>
      </c>
      <c r="T375" s="3">
        <v>0</v>
      </c>
      <c r="U375" s="3">
        <v>76802.259999999995</v>
      </c>
      <c r="V375" s="5">
        <f t="shared" si="102"/>
        <v>5500</v>
      </c>
    </row>
    <row r="376" spans="1:22" ht="24" customHeight="1" x14ac:dyDescent="0.25">
      <c r="A376" s="21" t="s">
        <v>1276</v>
      </c>
      <c r="B376" s="1" t="s">
        <v>175</v>
      </c>
      <c r="C376" s="2">
        <f t="shared" si="100"/>
        <v>4205787.43</v>
      </c>
      <c r="D376" s="3">
        <f t="shared" si="101"/>
        <v>377236.8</v>
      </c>
      <c r="E376" s="3">
        <v>177414</v>
      </c>
      <c r="F376" s="3">
        <v>199822.8</v>
      </c>
      <c r="G376" s="3">
        <v>0</v>
      </c>
      <c r="H376" s="3">
        <f t="shared" si="104"/>
        <v>0</v>
      </c>
      <c r="I376" s="3">
        <v>0</v>
      </c>
      <c r="J376" s="3">
        <f t="shared" si="103"/>
        <v>0</v>
      </c>
      <c r="K376" s="4">
        <v>0</v>
      </c>
      <c r="L376" s="3">
        <v>0</v>
      </c>
      <c r="M376" s="3">
        <v>405.5</v>
      </c>
      <c r="N376" s="3">
        <v>2092856.4</v>
      </c>
      <c r="O376" s="3">
        <v>0</v>
      </c>
      <c r="P376" s="3">
        <v>0</v>
      </c>
      <c r="Q376" s="3">
        <v>544.07000000000005</v>
      </c>
      <c r="R376" s="3">
        <v>1662210</v>
      </c>
      <c r="S376" s="3">
        <v>0</v>
      </c>
      <c r="T376" s="3">
        <v>0</v>
      </c>
      <c r="U376" s="3">
        <v>73484.23</v>
      </c>
      <c r="V376" s="5">
        <f t="shared" si="102"/>
        <v>5161.1748458692973</v>
      </c>
    </row>
    <row r="377" spans="1:22" ht="24" customHeight="1" x14ac:dyDescent="0.25">
      <c r="A377" s="21" t="s">
        <v>1277</v>
      </c>
      <c r="B377" s="1" t="s">
        <v>177</v>
      </c>
      <c r="C377" s="2">
        <f t="shared" si="100"/>
        <v>3550062.4</v>
      </c>
      <c r="D377" s="3">
        <f t="shared" si="101"/>
        <v>734060.4</v>
      </c>
      <c r="E377" s="3">
        <v>184047.6</v>
      </c>
      <c r="F377" s="3">
        <v>364876.79999999999</v>
      </c>
      <c r="G377" s="3">
        <v>28652.400000000001</v>
      </c>
      <c r="H377" s="3">
        <v>0</v>
      </c>
      <c r="I377" s="3">
        <v>156483.6</v>
      </c>
      <c r="J377" s="3">
        <f t="shared" si="103"/>
        <v>0</v>
      </c>
      <c r="K377" s="4">
        <v>0</v>
      </c>
      <c r="L377" s="3">
        <v>0</v>
      </c>
      <c r="M377" s="3">
        <v>346.2</v>
      </c>
      <c r="N377" s="3">
        <v>1680332.4</v>
      </c>
      <c r="O377" s="3">
        <v>0</v>
      </c>
      <c r="P377" s="3">
        <f>O377*410</f>
        <v>0</v>
      </c>
      <c r="Q377" s="3">
        <v>467.66</v>
      </c>
      <c r="R377" s="3">
        <v>1035669.6</v>
      </c>
      <c r="S377" s="3">
        <v>0</v>
      </c>
      <c r="T377" s="3">
        <v>0</v>
      </c>
      <c r="U377" s="3">
        <v>100000</v>
      </c>
      <c r="V377" s="5">
        <f t="shared" si="102"/>
        <v>4853.6464471403815</v>
      </c>
    </row>
    <row r="378" spans="1:22" ht="24" customHeight="1" x14ac:dyDescent="0.25">
      <c r="A378" s="21" t="s">
        <v>1278</v>
      </c>
      <c r="B378" s="25" t="s">
        <v>178</v>
      </c>
      <c r="C378" s="2">
        <f t="shared" si="100"/>
        <v>5562292.6799999997</v>
      </c>
      <c r="D378" s="3">
        <f t="shared" si="101"/>
        <v>0</v>
      </c>
      <c r="E378" s="3">
        <v>0</v>
      </c>
      <c r="F378" s="3">
        <v>0</v>
      </c>
      <c r="G378" s="3">
        <v>0</v>
      </c>
      <c r="H378" s="3">
        <v>0</v>
      </c>
      <c r="I378" s="3">
        <v>0</v>
      </c>
      <c r="J378" s="3">
        <v>0</v>
      </c>
      <c r="K378" s="4">
        <v>0</v>
      </c>
      <c r="L378" s="3">
        <v>0</v>
      </c>
      <c r="M378" s="3">
        <v>614.07000000000005</v>
      </c>
      <c r="N378" s="3">
        <v>3363952.68</v>
      </c>
      <c r="O378" s="3">
        <v>0</v>
      </c>
      <c r="P378" s="3">
        <f>O378*410</f>
        <v>0</v>
      </c>
      <c r="Q378" s="3">
        <v>732.78</v>
      </c>
      <c r="R378" s="3">
        <f>Q378*3000</f>
        <v>2198340</v>
      </c>
      <c r="S378" s="3">
        <f>S860</f>
        <v>0</v>
      </c>
      <c r="T378" s="3">
        <v>0</v>
      </c>
      <c r="U378" s="3">
        <v>0</v>
      </c>
      <c r="V378" s="5">
        <f t="shared" si="102"/>
        <v>5478.1257511358635</v>
      </c>
    </row>
    <row r="379" spans="1:22" ht="24" customHeight="1" x14ac:dyDescent="0.25">
      <c r="A379" s="21" t="s">
        <v>1279</v>
      </c>
      <c r="B379" s="25" t="s">
        <v>179</v>
      </c>
      <c r="C379" s="2">
        <f t="shared" si="100"/>
        <v>2632060.21</v>
      </c>
      <c r="D379" s="3">
        <f t="shared" si="101"/>
        <v>221482.4</v>
      </c>
      <c r="E379" s="3">
        <f>350*352</f>
        <v>123200</v>
      </c>
      <c r="F379" s="3">
        <v>98282.4</v>
      </c>
      <c r="G379" s="3">
        <v>0</v>
      </c>
      <c r="H379" s="3">
        <f>400*0</f>
        <v>0</v>
      </c>
      <c r="I379" s="3">
        <v>0</v>
      </c>
      <c r="J379" s="3">
        <f>350*0</f>
        <v>0</v>
      </c>
      <c r="K379" s="4">
        <v>0</v>
      </c>
      <c r="L379" s="3">
        <v>0</v>
      </c>
      <c r="M379" s="3">
        <v>277</v>
      </c>
      <c r="N379" s="3">
        <v>1353526.8</v>
      </c>
      <c r="O379" s="3">
        <v>0</v>
      </c>
      <c r="P379" s="3">
        <f>O379*410</f>
        <v>0</v>
      </c>
      <c r="Q379" s="3">
        <v>378.4</v>
      </c>
      <c r="R379" s="3">
        <v>952927.2</v>
      </c>
      <c r="S379" s="3">
        <f>S868</f>
        <v>0</v>
      </c>
      <c r="T379" s="3">
        <v>0</v>
      </c>
      <c r="U379" s="3">
        <v>104123.81</v>
      </c>
      <c r="V379" s="5">
        <f t="shared" si="102"/>
        <v>4886.3783393501808</v>
      </c>
    </row>
    <row r="380" spans="1:22" ht="24" customHeight="1" x14ac:dyDescent="0.25">
      <c r="A380" s="21" t="s">
        <v>1280</v>
      </c>
      <c r="B380" s="1" t="s">
        <v>180</v>
      </c>
      <c r="C380" s="2">
        <f t="shared" si="100"/>
        <v>4331116.6500000004</v>
      </c>
      <c r="D380" s="3">
        <f t="shared" si="101"/>
        <v>0</v>
      </c>
      <c r="E380" s="3">
        <v>0</v>
      </c>
      <c r="F380" s="3">
        <v>0</v>
      </c>
      <c r="G380" s="3">
        <v>0</v>
      </c>
      <c r="H380" s="3">
        <v>0</v>
      </c>
      <c r="I380" s="3">
        <v>0</v>
      </c>
      <c r="J380" s="3">
        <v>0</v>
      </c>
      <c r="K380" s="4">
        <v>0</v>
      </c>
      <c r="L380" s="3">
        <v>0</v>
      </c>
      <c r="M380" s="3">
        <v>908.45</v>
      </c>
      <c r="N380" s="3">
        <v>4331116.6500000004</v>
      </c>
      <c r="O380" s="3">
        <v>0</v>
      </c>
      <c r="P380" s="3">
        <v>0</v>
      </c>
      <c r="Q380" s="3">
        <v>0</v>
      </c>
      <c r="R380" s="3">
        <f>Q380*3000</f>
        <v>0</v>
      </c>
      <c r="S380" s="3">
        <v>0</v>
      </c>
      <c r="T380" s="3">
        <v>0</v>
      </c>
      <c r="U380" s="3">
        <v>0</v>
      </c>
      <c r="V380" s="5">
        <f t="shared" si="102"/>
        <v>4767.5894655732291</v>
      </c>
    </row>
    <row r="381" spans="1:22" ht="24" customHeight="1" x14ac:dyDescent="0.25">
      <c r="A381" s="21" t="s">
        <v>1281</v>
      </c>
      <c r="B381" s="1" t="s">
        <v>181</v>
      </c>
      <c r="C381" s="2">
        <f t="shared" si="100"/>
        <v>2708478</v>
      </c>
      <c r="D381" s="3">
        <f t="shared" si="101"/>
        <v>0</v>
      </c>
      <c r="E381" s="3">
        <v>0</v>
      </c>
      <c r="F381" s="3">
        <v>0</v>
      </c>
      <c r="G381" s="3">
        <v>0</v>
      </c>
      <c r="H381" s="3">
        <v>0</v>
      </c>
      <c r="I381" s="3">
        <v>0</v>
      </c>
      <c r="J381" s="3">
        <v>0</v>
      </c>
      <c r="K381" s="4">
        <v>0</v>
      </c>
      <c r="L381" s="3">
        <v>0</v>
      </c>
      <c r="M381" s="3">
        <v>830.32</v>
      </c>
      <c r="N381" s="3">
        <v>2708478</v>
      </c>
      <c r="O381" s="3">
        <v>0</v>
      </c>
      <c r="P381" s="3">
        <v>0</v>
      </c>
      <c r="Q381" s="3">
        <v>0</v>
      </c>
      <c r="R381" s="3">
        <f>Q381*3000</f>
        <v>0</v>
      </c>
      <c r="S381" s="3">
        <v>0</v>
      </c>
      <c r="T381" s="3">
        <v>0</v>
      </c>
      <c r="U381" s="3">
        <v>0</v>
      </c>
      <c r="V381" s="5">
        <f t="shared" si="102"/>
        <v>3261.9688794681565</v>
      </c>
    </row>
    <row r="382" spans="1:22" ht="40.15" customHeight="1" x14ac:dyDescent="0.25">
      <c r="A382" s="51" t="s">
        <v>209</v>
      </c>
      <c r="B382" s="51"/>
      <c r="C382" s="2">
        <f t="shared" ref="C382:U382" si="105">SUM(C383:C388)</f>
        <v>13551416.550000001</v>
      </c>
      <c r="D382" s="2">
        <f t="shared" si="105"/>
        <v>6115414</v>
      </c>
      <c r="E382" s="2">
        <f t="shared" si="105"/>
        <v>1048687.5</v>
      </c>
      <c r="F382" s="2">
        <f t="shared" si="105"/>
        <v>2956035.6</v>
      </c>
      <c r="G382" s="2">
        <f t="shared" si="105"/>
        <v>671670</v>
      </c>
      <c r="H382" s="2">
        <f t="shared" si="105"/>
        <v>780708.4</v>
      </c>
      <c r="I382" s="2">
        <f t="shared" si="105"/>
        <v>658312.5</v>
      </c>
      <c r="J382" s="2">
        <f t="shared" si="105"/>
        <v>0</v>
      </c>
      <c r="K382" s="18">
        <f t="shared" si="105"/>
        <v>0</v>
      </c>
      <c r="L382" s="2">
        <f t="shared" si="105"/>
        <v>0</v>
      </c>
      <c r="M382" s="2">
        <f t="shared" si="105"/>
        <v>842.36</v>
      </c>
      <c r="N382" s="2">
        <f t="shared" si="105"/>
        <v>4462470</v>
      </c>
      <c r="O382" s="2">
        <f t="shared" si="105"/>
        <v>0</v>
      </c>
      <c r="P382" s="2">
        <f t="shared" si="105"/>
        <v>0</v>
      </c>
      <c r="Q382" s="2">
        <f t="shared" si="105"/>
        <v>842.63999999999987</v>
      </c>
      <c r="R382" s="2">
        <f t="shared" si="105"/>
        <v>2430112.7999999998</v>
      </c>
      <c r="S382" s="2">
        <f t="shared" si="105"/>
        <v>0</v>
      </c>
      <c r="T382" s="2">
        <f t="shared" si="105"/>
        <v>0</v>
      </c>
      <c r="U382" s="2">
        <f t="shared" si="105"/>
        <v>543419.75</v>
      </c>
    </row>
    <row r="383" spans="1:22" ht="24" customHeight="1" x14ac:dyDescent="0.25">
      <c r="A383" s="21" t="s">
        <v>1282</v>
      </c>
      <c r="B383" s="24" t="s">
        <v>201</v>
      </c>
      <c r="C383" s="2">
        <f t="shared" ref="C383:C388" si="106">D383+L383+N383+P383+R383+S383+T383+U383</f>
        <v>121935.02</v>
      </c>
      <c r="D383" s="3">
        <f t="shared" ref="D383:D388" si="107">SUM(E383:J383)</f>
        <v>0</v>
      </c>
      <c r="E383" s="3">
        <v>0</v>
      </c>
      <c r="F383" s="3">
        <v>0</v>
      </c>
      <c r="G383" s="3">
        <v>0</v>
      </c>
      <c r="H383" s="3">
        <f>400*0</f>
        <v>0</v>
      </c>
      <c r="I383" s="3">
        <f>250*0</f>
        <v>0</v>
      </c>
      <c r="J383" s="3">
        <f>350*0</f>
        <v>0</v>
      </c>
      <c r="K383" s="4">
        <v>0</v>
      </c>
      <c r="L383" s="3">
        <v>0</v>
      </c>
      <c r="M383" s="13">
        <v>0</v>
      </c>
      <c r="N383" s="3">
        <v>0</v>
      </c>
      <c r="O383" s="3">
        <v>0</v>
      </c>
      <c r="P383" s="3">
        <v>0</v>
      </c>
      <c r="Q383" s="3">
        <v>0</v>
      </c>
      <c r="R383" s="3">
        <f>Q383*3000</f>
        <v>0</v>
      </c>
      <c r="S383" s="3">
        <v>0</v>
      </c>
      <c r="T383" s="3">
        <v>0</v>
      </c>
      <c r="U383" s="3">
        <v>121935.02</v>
      </c>
      <c r="V383" s="5" t="e">
        <f t="shared" ref="V383:V388" si="108">N383/M383</f>
        <v>#DIV/0!</v>
      </c>
    </row>
    <row r="384" spans="1:22" ht="24" customHeight="1" x14ac:dyDescent="0.25">
      <c r="A384" s="21" t="s">
        <v>1283</v>
      </c>
      <c r="B384" s="24" t="s">
        <v>202</v>
      </c>
      <c r="C384" s="2">
        <f t="shared" si="106"/>
        <v>100538.12</v>
      </c>
      <c r="D384" s="3">
        <f t="shared" si="107"/>
        <v>0</v>
      </c>
      <c r="E384" s="3">
        <v>0</v>
      </c>
      <c r="F384" s="3">
        <v>0</v>
      </c>
      <c r="G384" s="3">
        <v>0</v>
      </c>
      <c r="H384" s="3">
        <f>400*0</f>
        <v>0</v>
      </c>
      <c r="I384" s="3">
        <f>250*0</f>
        <v>0</v>
      </c>
      <c r="J384" s="3">
        <f>350*0</f>
        <v>0</v>
      </c>
      <c r="K384" s="14">
        <v>0</v>
      </c>
      <c r="L384" s="13">
        <v>0</v>
      </c>
      <c r="M384" s="13">
        <v>0</v>
      </c>
      <c r="N384" s="3">
        <v>0</v>
      </c>
      <c r="O384" s="13">
        <v>0</v>
      </c>
      <c r="P384" s="13">
        <v>0</v>
      </c>
      <c r="Q384" s="13">
        <v>0</v>
      </c>
      <c r="R384" s="3">
        <f>Q384*3000</f>
        <v>0</v>
      </c>
      <c r="S384" s="13">
        <v>0</v>
      </c>
      <c r="T384" s="3">
        <v>0</v>
      </c>
      <c r="U384" s="13">
        <v>100538.12</v>
      </c>
      <c r="V384" s="5" t="e">
        <f t="shared" si="108"/>
        <v>#DIV/0!</v>
      </c>
    </row>
    <row r="385" spans="1:22" ht="24" customHeight="1" x14ac:dyDescent="0.25">
      <c r="A385" s="21" t="s">
        <v>1284</v>
      </c>
      <c r="B385" s="24" t="s">
        <v>203</v>
      </c>
      <c r="C385" s="2">
        <f t="shared" si="106"/>
        <v>3941673.34</v>
      </c>
      <c r="D385" s="3">
        <f t="shared" si="107"/>
        <v>508200</v>
      </c>
      <c r="E385" s="3">
        <f>350*363</f>
        <v>127050</v>
      </c>
      <c r="F385" s="3">
        <f>1050*363</f>
        <v>381150</v>
      </c>
      <c r="G385" s="3">
        <v>0</v>
      </c>
      <c r="H385" s="3">
        <f>400*0</f>
        <v>0</v>
      </c>
      <c r="I385" s="3">
        <f>250*0</f>
        <v>0</v>
      </c>
      <c r="J385" s="3">
        <f>350*0</f>
        <v>0</v>
      </c>
      <c r="K385" s="4">
        <v>0</v>
      </c>
      <c r="L385" s="3">
        <v>0</v>
      </c>
      <c r="M385" s="3">
        <v>472.36</v>
      </c>
      <c r="N385" s="3">
        <v>2494482</v>
      </c>
      <c r="O385" s="3">
        <v>0</v>
      </c>
      <c r="P385" s="3">
        <v>0</v>
      </c>
      <c r="Q385" s="3">
        <v>289.58</v>
      </c>
      <c r="R385" s="3">
        <v>868740</v>
      </c>
      <c r="S385" s="3">
        <v>0</v>
      </c>
      <c r="T385" s="3">
        <v>0</v>
      </c>
      <c r="U385" s="3">
        <v>70251.34</v>
      </c>
      <c r="V385" s="5">
        <f t="shared" si="108"/>
        <v>5280.8916927766959</v>
      </c>
    </row>
    <row r="386" spans="1:22" ht="24" customHeight="1" x14ac:dyDescent="0.25">
      <c r="A386" s="21" t="s">
        <v>1285</v>
      </c>
      <c r="B386" s="24" t="s">
        <v>892</v>
      </c>
      <c r="C386" s="2">
        <f t="shared" si="106"/>
        <v>3529360.8</v>
      </c>
      <c r="D386" s="3">
        <f t="shared" si="107"/>
        <v>0</v>
      </c>
      <c r="E386" s="3">
        <v>0</v>
      </c>
      <c r="F386" s="3">
        <v>0</v>
      </c>
      <c r="G386" s="3">
        <v>0</v>
      </c>
      <c r="H386" s="3">
        <v>0</v>
      </c>
      <c r="I386" s="3">
        <v>0</v>
      </c>
      <c r="J386" s="3">
        <v>0</v>
      </c>
      <c r="K386" s="4">
        <v>0</v>
      </c>
      <c r="L386" s="3">
        <v>0</v>
      </c>
      <c r="M386" s="3">
        <v>370</v>
      </c>
      <c r="N386" s="3">
        <v>1967988</v>
      </c>
      <c r="O386" s="3">
        <v>0</v>
      </c>
      <c r="P386" s="3">
        <v>0</v>
      </c>
      <c r="Q386" s="3">
        <v>553.05999999999995</v>
      </c>
      <c r="R386" s="3">
        <v>1561372.8</v>
      </c>
      <c r="S386" s="3">
        <v>0</v>
      </c>
      <c r="T386" s="3">
        <v>0</v>
      </c>
      <c r="U386" s="3">
        <v>0</v>
      </c>
      <c r="V386" s="5">
        <f t="shared" si="108"/>
        <v>5318.8864864864863</v>
      </c>
    </row>
    <row r="387" spans="1:22" ht="24" customHeight="1" x14ac:dyDescent="0.25">
      <c r="A387" s="21" t="s">
        <v>1286</v>
      </c>
      <c r="B387" s="24" t="s">
        <v>901</v>
      </c>
      <c r="C387" s="2">
        <f t="shared" si="106"/>
        <v>3200647.32</v>
      </c>
      <c r="D387" s="3">
        <f t="shared" si="107"/>
        <v>3075586</v>
      </c>
      <c r="E387" s="3">
        <f>350*1308.76</f>
        <v>458066</v>
      </c>
      <c r="F387" s="3">
        <f>1050*1308.76</f>
        <v>1374198</v>
      </c>
      <c r="G387" s="3">
        <f>300*1308.76</f>
        <v>392628</v>
      </c>
      <c r="H387" s="3">
        <f>400*1308.76</f>
        <v>523504</v>
      </c>
      <c r="I387" s="3">
        <f>250*1308.76</f>
        <v>327190</v>
      </c>
      <c r="J387" s="3">
        <v>0</v>
      </c>
      <c r="K387" s="4">
        <v>0</v>
      </c>
      <c r="L387" s="3">
        <v>0</v>
      </c>
      <c r="M387" s="3">
        <v>0</v>
      </c>
      <c r="N387" s="3">
        <v>0</v>
      </c>
      <c r="O387" s="3">
        <v>0</v>
      </c>
      <c r="P387" s="3">
        <v>0</v>
      </c>
      <c r="Q387" s="3">
        <v>0</v>
      </c>
      <c r="R387" s="3">
        <f>Q387*3000</f>
        <v>0</v>
      </c>
      <c r="S387" s="3">
        <v>0</v>
      </c>
      <c r="T387" s="3">
        <v>0</v>
      </c>
      <c r="U387" s="3">
        <v>125061.32</v>
      </c>
      <c r="V387" s="5" t="e">
        <f t="shared" si="108"/>
        <v>#DIV/0!</v>
      </c>
    </row>
    <row r="388" spans="1:22" ht="24" customHeight="1" x14ac:dyDescent="0.25">
      <c r="A388" s="21" t="s">
        <v>1287</v>
      </c>
      <c r="B388" s="24" t="s">
        <v>902</v>
      </c>
      <c r="C388" s="2">
        <f t="shared" si="106"/>
        <v>2657261.9500000002</v>
      </c>
      <c r="D388" s="3">
        <f t="shared" si="107"/>
        <v>2531628</v>
      </c>
      <c r="E388" s="3">
        <f>350*1324.49</f>
        <v>463571.5</v>
      </c>
      <c r="F388" s="3">
        <v>1200687.6000000001</v>
      </c>
      <c r="G388" s="3">
        <v>279042</v>
      </c>
      <c r="H388" s="3">
        <v>257204.4</v>
      </c>
      <c r="I388" s="3">
        <f>250*1324.49</f>
        <v>331122.5</v>
      </c>
      <c r="J388" s="3">
        <v>0</v>
      </c>
      <c r="K388" s="4">
        <v>0</v>
      </c>
      <c r="L388" s="3">
        <v>0</v>
      </c>
      <c r="M388" s="3">
        <v>0</v>
      </c>
      <c r="N388" s="3">
        <v>0</v>
      </c>
      <c r="O388" s="3">
        <v>0</v>
      </c>
      <c r="P388" s="3">
        <v>0</v>
      </c>
      <c r="Q388" s="3">
        <v>0</v>
      </c>
      <c r="R388" s="3">
        <f>Q388*3000</f>
        <v>0</v>
      </c>
      <c r="S388" s="3">
        <v>0</v>
      </c>
      <c r="T388" s="3">
        <v>0</v>
      </c>
      <c r="U388" s="3">
        <v>125633.95</v>
      </c>
      <c r="V388" s="5" t="e">
        <f t="shared" si="108"/>
        <v>#DIV/0!</v>
      </c>
    </row>
    <row r="389" spans="1:22" ht="40.15" customHeight="1" x14ac:dyDescent="0.25">
      <c r="A389" s="51" t="s">
        <v>213</v>
      </c>
      <c r="B389" s="51"/>
      <c r="C389" s="2">
        <f t="shared" ref="C389:U389" si="109">SUM(C390:C396)</f>
        <v>10442222.16</v>
      </c>
      <c r="D389" s="2">
        <f t="shared" si="109"/>
        <v>0</v>
      </c>
      <c r="E389" s="2">
        <f t="shared" si="109"/>
        <v>0</v>
      </c>
      <c r="F389" s="2">
        <f t="shared" si="109"/>
        <v>0</v>
      </c>
      <c r="G389" s="2">
        <f t="shared" si="109"/>
        <v>0</v>
      </c>
      <c r="H389" s="2">
        <f t="shared" si="109"/>
        <v>0</v>
      </c>
      <c r="I389" s="2">
        <f t="shared" si="109"/>
        <v>0</v>
      </c>
      <c r="J389" s="2">
        <f t="shared" si="109"/>
        <v>0</v>
      </c>
      <c r="K389" s="18">
        <f t="shared" si="109"/>
        <v>0</v>
      </c>
      <c r="L389" s="2">
        <f t="shared" si="109"/>
        <v>0</v>
      </c>
      <c r="M389" s="2">
        <f t="shared" si="109"/>
        <v>1212.22</v>
      </c>
      <c r="N389" s="2">
        <f t="shared" si="109"/>
        <v>5665488.8399999999</v>
      </c>
      <c r="O389" s="2">
        <f t="shared" si="109"/>
        <v>0</v>
      </c>
      <c r="P389" s="2">
        <f t="shared" si="109"/>
        <v>0</v>
      </c>
      <c r="Q389" s="2">
        <f t="shared" si="109"/>
        <v>1760</v>
      </c>
      <c r="R389" s="2">
        <f t="shared" si="109"/>
        <v>4432879.5999999996</v>
      </c>
      <c r="S389" s="2">
        <f t="shared" si="109"/>
        <v>0</v>
      </c>
      <c r="T389" s="2">
        <f t="shared" si="109"/>
        <v>0</v>
      </c>
      <c r="U389" s="2">
        <f t="shared" si="109"/>
        <v>343853.72</v>
      </c>
    </row>
    <row r="390" spans="1:22" ht="24" customHeight="1" x14ac:dyDescent="0.25">
      <c r="A390" s="21" t="s">
        <v>1288</v>
      </c>
      <c r="B390" s="24" t="s">
        <v>214</v>
      </c>
      <c r="C390" s="2">
        <f t="shared" ref="C390:C396" si="110">D390+L390+N390+P390+R390+S390+T390+U390</f>
        <v>111850</v>
      </c>
      <c r="D390" s="3">
        <f t="shared" ref="D390:D396" si="111">SUM(E390:J390)</f>
        <v>0</v>
      </c>
      <c r="E390" s="3">
        <v>0</v>
      </c>
      <c r="F390" s="3">
        <v>0</v>
      </c>
      <c r="G390" s="3">
        <v>0</v>
      </c>
      <c r="H390" s="3">
        <v>0</v>
      </c>
      <c r="I390" s="3">
        <v>0</v>
      </c>
      <c r="J390" s="3">
        <f>350*0</f>
        <v>0</v>
      </c>
      <c r="K390" s="4">
        <v>0</v>
      </c>
      <c r="L390" s="3">
        <v>0</v>
      </c>
      <c r="M390" s="3">
        <v>0</v>
      </c>
      <c r="N390" s="3">
        <v>0</v>
      </c>
      <c r="O390" s="3">
        <v>0</v>
      </c>
      <c r="P390" s="3">
        <v>0</v>
      </c>
      <c r="Q390" s="3">
        <v>0</v>
      </c>
      <c r="R390" s="3">
        <v>0</v>
      </c>
      <c r="S390" s="3">
        <v>0</v>
      </c>
      <c r="T390" s="3">
        <v>0</v>
      </c>
      <c r="U390" s="3">
        <v>111850</v>
      </c>
      <c r="V390" s="5" t="e">
        <f t="shared" ref="V390:V396" si="112">N390/M390</f>
        <v>#DIV/0!</v>
      </c>
    </row>
    <row r="391" spans="1:22" ht="24" customHeight="1" x14ac:dyDescent="0.25">
      <c r="A391" s="21" t="s">
        <v>1289</v>
      </c>
      <c r="B391" s="24" t="s">
        <v>215</v>
      </c>
      <c r="C391" s="2">
        <f t="shared" si="110"/>
        <v>111850</v>
      </c>
      <c r="D391" s="3">
        <f t="shared" si="111"/>
        <v>0</v>
      </c>
      <c r="E391" s="3">
        <v>0</v>
      </c>
      <c r="F391" s="3">
        <v>0</v>
      </c>
      <c r="G391" s="3">
        <v>0</v>
      </c>
      <c r="H391" s="3">
        <v>0</v>
      </c>
      <c r="I391" s="3">
        <v>0</v>
      </c>
      <c r="J391" s="3">
        <f>350*0</f>
        <v>0</v>
      </c>
      <c r="K391" s="4">
        <v>0</v>
      </c>
      <c r="L391" s="3">
        <v>0</v>
      </c>
      <c r="M391" s="3">
        <v>0</v>
      </c>
      <c r="N391" s="3">
        <v>0</v>
      </c>
      <c r="O391" s="3">
        <v>0</v>
      </c>
      <c r="P391" s="3">
        <v>0</v>
      </c>
      <c r="Q391" s="3">
        <v>0</v>
      </c>
      <c r="R391" s="3">
        <v>0</v>
      </c>
      <c r="S391" s="3">
        <v>0</v>
      </c>
      <c r="T391" s="3">
        <v>0</v>
      </c>
      <c r="U391" s="3">
        <v>111850</v>
      </c>
      <c r="V391" s="5" t="e">
        <f t="shared" si="112"/>
        <v>#DIV/0!</v>
      </c>
    </row>
    <row r="392" spans="1:22" ht="24" customHeight="1" x14ac:dyDescent="0.25">
      <c r="A392" s="21" t="s">
        <v>1290</v>
      </c>
      <c r="B392" s="24" t="s">
        <v>219</v>
      </c>
      <c r="C392" s="2">
        <f t="shared" si="110"/>
        <v>4580950</v>
      </c>
      <c r="D392" s="3">
        <f t="shared" si="111"/>
        <v>0</v>
      </c>
      <c r="E392" s="3">
        <v>0</v>
      </c>
      <c r="F392" s="3">
        <v>0</v>
      </c>
      <c r="G392" s="3">
        <v>0</v>
      </c>
      <c r="H392" s="3">
        <v>0</v>
      </c>
      <c r="I392" s="3">
        <v>0</v>
      </c>
      <c r="J392" s="3">
        <v>0</v>
      </c>
      <c r="K392" s="4">
        <v>0</v>
      </c>
      <c r="L392" s="3">
        <v>0</v>
      </c>
      <c r="M392" s="3">
        <v>459.48</v>
      </c>
      <c r="N392" s="3">
        <v>2567950</v>
      </c>
      <c r="O392" s="3">
        <v>0</v>
      </c>
      <c r="P392" s="3">
        <v>0</v>
      </c>
      <c r="Q392" s="3">
        <v>648</v>
      </c>
      <c r="R392" s="3">
        <v>2013000</v>
      </c>
      <c r="S392" s="3">
        <v>0</v>
      </c>
      <c r="T392" s="3">
        <v>0</v>
      </c>
      <c r="U392" s="3">
        <v>0</v>
      </c>
      <c r="V392" s="5">
        <f t="shared" si="112"/>
        <v>5588.8177940280311</v>
      </c>
    </row>
    <row r="393" spans="1:22" ht="24" customHeight="1" x14ac:dyDescent="0.25">
      <c r="A393" s="21" t="s">
        <v>1291</v>
      </c>
      <c r="B393" s="24" t="s">
        <v>222</v>
      </c>
      <c r="C393" s="2">
        <f t="shared" si="110"/>
        <v>69659.09</v>
      </c>
      <c r="D393" s="3">
        <f t="shared" si="111"/>
        <v>0</v>
      </c>
      <c r="E393" s="3">
        <v>0</v>
      </c>
      <c r="F393" s="3">
        <v>0</v>
      </c>
      <c r="G393" s="3">
        <v>0</v>
      </c>
      <c r="H393" s="3">
        <v>0</v>
      </c>
      <c r="I393" s="3">
        <v>0</v>
      </c>
      <c r="J393" s="3">
        <f>350*0</f>
        <v>0</v>
      </c>
      <c r="K393" s="4">
        <v>0</v>
      </c>
      <c r="L393" s="3">
        <v>0</v>
      </c>
      <c r="M393" s="3">
        <v>0</v>
      </c>
      <c r="N393" s="3">
        <f>M393*5500</f>
        <v>0</v>
      </c>
      <c r="O393" s="3">
        <v>0</v>
      </c>
      <c r="P393" s="3">
        <v>0</v>
      </c>
      <c r="Q393" s="3">
        <v>0</v>
      </c>
      <c r="R393" s="3">
        <f>Q393*3000</f>
        <v>0</v>
      </c>
      <c r="S393" s="3">
        <v>0</v>
      </c>
      <c r="T393" s="3">
        <v>0</v>
      </c>
      <c r="U393" s="3">
        <v>69659.09</v>
      </c>
      <c r="V393" s="5" t="e">
        <f t="shared" si="112"/>
        <v>#DIV/0!</v>
      </c>
    </row>
    <row r="394" spans="1:22" ht="24" customHeight="1" x14ac:dyDescent="0.25">
      <c r="A394" s="21" t="s">
        <v>1292</v>
      </c>
      <c r="B394" s="24" t="s">
        <v>225</v>
      </c>
      <c r="C394" s="2">
        <f t="shared" si="110"/>
        <v>50494.63</v>
      </c>
      <c r="D394" s="3">
        <f t="shared" si="111"/>
        <v>0</v>
      </c>
      <c r="E394" s="3">
        <v>0</v>
      </c>
      <c r="F394" s="3">
        <f>800*0</f>
        <v>0</v>
      </c>
      <c r="G394" s="3">
        <v>0</v>
      </c>
      <c r="H394" s="3">
        <f>400*0</f>
        <v>0</v>
      </c>
      <c r="I394" s="3">
        <v>0</v>
      </c>
      <c r="J394" s="3">
        <v>0</v>
      </c>
      <c r="K394" s="4">
        <v>0</v>
      </c>
      <c r="L394" s="3">
        <v>0</v>
      </c>
      <c r="M394" s="3">
        <v>0</v>
      </c>
      <c r="N394" s="3">
        <f>M394*5500</f>
        <v>0</v>
      </c>
      <c r="O394" s="3">
        <v>0</v>
      </c>
      <c r="P394" s="3">
        <v>0</v>
      </c>
      <c r="Q394" s="3">
        <v>0</v>
      </c>
      <c r="R394" s="3">
        <f>Q394*3000</f>
        <v>0</v>
      </c>
      <c r="S394" s="3">
        <v>0</v>
      </c>
      <c r="T394" s="3">
        <v>0</v>
      </c>
      <c r="U394" s="3">
        <v>50494.63</v>
      </c>
      <c r="V394" s="5" t="e">
        <f t="shared" si="112"/>
        <v>#DIV/0!</v>
      </c>
    </row>
    <row r="395" spans="1:22" ht="24" customHeight="1" x14ac:dyDescent="0.25">
      <c r="A395" s="21" t="s">
        <v>1293</v>
      </c>
      <c r="B395" s="24" t="s">
        <v>838</v>
      </c>
      <c r="C395" s="2">
        <f t="shared" si="110"/>
        <v>2996027.44</v>
      </c>
      <c r="D395" s="3">
        <f t="shared" si="111"/>
        <v>0</v>
      </c>
      <c r="E395" s="3">
        <v>0</v>
      </c>
      <c r="F395" s="3">
        <v>0</v>
      </c>
      <c r="G395" s="3">
        <v>0</v>
      </c>
      <c r="H395" s="3">
        <v>0</v>
      </c>
      <c r="I395" s="3">
        <v>0</v>
      </c>
      <c r="J395" s="3">
        <v>0</v>
      </c>
      <c r="K395" s="4">
        <v>0</v>
      </c>
      <c r="L395" s="3">
        <v>0</v>
      </c>
      <c r="M395" s="3">
        <v>549.29999999999995</v>
      </c>
      <c r="N395" s="3">
        <v>2008648.84</v>
      </c>
      <c r="O395" s="3">
        <v>0</v>
      </c>
      <c r="P395" s="3">
        <v>0</v>
      </c>
      <c r="Q395" s="3">
        <v>722</v>
      </c>
      <c r="R395" s="3">
        <v>987378.6</v>
      </c>
      <c r="S395" s="3">
        <v>0</v>
      </c>
      <c r="T395" s="3">
        <v>0</v>
      </c>
      <c r="U395" s="3">
        <v>0</v>
      </c>
      <c r="V395" s="5">
        <f t="shared" si="112"/>
        <v>3656.7428363371569</v>
      </c>
    </row>
    <row r="396" spans="1:22" ht="24" customHeight="1" x14ac:dyDescent="0.25">
      <c r="A396" s="21" t="s">
        <v>1294</v>
      </c>
      <c r="B396" s="24" t="s">
        <v>227</v>
      </c>
      <c r="C396" s="2">
        <f t="shared" si="110"/>
        <v>2521391</v>
      </c>
      <c r="D396" s="3">
        <f t="shared" si="111"/>
        <v>0</v>
      </c>
      <c r="E396" s="3">
        <v>0</v>
      </c>
      <c r="F396" s="3">
        <v>0</v>
      </c>
      <c r="G396" s="3">
        <v>0</v>
      </c>
      <c r="H396" s="3">
        <v>0</v>
      </c>
      <c r="I396" s="3">
        <v>0</v>
      </c>
      <c r="J396" s="3">
        <v>0</v>
      </c>
      <c r="K396" s="4">
        <v>0</v>
      </c>
      <c r="L396" s="3">
        <v>0</v>
      </c>
      <c r="M396" s="3">
        <v>203.44</v>
      </c>
      <c r="N396" s="3">
        <v>1088890</v>
      </c>
      <c r="O396" s="3">
        <v>0</v>
      </c>
      <c r="P396" s="3">
        <v>0</v>
      </c>
      <c r="Q396" s="3">
        <v>390</v>
      </c>
      <c r="R396" s="3">
        <v>1432501</v>
      </c>
      <c r="S396" s="3">
        <v>0</v>
      </c>
      <c r="T396" s="3">
        <v>0</v>
      </c>
      <c r="U396" s="3">
        <v>0</v>
      </c>
      <c r="V396" s="5">
        <f t="shared" si="112"/>
        <v>5352.3889107353516</v>
      </c>
    </row>
    <row r="397" spans="1:22" ht="45" customHeight="1" x14ac:dyDescent="0.25">
      <c r="A397" s="51" t="s">
        <v>926</v>
      </c>
      <c r="B397" s="51"/>
      <c r="C397" s="2">
        <f t="shared" ref="C397:U397" si="113">SUM(C398)</f>
        <v>3461922.2</v>
      </c>
      <c r="D397" s="2">
        <f t="shared" si="113"/>
        <v>0</v>
      </c>
      <c r="E397" s="2">
        <f t="shared" si="113"/>
        <v>0</v>
      </c>
      <c r="F397" s="2">
        <f t="shared" si="113"/>
        <v>0</v>
      </c>
      <c r="G397" s="2">
        <f t="shared" si="113"/>
        <v>0</v>
      </c>
      <c r="H397" s="2">
        <f t="shared" si="113"/>
        <v>0</v>
      </c>
      <c r="I397" s="2">
        <f t="shared" si="113"/>
        <v>0</v>
      </c>
      <c r="J397" s="2">
        <f t="shared" si="113"/>
        <v>0</v>
      </c>
      <c r="K397" s="18">
        <f t="shared" si="113"/>
        <v>0</v>
      </c>
      <c r="L397" s="2">
        <f t="shared" si="113"/>
        <v>0</v>
      </c>
      <c r="M397" s="2">
        <f t="shared" si="113"/>
        <v>372</v>
      </c>
      <c r="N397" s="2">
        <f t="shared" si="113"/>
        <v>2039699.6</v>
      </c>
      <c r="O397" s="2">
        <f t="shared" si="113"/>
        <v>0</v>
      </c>
      <c r="P397" s="2">
        <f t="shared" si="113"/>
        <v>0</v>
      </c>
      <c r="Q397" s="2">
        <f t="shared" si="113"/>
        <v>258</v>
      </c>
      <c r="R397" s="2">
        <f t="shared" si="113"/>
        <v>1422222.6</v>
      </c>
      <c r="S397" s="2">
        <f t="shared" si="113"/>
        <v>0</v>
      </c>
      <c r="T397" s="2">
        <f t="shared" si="113"/>
        <v>0</v>
      </c>
      <c r="U397" s="2">
        <f t="shared" si="113"/>
        <v>0</v>
      </c>
      <c r="V397" s="20">
        <f>C397</f>
        <v>3461922.2</v>
      </c>
    </row>
    <row r="398" spans="1:22" ht="25.15" customHeight="1" x14ac:dyDescent="0.25">
      <c r="A398" s="21" t="s">
        <v>1295</v>
      </c>
      <c r="B398" s="24" t="s">
        <v>839</v>
      </c>
      <c r="C398" s="2">
        <f>D398+L398+N398+P398+R398+S398+T398+U398</f>
        <v>3461922.2</v>
      </c>
      <c r="D398" s="3">
        <f>SUM(E398:J398)</f>
        <v>0</v>
      </c>
      <c r="E398" s="3">
        <v>0</v>
      </c>
      <c r="F398" s="3">
        <v>0</v>
      </c>
      <c r="G398" s="3">
        <v>0</v>
      </c>
      <c r="H398" s="3">
        <v>0</v>
      </c>
      <c r="I398" s="3">
        <v>0</v>
      </c>
      <c r="J398" s="3">
        <v>0</v>
      </c>
      <c r="K398" s="4">
        <v>0</v>
      </c>
      <c r="L398" s="3">
        <v>0</v>
      </c>
      <c r="M398" s="3">
        <v>372</v>
      </c>
      <c r="N398" s="3">
        <v>2039699.6</v>
      </c>
      <c r="O398" s="3">
        <v>0</v>
      </c>
      <c r="P398" s="3">
        <v>0</v>
      </c>
      <c r="Q398" s="3">
        <v>258</v>
      </c>
      <c r="R398" s="3">
        <v>1422222.6</v>
      </c>
      <c r="S398" s="3">
        <v>0</v>
      </c>
      <c r="T398" s="3">
        <v>0</v>
      </c>
      <c r="U398" s="3">
        <v>0</v>
      </c>
      <c r="V398" s="5">
        <f>N398/M398</f>
        <v>5483.0634408602155</v>
      </c>
    </row>
    <row r="399" spans="1:22" ht="45" customHeight="1" x14ac:dyDescent="0.25">
      <c r="A399" s="51" t="s">
        <v>255</v>
      </c>
      <c r="B399" s="51"/>
      <c r="C399" s="2">
        <f t="shared" ref="C399:U399" si="114">SUM(C400:C415)</f>
        <v>62833535.530000001</v>
      </c>
      <c r="D399" s="2">
        <f t="shared" si="114"/>
        <v>10980453.6</v>
      </c>
      <c r="E399" s="2">
        <f t="shared" si="114"/>
        <v>3644816.45</v>
      </c>
      <c r="F399" s="2">
        <f t="shared" si="114"/>
        <v>5291943.43</v>
      </c>
      <c r="G399" s="2">
        <f t="shared" si="114"/>
        <v>1052744.0799999998</v>
      </c>
      <c r="H399" s="2">
        <f t="shared" si="114"/>
        <v>0</v>
      </c>
      <c r="I399" s="2">
        <f t="shared" si="114"/>
        <v>990949.64</v>
      </c>
      <c r="J399" s="2">
        <f t="shared" si="114"/>
        <v>0</v>
      </c>
      <c r="K399" s="18">
        <f t="shared" si="114"/>
        <v>0</v>
      </c>
      <c r="L399" s="2">
        <f t="shared" si="114"/>
        <v>0</v>
      </c>
      <c r="M399" s="2">
        <f t="shared" si="114"/>
        <v>7794.04</v>
      </c>
      <c r="N399" s="2">
        <f t="shared" si="114"/>
        <v>34238622.810000002</v>
      </c>
      <c r="O399" s="2">
        <f t="shared" si="114"/>
        <v>163.4</v>
      </c>
      <c r="P399" s="2">
        <f t="shared" si="114"/>
        <v>124568.4</v>
      </c>
      <c r="Q399" s="2">
        <f t="shared" si="114"/>
        <v>5912</v>
      </c>
      <c r="R399" s="2">
        <f t="shared" si="114"/>
        <v>15662558.599999998</v>
      </c>
      <c r="S399" s="2">
        <f t="shared" si="114"/>
        <v>0</v>
      </c>
      <c r="T399" s="2">
        <f t="shared" si="114"/>
        <v>0</v>
      </c>
      <c r="U399" s="2">
        <f t="shared" si="114"/>
        <v>1827332.12</v>
      </c>
    </row>
    <row r="400" spans="1:22" ht="25.15" customHeight="1" x14ac:dyDescent="0.25">
      <c r="A400" s="21" t="s">
        <v>1296</v>
      </c>
      <c r="B400" s="24" t="s">
        <v>913</v>
      </c>
      <c r="C400" s="2">
        <f t="shared" ref="C400:C415" si="115">D400+L400+N400+P400+R400+S400+T400+U400</f>
        <v>460135.79</v>
      </c>
      <c r="D400" s="3">
        <f t="shared" ref="D400:D415" si="116">SUM(E400:J400)</f>
        <v>0</v>
      </c>
      <c r="E400" s="13">
        <v>0</v>
      </c>
      <c r="F400" s="13">
        <v>0</v>
      </c>
      <c r="G400" s="13">
        <v>0</v>
      </c>
      <c r="H400" s="13">
        <v>0</v>
      </c>
      <c r="I400" s="13">
        <v>0</v>
      </c>
      <c r="J400" s="13">
        <v>0</v>
      </c>
      <c r="K400" s="14">
        <v>0</v>
      </c>
      <c r="L400" s="13">
        <v>0</v>
      </c>
      <c r="M400" s="13">
        <v>0</v>
      </c>
      <c r="N400" s="13">
        <v>0</v>
      </c>
      <c r="O400" s="13">
        <v>0</v>
      </c>
      <c r="P400" s="13">
        <v>0</v>
      </c>
      <c r="Q400" s="13">
        <v>0</v>
      </c>
      <c r="R400" s="3">
        <f>Q400*3000</f>
        <v>0</v>
      </c>
      <c r="S400" s="13">
        <v>0</v>
      </c>
      <c r="T400" s="13">
        <v>0</v>
      </c>
      <c r="U400" s="13">
        <v>460135.79</v>
      </c>
      <c r="V400" s="5" t="e">
        <f t="shared" ref="V400:V415" si="117">N400/M400</f>
        <v>#DIV/0!</v>
      </c>
    </row>
    <row r="401" spans="1:22" ht="25.15" customHeight="1" x14ac:dyDescent="0.25">
      <c r="A401" s="21" t="s">
        <v>1297</v>
      </c>
      <c r="B401" s="26" t="s">
        <v>233</v>
      </c>
      <c r="C401" s="2">
        <f t="shared" si="115"/>
        <v>9974525.0099999998</v>
      </c>
      <c r="D401" s="3">
        <f t="shared" si="116"/>
        <v>2369279.0900000003</v>
      </c>
      <c r="E401" s="3">
        <v>490134.02</v>
      </c>
      <c r="F401" s="3">
        <v>1333139.81</v>
      </c>
      <c r="G401" s="3">
        <v>290053.45</v>
      </c>
      <c r="H401" s="3">
        <f>500*0</f>
        <v>0</v>
      </c>
      <c r="I401" s="3">
        <v>255951.81</v>
      </c>
      <c r="J401" s="3">
        <f>350*0</f>
        <v>0</v>
      </c>
      <c r="K401" s="4">
        <v>0</v>
      </c>
      <c r="L401" s="3">
        <v>0</v>
      </c>
      <c r="M401" s="3">
        <v>853.48</v>
      </c>
      <c r="N401" s="3">
        <v>4390154.92</v>
      </c>
      <c r="O401" s="3">
        <v>49.2</v>
      </c>
      <c r="P401" s="3">
        <v>50016</v>
      </c>
      <c r="Q401" s="3">
        <v>1215</v>
      </c>
      <c r="R401" s="3">
        <v>3165075</v>
      </c>
      <c r="S401" s="3">
        <v>0</v>
      </c>
      <c r="T401" s="3">
        <v>0</v>
      </c>
      <c r="U401" s="3">
        <v>0</v>
      </c>
      <c r="V401" s="5">
        <f t="shared" si="117"/>
        <v>5143.8287013169611</v>
      </c>
    </row>
    <row r="402" spans="1:22" ht="25.15" customHeight="1" x14ac:dyDescent="0.25">
      <c r="A402" s="21" t="s">
        <v>1298</v>
      </c>
      <c r="B402" s="24" t="s">
        <v>235</v>
      </c>
      <c r="C402" s="2">
        <f t="shared" si="115"/>
        <v>3360072</v>
      </c>
      <c r="D402" s="3">
        <f t="shared" si="116"/>
        <v>0</v>
      </c>
      <c r="E402" s="3">
        <v>0</v>
      </c>
      <c r="F402" s="3">
        <v>0</v>
      </c>
      <c r="G402" s="3">
        <v>0</v>
      </c>
      <c r="H402" s="3">
        <v>0</v>
      </c>
      <c r="I402" s="3">
        <v>0</v>
      </c>
      <c r="J402" s="3">
        <v>0</v>
      </c>
      <c r="K402" s="4">
        <v>0</v>
      </c>
      <c r="L402" s="3">
        <v>0</v>
      </c>
      <c r="M402" s="3">
        <v>924.85</v>
      </c>
      <c r="N402" s="3">
        <v>3360072</v>
      </c>
      <c r="O402" s="3">
        <v>0</v>
      </c>
      <c r="P402" s="3">
        <v>0</v>
      </c>
      <c r="Q402" s="3">
        <v>0</v>
      </c>
      <c r="R402" s="3">
        <v>0</v>
      </c>
      <c r="S402" s="3">
        <v>0</v>
      </c>
      <c r="T402" s="3">
        <v>0</v>
      </c>
      <c r="U402" s="3">
        <v>0</v>
      </c>
      <c r="V402" s="5">
        <f t="shared" si="117"/>
        <v>3633.0994215278151</v>
      </c>
    </row>
    <row r="403" spans="1:22" ht="24.6" customHeight="1" x14ac:dyDescent="0.25">
      <c r="A403" s="21" t="s">
        <v>1299</v>
      </c>
      <c r="B403" s="26" t="s">
        <v>234</v>
      </c>
      <c r="C403" s="2">
        <f t="shared" si="115"/>
        <v>140000.76</v>
      </c>
      <c r="D403" s="3">
        <f t="shared" si="116"/>
        <v>0</v>
      </c>
      <c r="E403" s="3">
        <v>0</v>
      </c>
      <c r="F403" s="3">
        <v>0</v>
      </c>
      <c r="G403" s="3">
        <v>0</v>
      </c>
      <c r="H403" s="3">
        <f>400*0</f>
        <v>0</v>
      </c>
      <c r="I403" s="3">
        <v>0</v>
      </c>
      <c r="J403" s="3">
        <f t="shared" ref="J403:J412" si="118">350*0</f>
        <v>0</v>
      </c>
      <c r="K403" s="4">
        <v>0</v>
      </c>
      <c r="L403" s="3">
        <v>0</v>
      </c>
      <c r="M403" s="3">
        <v>0</v>
      </c>
      <c r="N403" s="3">
        <f>M403*5500</f>
        <v>0</v>
      </c>
      <c r="O403" s="3">
        <v>0</v>
      </c>
      <c r="P403" s="3">
        <v>0</v>
      </c>
      <c r="Q403" s="3">
        <v>0</v>
      </c>
      <c r="R403" s="3">
        <f>Q403*3000</f>
        <v>0</v>
      </c>
      <c r="S403" s="3">
        <v>0</v>
      </c>
      <c r="T403" s="3">
        <v>0</v>
      </c>
      <c r="U403" s="3">
        <v>140000.76</v>
      </c>
      <c r="V403" s="5" t="e">
        <f t="shared" si="117"/>
        <v>#DIV/0!</v>
      </c>
    </row>
    <row r="404" spans="1:22" ht="25.15" customHeight="1" x14ac:dyDescent="0.25">
      <c r="A404" s="21" t="s">
        <v>1300</v>
      </c>
      <c r="B404" s="26" t="s">
        <v>237</v>
      </c>
      <c r="C404" s="2">
        <f t="shared" si="115"/>
        <v>7813966.8300000001</v>
      </c>
      <c r="D404" s="3">
        <f t="shared" si="116"/>
        <v>2264532.91</v>
      </c>
      <c r="E404" s="3">
        <v>445045.23</v>
      </c>
      <c r="F404" s="3">
        <v>1274424.02</v>
      </c>
      <c r="G404" s="3">
        <v>273711.03000000003</v>
      </c>
      <c r="H404" s="3">
        <f>500*0</f>
        <v>0</v>
      </c>
      <c r="I404" s="3">
        <v>271352.63</v>
      </c>
      <c r="J404" s="3">
        <f t="shared" si="118"/>
        <v>0</v>
      </c>
      <c r="K404" s="4">
        <v>0</v>
      </c>
      <c r="L404" s="3">
        <v>0</v>
      </c>
      <c r="M404" s="3">
        <v>741.45</v>
      </c>
      <c r="N404" s="3">
        <v>2349427.92</v>
      </c>
      <c r="O404" s="3">
        <v>41.8</v>
      </c>
      <c r="P404" s="3">
        <v>38376</v>
      </c>
      <c r="Q404" s="3">
        <v>1333</v>
      </c>
      <c r="R404" s="3">
        <v>3161630</v>
      </c>
      <c r="S404" s="3">
        <v>0</v>
      </c>
      <c r="T404" s="3">
        <v>0</v>
      </c>
      <c r="U404" s="3">
        <v>0</v>
      </c>
      <c r="V404" s="5">
        <f t="shared" si="117"/>
        <v>3168.6936678130687</v>
      </c>
    </row>
    <row r="405" spans="1:22" ht="25.15" customHeight="1" x14ac:dyDescent="0.25">
      <c r="A405" s="21" t="s">
        <v>1301</v>
      </c>
      <c r="B405" s="26" t="s">
        <v>239</v>
      </c>
      <c r="C405" s="2">
        <f t="shared" si="115"/>
        <v>4596934.3000000007</v>
      </c>
      <c r="D405" s="3">
        <f t="shared" si="116"/>
        <v>527950.79999999993</v>
      </c>
      <c r="E405" s="3">
        <v>424053.6</v>
      </c>
      <c r="F405" s="3">
        <v>0</v>
      </c>
      <c r="G405" s="3">
        <v>103897.2</v>
      </c>
      <c r="H405" s="3">
        <f>400*0</f>
        <v>0</v>
      </c>
      <c r="I405" s="3">
        <v>0</v>
      </c>
      <c r="J405" s="3">
        <f t="shared" si="118"/>
        <v>0</v>
      </c>
      <c r="K405" s="4">
        <v>0</v>
      </c>
      <c r="L405" s="3">
        <v>0</v>
      </c>
      <c r="M405" s="3">
        <v>0</v>
      </c>
      <c r="N405" s="3">
        <v>0</v>
      </c>
      <c r="O405" s="3">
        <v>72.400000000000006</v>
      </c>
      <c r="P405" s="3">
        <v>36176.400000000001</v>
      </c>
      <c r="Q405" s="3">
        <v>1380</v>
      </c>
      <c r="R405" s="3">
        <v>3860161.2</v>
      </c>
      <c r="S405" s="3">
        <v>0</v>
      </c>
      <c r="T405" s="3">
        <v>0</v>
      </c>
      <c r="U405" s="3">
        <v>172645.9</v>
      </c>
      <c r="V405" s="5" t="e">
        <f t="shared" si="117"/>
        <v>#DIV/0!</v>
      </c>
    </row>
    <row r="406" spans="1:22" ht="25.15" customHeight="1" x14ac:dyDescent="0.25">
      <c r="A406" s="21" t="s">
        <v>1302</v>
      </c>
      <c r="B406" s="26" t="s">
        <v>240</v>
      </c>
      <c r="C406" s="2">
        <f t="shared" si="115"/>
        <v>3984198.4000000004</v>
      </c>
      <c r="D406" s="3">
        <f t="shared" si="116"/>
        <v>309780</v>
      </c>
      <c r="E406" s="3">
        <v>218102.39999999999</v>
      </c>
      <c r="F406" s="3">
        <v>91677.6</v>
      </c>
      <c r="G406" s="3">
        <v>0</v>
      </c>
      <c r="H406" s="3">
        <f>400*0</f>
        <v>0</v>
      </c>
      <c r="I406" s="3">
        <v>0</v>
      </c>
      <c r="J406" s="3">
        <f t="shared" si="118"/>
        <v>0</v>
      </c>
      <c r="K406" s="4">
        <v>0</v>
      </c>
      <c r="L406" s="3">
        <v>0</v>
      </c>
      <c r="M406" s="3">
        <v>482</v>
      </c>
      <c r="N406" s="3">
        <v>1546636.8</v>
      </c>
      <c r="O406" s="3">
        <v>0</v>
      </c>
      <c r="P406" s="3">
        <v>0</v>
      </c>
      <c r="Q406" s="3">
        <v>768</v>
      </c>
      <c r="R406" s="3">
        <v>2027781.6</v>
      </c>
      <c r="S406" s="3">
        <v>0</v>
      </c>
      <c r="T406" s="3">
        <v>0</v>
      </c>
      <c r="U406" s="3">
        <v>100000</v>
      </c>
      <c r="V406" s="5">
        <f t="shared" si="117"/>
        <v>3208.7900414937762</v>
      </c>
    </row>
    <row r="407" spans="1:22" ht="25.15" customHeight="1" x14ac:dyDescent="0.25">
      <c r="A407" s="21" t="s">
        <v>1303</v>
      </c>
      <c r="B407" s="26" t="s">
        <v>241</v>
      </c>
      <c r="C407" s="2">
        <f t="shared" si="115"/>
        <v>4744937.4399999995</v>
      </c>
      <c r="D407" s="3">
        <f t="shared" si="116"/>
        <v>0</v>
      </c>
      <c r="E407" s="3">
        <v>0</v>
      </c>
      <c r="F407" s="3">
        <v>0</v>
      </c>
      <c r="G407" s="3">
        <v>0</v>
      </c>
      <c r="H407" s="3">
        <v>0</v>
      </c>
      <c r="I407" s="3">
        <v>0</v>
      </c>
      <c r="J407" s="3">
        <f t="shared" si="118"/>
        <v>0</v>
      </c>
      <c r="K407" s="4">
        <v>0</v>
      </c>
      <c r="L407" s="3">
        <v>0</v>
      </c>
      <c r="M407" s="3">
        <v>858</v>
      </c>
      <c r="N407" s="3">
        <v>4567174.8</v>
      </c>
      <c r="O407" s="3">
        <v>0</v>
      </c>
      <c r="P407" s="3">
        <v>0</v>
      </c>
      <c r="Q407" s="3">
        <v>0</v>
      </c>
      <c r="R407" s="3">
        <v>0</v>
      </c>
      <c r="S407" s="3">
        <v>0</v>
      </c>
      <c r="T407" s="3">
        <v>0</v>
      </c>
      <c r="U407" s="3">
        <v>177762.64</v>
      </c>
      <c r="V407" s="5">
        <f t="shared" si="117"/>
        <v>5323.0475524475523</v>
      </c>
    </row>
    <row r="408" spans="1:22" ht="25.15" customHeight="1" x14ac:dyDescent="0.25">
      <c r="A408" s="21" t="s">
        <v>1304</v>
      </c>
      <c r="B408" s="26" t="s">
        <v>242</v>
      </c>
      <c r="C408" s="2">
        <f t="shared" si="115"/>
        <v>6633813.6000000006</v>
      </c>
      <c r="D408" s="3">
        <f t="shared" si="116"/>
        <v>1373498.4</v>
      </c>
      <c r="E408" s="3">
        <v>271088.40000000002</v>
      </c>
      <c r="F408" s="3">
        <f>1050*775</f>
        <v>813750</v>
      </c>
      <c r="G408" s="3">
        <v>95161.2</v>
      </c>
      <c r="H408" s="3">
        <f>400*0</f>
        <v>0</v>
      </c>
      <c r="I408" s="3">
        <v>193498.8</v>
      </c>
      <c r="J408" s="3">
        <f t="shared" si="118"/>
        <v>0</v>
      </c>
      <c r="K408" s="4">
        <v>0</v>
      </c>
      <c r="L408" s="3">
        <v>0</v>
      </c>
      <c r="M408" s="3">
        <v>587.6</v>
      </c>
      <c r="N408" s="3">
        <v>3146000</v>
      </c>
      <c r="O408" s="3">
        <v>0</v>
      </c>
      <c r="P408" s="3">
        <v>0</v>
      </c>
      <c r="Q408" s="3">
        <v>736</v>
      </c>
      <c r="R408" s="3">
        <v>2014315.2</v>
      </c>
      <c r="S408" s="3">
        <v>0</v>
      </c>
      <c r="T408" s="3">
        <v>0</v>
      </c>
      <c r="U408" s="3">
        <v>100000</v>
      </c>
      <c r="V408" s="5">
        <f t="shared" si="117"/>
        <v>5353.9823008849553</v>
      </c>
    </row>
    <row r="409" spans="1:22" ht="25.15" customHeight="1" x14ac:dyDescent="0.25">
      <c r="A409" s="21" t="s">
        <v>1305</v>
      </c>
      <c r="B409" s="26" t="s">
        <v>238</v>
      </c>
      <c r="C409" s="2">
        <f t="shared" si="115"/>
        <v>2539190.7999999998</v>
      </c>
      <c r="D409" s="3">
        <f t="shared" si="116"/>
        <v>133339.20000000001</v>
      </c>
      <c r="E409" s="3">
        <v>133339.20000000001</v>
      </c>
      <c r="F409" s="3">
        <v>0</v>
      </c>
      <c r="G409" s="3">
        <v>0</v>
      </c>
      <c r="H409" s="3">
        <f>400*0</f>
        <v>0</v>
      </c>
      <c r="I409" s="3">
        <v>0</v>
      </c>
      <c r="J409" s="3">
        <f t="shared" si="118"/>
        <v>0</v>
      </c>
      <c r="K409" s="4">
        <v>0</v>
      </c>
      <c r="L409" s="3">
        <v>0</v>
      </c>
      <c r="M409" s="3">
        <v>236.25</v>
      </c>
      <c r="N409" s="3">
        <v>872256</v>
      </c>
      <c r="O409" s="3">
        <v>0</v>
      </c>
      <c r="P409" s="3">
        <v>0</v>
      </c>
      <c r="Q409" s="3">
        <v>480</v>
      </c>
      <c r="R409" s="3">
        <v>1433595.6</v>
      </c>
      <c r="S409" s="3">
        <v>0</v>
      </c>
      <c r="T409" s="3">
        <v>0</v>
      </c>
      <c r="U409" s="3">
        <v>100000</v>
      </c>
      <c r="V409" s="5">
        <f t="shared" si="117"/>
        <v>3692.088888888889</v>
      </c>
    </row>
    <row r="410" spans="1:22" ht="25.15" customHeight="1" x14ac:dyDescent="0.25">
      <c r="A410" s="21" t="s">
        <v>1306</v>
      </c>
      <c r="B410" s="26" t="s">
        <v>244</v>
      </c>
      <c r="C410" s="2">
        <f t="shared" si="115"/>
        <v>120570.93</v>
      </c>
      <c r="D410" s="3">
        <f t="shared" si="116"/>
        <v>0</v>
      </c>
      <c r="E410" s="3">
        <v>0</v>
      </c>
      <c r="F410" s="3">
        <v>0</v>
      </c>
      <c r="G410" s="3">
        <v>0</v>
      </c>
      <c r="H410" s="3">
        <f>400*0</f>
        <v>0</v>
      </c>
      <c r="I410" s="3">
        <v>0</v>
      </c>
      <c r="J410" s="3">
        <f t="shared" si="118"/>
        <v>0</v>
      </c>
      <c r="K410" s="4">
        <v>0</v>
      </c>
      <c r="L410" s="3">
        <v>0</v>
      </c>
      <c r="M410" s="3">
        <v>0</v>
      </c>
      <c r="N410" s="3">
        <v>0</v>
      </c>
      <c r="O410" s="3">
        <v>0</v>
      </c>
      <c r="P410" s="3">
        <v>0</v>
      </c>
      <c r="Q410" s="3">
        <v>0</v>
      </c>
      <c r="R410" s="3">
        <f>Q410*3000</f>
        <v>0</v>
      </c>
      <c r="S410" s="3">
        <v>0</v>
      </c>
      <c r="T410" s="3">
        <v>0</v>
      </c>
      <c r="U410" s="3">
        <v>120570.93</v>
      </c>
      <c r="V410" s="5" t="e">
        <f t="shared" si="117"/>
        <v>#DIV/0!</v>
      </c>
    </row>
    <row r="411" spans="1:22" ht="25.15" customHeight="1" x14ac:dyDescent="0.25">
      <c r="A411" s="21" t="s">
        <v>1307</v>
      </c>
      <c r="B411" s="26" t="s">
        <v>247</v>
      </c>
      <c r="C411" s="2">
        <f t="shared" si="115"/>
        <v>2887883.21</v>
      </c>
      <c r="D411" s="3">
        <f t="shared" si="116"/>
        <v>2649967.2000000002</v>
      </c>
      <c r="E411" s="3">
        <v>1057468.8</v>
      </c>
      <c r="F411" s="3">
        <v>1177621.2</v>
      </c>
      <c r="G411" s="3">
        <v>239659.2</v>
      </c>
      <c r="H411" s="3">
        <f>400*0</f>
        <v>0</v>
      </c>
      <c r="I411" s="3">
        <v>175218</v>
      </c>
      <c r="J411" s="3">
        <f t="shared" si="118"/>
        <v>0</v>
      </c>
      <c r="K411" s="4">
        <v>0</v>
      </c>
      <c r="L411" s="3">
        <v>0</v>
      </c>
      <c r="M411" s="3">
        <v>0</v>
      </c>
      <c r="N411" s="3">
        <v>0</v>
      </c>
      <c r="O411" s="3">
        <v>0</v>
      </c>
      <c r="P411" s="3">
        <v>0</v>
      </c>
      <c r="Q411" s="3">
        <v>0</v>
      </c>
      <c r="R411" s="3">
        <v>0</v>
      </c>
      <c r="S411" s="3">
        <v>0</v>
      </c>
      <c r="T411" s="3">
        <v>0</v>
      </c>
      <c r="U411" s="3">
        <v>237916.01</v>
      </c>
      <c r="V411" s="5" t="e">
        <f t="shared" si="117"/>
        <v>#DIV/0!</v>
      </c>
    </row>
    <row r="412" spans="1:22" ht="25.15" customHeight="1" x14ac:dyDescent="0.25">
      <c r="A412" s="21" t="s">
        <v>1308</v>
      </c>
      <c r="B412" s="26" t="s">
        <v>245</v>
      </c>
      <c r="C412" s="2">
        <f t="shared" si="115"/>
        <v>5697166.0899999999</v>
      </c>
      <c r="D412" s="3">
        <f t="shared" si="116"/>
        <v>1352106</v>
      </c>
      <c r="E412" s="3">
        <v>605584.80000000005</v>
      </c>
      <c r="F412" s="3">
        <v>601330.80000000005</v>
      </c>
      <c r="G412" s="3">
        <v>50262</v>
      </c>
      <c r="H412" s="3">
        <f>400*0</f>
        <v>0</v>
      </c>
      <c r="I412" s="3">
        <v>94928.4</v>
      </c>
      <c r="J412" s="3">
        <f t="shared" si="118"/>
        <v>0</v>
      </c>
      <c r="K412" s="4">
        <v>0</v>
      </c>
      <c r="L412" s="3">
        <v>0</v>
      </c>
      <c r="M412" s="3">
        <v>750.32</v>
      </c>
      <c r="N412" s="3">
        <v>4126760</v>
      </c>
      <c r="O412" s="3">
        <v>0</v>
      </c>
      <c r="P412" s="3">
        <v>0</v>
      </c>
      <c r="Q412" s="3">
        <v>0</v>
      </c>
      <c r="R412" s="3">
        <v>0</v>
      </c>
      <c r="S412" s="3">
        <v>0</v>
      </c>
      <c r="T412" s="3">
        <v>0</v>
      </c>
      <c r="U412" s="3">
        <v>218300.09</v>
      </c>
      <c r="V412" s="5">
        <f t="shared" si="117"/>
        <v>5500</v>
      </c>
    </row>
    <row r="413" spans="1:22" ht="25.15" customHeight="1" x14ac:dyDescent="0.25">
      <c r="A413" s="21" t="s">
        <v>1309</v>
      </c>
      <c r="B413" s="26" t="s">
        <v>246</v>
      </c>
      <c r="C413" s="2">
        <f t="shared" si="115"/>
        <v>4173275.2</v>
      </c>
      <c r="D413" s="3">
        <f t="shared" si="116"/>
        <v>0</v>
      </c>
      <c r="E413" s="3">
        <v>0</v>
      </c>
      <c r="F413" s="3">
        <v>0</v>
      </c>
      <c r="G413" s="3">
        <v>0</v>
      </c>
      <c r="H413" s="3">
        <v>0</v>
      </c>
      <c r="I413" s="3">
        <v>0</v>
      </c>
      <c r="J413" s="3">
        <v>0</v>
      </c>
      <c r="K413" s="4">
        <v>0</v>
      </c>
      <c r="L413" s="3">
        <v>0</v>
      </c>
      <c r="M413" s="3">
        <v>740.29</v>
      </c>
      <c r="N413" s="3">
        <v>4173275.2</v>
      </c>
      <c r="O413" s="3">
        <v>0</v>
      </c>
      <c r="P413" s="3">
        <v>0</v>
      </c>
      <c r="Q413" s="3">
        <v>0</v>
      </c>
      <c r="R413" s="3">
        <f>Q413*3000</f>
        <v>0</v>
      </c>
      <c r="S413" s="3">
        <v>0</v>
      </c>
      <c r="T413" s="3">
        <v>0</v>
      </c>
      <c r="U413" s="3">
        <v>0</v>
      </c>
      <c r="V413" s="5">
        <f t="shared" si="117"/>
        <v>5637.3518485998738</v>
      </c>
    </row>
    <row r="414" spans="1:22" ht="25.15" customHeight="1" x14ac:dyDescent="0.25">
      <c r="A414" s="21" t="s">
        <v>1310</v>
      </c>
      <c r="B414" s="26" t="s">
        <v>809</v>
      </c>
      <c r="C414" s="2">
        <f t="shared" si="115"/>
        <v>2856034.53</v>
      </c>
      <c r="D414" s="3">
        <f t="shared" si="116"/>
        <v>0</v>
      </c>
      <c r="E414" s="3">
        <v>0</v>
      </c>
      <c r="F414" s="3">
        <v>0</v>
      </c>
      <c r="G414" s="3">
        <v>0</v>
      </c>
      <c r="H414" s="3">
        <v>0</v>
      </c>
      <c r="I414" s="3">
        <v>0</v>
      </c>
      <c r="J414" s="3">
        <v>0</v>
      </c>
      <c r="K414" s="4">
        <v>0</v>
      </c>
      <c r="L414" s="3">
        <v>0</v>
      </c>
      <c r="M414" s="3">
        <v>806.8</v>
      </c>
      <c r="N414" s="3">
        <v>2856034.53</v>
      </c>
      <c r="O414" s="3">
        <v>0</v>
      </c>
      <c r="P414" s="3">
        <v>0</v>
      </c>
      <c r="Q414" s="3">
        <v>0</v>
      </c>
      <c r="R414" s="3">
        <f>Q414*3000</f>
        <v>0</v>
      </c>
      <c r="S414" s="3">
        <v>0</v>
      </c>
      <c r="T414" s="3">
        <v>0</v>
      </c>
      <c r="U414" s="3">
        <v>0</v>
      </c>
      <c r="V414" s="5">
        <f t="shared" si="117"/>
        <v>3539.9535572632622</v>
      </c>
    </row>
    <row r="415" spans="1:22" ht="25.15" customHeight="1" x14ac:dyDescent="0.25">
      <c r="A415" s="21" t="s">
        <v>1311</v>
      </c>
      <c r="B415" s="26" t="s">
        <v>810</v>
      </c>
      <c r="C415" s="2">
        <f t="shared" si="115"/>
        <v>2850830.64</v>
      </c>
      <c r="D415" s="3">
        <f t="shared" si="116"/>
        <v>0</v>
      </c>
      <c r="E415" s="3">
        <v>0</v>
      </c>
      <c r="F415" s="3">
        <v>0</v>
      </c>
      <c r="G415" s="3">
        <v>0</v>
      </c>
      <c r="H415" s="3">
        <v>0</v>
      </c>
      <c r="I415" s="3">
        <v>0</v>
      </c>
      <c r="J415" s="3">
        <v>0</v>
      </c>
      <c r="K415" s="4">
        <v>0</v>
      </c>
      <c r="L415" s="3">
        <v>0</v>
      </c>
      <c r="M415" s="3">
        <v>813</v>
      </c>
      <c r="N415" s="3">
        <v>2850830.64</v>
      </c>
      <c r="O415" s="3">
        <v>0</v>
      </c>
      <c r="P415" s="3">
        <v>0</v>
      </c>
      <c r="Q415" s="3">
        <v>0</v>
      </c>
      <c r="R415" s="3">
        <f>Q415*3000</f>
        <v>0</v>
      </c>
      <c r="S415" s="3">
        <v>0</v>
      </c>
      <c r="T415" s="3">
        <v>0</v>
      </c>
      <c r="U415" s="3">
        <v>0</v>
      </c>
      <c r="V415" s="5">
        <f t="shared" si="117"/>
        <v>3506.556752767528</v>
      </c>
    </row>
    <row r="416" spans="1:22" ht="40.15" customHeight="1" x14ac:dyDescent="0.25">
      <c r="A416" s="51" t="s">
        <v>819</v>
      </c>
      <c r="B416" s="51"/>
      <c r="C416" s="2">
        <f t="shared" ref="C416:U416" si="119">SUM(C417)</f>
        <v>1980000</v>
      </c>
      <c r="D416" s="2">
        <f t="shared" si="119"/>
        <v>0</v>
      </c>
      <c r="E416" s="2">
        <f t="shared" si="119"/>
        <v>0</v>
      </c>
      <c r="F416" s="2">
        <f t="shared" si="119"/>
        <v>0</v>
      </c>
      <c r="G416" s="2">
        <f t="shared" si="119"/>
        <v>0</v>
      </c>
      <c r="H416" s="2">
        <f t="shared" si="119"/>
        <v>0</v>
      </c>
      <c r="I416" s="2">
        <f t="shared" si="119"/>
        <v>0</v>
      </c>
      <c r="J416" s="2">
        <f t="shared" si="119"/>
        <v>0</v>
      </c>
      <c r="K416" s="18">
        <f t="shared" si="119"/>
        <v>0</v>
      </c>
      <c r="L416" s="2">
        <f t="shared" si="119"/>
        <v>0</v>
      </c>
      <c r="M416" s="2">
        <f t="shared" si="119"/>
        <v>0</v>
      </c>
      <c r="N416" s="2">
        <f t="shared" si="119"/>
        <v>0</v>
      </c>
      <c r="O416" s="2">
        <f t="shared" si="119"/>
        <v>0</v>
      </c>
      <c r="P416" s="2">
        <f t="shared" si="119"/>
        <v>0</v>
      </c>
      <c r="Q416" s="2">
        <f t="shared" si="119"/>
        <v>660</v>
      </c>
      <c r="R416" s="2">
        <f t="shared" si="119"/>
        <v>1980000</v>
      </c>
      <c r="S416" s="2">
        <f t="shared" si="119"/>
        <v>0</v>
      </c>
      <c r="T416" s="2">
        <f t="shared" si="119"/>
        <v>0</v>
      </c>
      <c r="U416" s="2">
        <f t="shared" si="119"/>
        <v>0</v>
      </c>
    </row>
    <row r="417" spans="1:22" ht="24" customHeight="1" x14ac:dyDescent="0.25">
      <c r="A417" s="21" t="s">
        <v>1312</v>
      </c>
      <c r="B417" s="26" t="s">
        <v>820</v>
      </c>
      <c r="C417" s="2">
        <f>D417+L417+N417+P417+R417+S417+T417+U417</f>
        <v>1980000</v>
      </c>
      <c r="D417" s="3">
        <f>SUM(E417:J417)</f>
        <v>0</v>
      </c>
      <c r="E417" s="3">
        <v>0</v>
      </c>
      <c r="F417" s="3">
        <v>0</v>
      </c>
      <c r="G417" s="3">
        <v>0</v>
      </c>
      <c r="H417" s="3">
        <v>0</v>
      </c>
      <c r="I417" s="3">
        <v>0</v>
      </c>
      <c r="J417" s="3">
        <v>0</v>
      </c>
      <c r="K417" s="4">
        <v>0</v>
      </c>
      <c r="L417" s="3">
        <v>0</v>
      </c>
      <c r="M417" s="3">
        <v>0</v>
      </c>
      <c r="N417" s="3">
        <v>0</v>
      </c>
      <c r="O417" s="3">
        <v>0</v>
      </c>
      <c r="P417" s="3">
        <v>0</v>
      </c>
      <c r="Q417" s="3">
        <v>660</v>
      </c>
      <c r="R417" s="3">
        <f>Q417*3000</f>
        <v>1980000</v>
      </c>
      <c r="S417" s="3">
        <v>0</v>
      </c>
      <c r="T417" s="3">
        <v>0</v>
      </c>
      <c r="U417" s="3">
        <v>0</v>
      </c>
      <c r="V417" s="5" t="e">
        <f>N417/M417</f>
        <v>#DIV/0!</v>
      </c>
    </row>
    <row r="418" spans="1:22" ht="40.15" customHeight="1" x14ac:dyDescent="0.25">
      <c r="A418" s="51" t="s">
        <v>256</v>
      </c>
      <c r="B418" s="51"/>
      <c r="C418" s="2">
        <f t="shared" ref="C418:U418" si="120">SUM(C419)</f>
        <v>4337452.32</v>
      </c>
      <c r="D418" s="2">
        <f t="shared" si="120"/>
        <v>1086193.06</v>
      </c>
      <c r="E418" s="2">
        <f t="shared" si="120"/>
        <v>151561.39000000001</v>
      </c>
      <c r="F418" s="2">
        <f t="shared" si="120"/>
        <v>627654.87</v>
      </c>
      <c r="G418" s="2">
        <f t="shared" si="120"/>
        <v>145210.45000000001</v>
      </c>
      <c r="H418" s="2">
        <f t="shared" si="120"/>
        <v>109542.28</v>
      </c>
      <c r="I418" s="2">
        <f t="shared" si="120"/>
        <v>52224.07</v>
      </c>
      <c r="J418" s="2">
        <f t="shared" si="120"/>
        <v>0</v>
      </c>
      <c r="K418" s="18">
        <f t="shared" si="120"/>
        <v>0</v>
      </c>
      <c r="L418" s="2">
        <f t="shared" si="120"/>
        <v>0</v>
      </c>
      <c r="M418" s="2">
        <f t="shared" si="120"/>
        <v>451</v>
      </c>
      <c r="N418" s="2">
        <f t="shared" si="120"/>
        <v>1425880.38</v>
      </c>
      <c r="O418" s="2">
        <f t="shared" si="120"/>
        <v>215</v>
      </c>
      <c r="P418" s="2">
        <f t="shared" si="120"/>
        <v>91634.95</v>
      </c>
      <c r="Q418" s="2">
        <f t="shared" si="120"/>
        <v>684</v>
      </c>
      <c r="R418" s="2">
        <f t="shared" si="120"/>
        <v>1733743.93</v>
      </c>
      <c r="S418" s="2">
        <f t="shared" si="120"/>
        <v>0</v>
      </c>
      <c r="T418" s="2">
        <f t="shared" si="120"/>
        <v>0</v>
      </c>
      <c r="U418" s="2">
        <f t="shared" si="120"/>
        <v>0</v>
      </c>
      <c r="V418" s="20">
        <f>C418</f>
        <v>4337452.32</v>
      </c>
    </row>
    <row r="419" spans="1:22" ht="24" customHeight="1" x14ac:dyDescent="0.25">
      <c r="A419" s="21" t="s">
        <v>1313</v>
      </c>
      <c r="B419" s="26" t="s">
        <v>257</v>
      </c>
      <c r="C419" s="2">
        <f>D419+L419+N419+P419+R419+S419+T419+U419</f>
        <v>4337452.32</v>
      </c>
      <c r="D419" s="3">
        <f>SUM(E419:J419)</f>
        <v>1086193.06</v>
      </c>
      <c r="E419" s="3">
        <v>151561.39000000001</v>
      </c>
      <c r="F419" s="3">
        <v>627654.87</v>
      </c>
      <c r="G419" s="3">
        <v>145210.45000000001</v>
      </c>
      <c r="H419" s="3">
        <v>109542.28</v>
      </c>
      <c r="I419" s="3">
        <v>52224.07</v>
      </c>
      <c r="J419" s="3">
        <f>350*0</f>
        <v>0</v>
      </c>
      <c r="K419" s="4">
        <v>0</v>
      </c>
      <c r="L419" s="3">
        <v>0</v>
      </c>
      <c r="M419" s="3">
        <v>451</v>
      </c>
      <c r="N419" s="3">
        <v>1425880.38</v>
      </c>
      <c r="O419" s="3">
        <v>215</v>
      </c>
      <c r="P419" s="3">
        <v>91634.95</v>
      </c>
      <c r="Q419" s="3">
        <v>684</v>
      </c>
      <c r="R419" s="3">
        <v>1733743.93</v>
      </c>
      <c r="S419" s="3">
        <v>0</v>
      </c>
      <c r="T419" s="3">
        <v>0</v>
      </c>
      <c r="U419" s="3">
        <v>0</v>
      </c>
      <c r="V419" s="5">
        <f>N419/M419</f>
        <v>3161.5972949002216</v>
      </c>
    </row>
    <row r="420" spans="1:22" ht="40.15" customHeight="1" x14ac:dyDescent="0.25">
      <c r="A420" s="51" t="s">
        <v>260</v>
      </c>
      <c r="B420" s="51"/>
      <c r="C420" s="2">
        <f t="shared" ref="C420:U420" si="121">SUM(C421:C422)</f>
        <v>4088364.95</v>
      </c>
      <c r="D420" s="2">
        <f t="shared" si="121"/>
        <v>0</v>
      </c>
      <c r="E420" s="2">
        <f t="shared" si="121"/>
        <v>0</v>
      </c>
      <c r="F420" s="2">
        <f t="shared" si="121"/>
        <v>0</v>
      </c>
      <c r="G420" s="2">
        <f t="shared" si="121"/>
        <v>0</v>
      </c>
      <c r="H420" s="2">
        <f t="shared" si="121"/>
        <v>0</v>
      </c>
      <c r="I420" s="2">
        <f t="shared" si="121"/>
        <v>0</v>
      </c>
      <c r="J420" s="2">
        <f t="shared" si="121"/>
        <v>0</v>
      </c>
      <c r="K420" s="18">
        <f t="shared" si="121"/>
        <v>0</v>
      </c>
      <c r="L420" s="2">
        <f t="shared" si="121"/>
        <v>0</v>
      </c>
      <c r="M420" s="2">
        <f t="shared" si="121"/>
        <v>743.4</v>
      </c>
      <c r="N420" s="2">
        <f t="shared" si="121"/>
        <v>4088364.95</v>
      </c>
      <c r="O420" s="2">
        <f t="shared" si="121"/>
        <v>0</v>
      </c>
      <c r="P420" s="2">
        <f t="shared" si="121"/>
        <v>0</v>
      </c>
      <c r="Q420" s="2">
        <f t="shared" si="121"/>
        <v>0</v>
      </c>
      <c r="R420" s="2">
        <f t="shared" si="121"/>
        <v>0</v>
      </c>
      <c r="S420" s="2">
        <f t="shared" si="121"/>
        <v>0</v>
      </c>
      <c r="T420" s="2">
        <f t="shared" si="121"/>
        <v>0</v>
      </c>
      <c r="U420" s="2">
        <f t="shared" si="121"/>
        <v>0</v>
      </c>
      <c r="V420" s="20">
        <f>C420</f>
        <v>4088364.95</v>
      </c>
    </row>
    <row r="421" spans="1:22" ht="24" customHeight="1" x14ac:dyDescent="0.25">
      <c r="A421" s="21" t="s">
        <v>1314</v>
      </c>
      <c r="B421" s="26" t="s">
        <v>261</v>
      </c>
      <c r="C421" s="2">
        <f>D421+L421+N421+P421+R421+S421+T421+U421</f>
        <v>2048672.19</v>
      </c>
      <c r="D421" s="3">
        <f>SUM(E421:J421)</f>
        <v>0</v>
      </c>
      <c r="E421" s="3">
        <v>0</v>
      </c>
      <c r="F421" s="3">
        <v>0</v>
      </c>
      <c r="G421" s="3">
        <v>0</v>
      </c>
      <c r="H421" s="3">
        <v>0</v>
      </c>
      <c r="I421" s="3">
        <v>0</v>
      </c>
      <c r="J421" s="3">
        <v>0</v>
      </c>
      <c r="K421" s="4">
        <v>0</v>
      </c>
      <c r="L421" s="3">
        <v>0</v>
      </c>
      <c r="M421" s="3">
        <v>372.5</v>
      </c>
      <c r="N421" s="3">
        <v>2048672.19</v>
      </c>
      <c r="O421" s="3">
        <v>0</v>
      </c>
      <c r="P421" s="3">
        <v>0</v>
      </c>
      <c r="Q421" s="3">
        <v>0</v>
      </c>
      <c r="R421" s="3">
        <f>Q421*3000</f>
        <v>0</v>
      </c>
      <c r="S421" s="3">
        <v>0</v>
      </c>
      <c r="T421" s="3">
        <v>0</v>
      </c>
      <c r="U421" s="3">
        <v>0</v>
      </c>
      <c r="V421" s="5">
        <f>N421/M421</f>
        <v>5499.7911140939595</v>
      </c>
    </row>
    <row r="422" spans="1:22" ht="24" customHeight="1" x14ac:dyDescent="0.25">
      <c r="A422" s="21" t="s">
        <v>1315</v>
      </c>
      <c r="B422" s="26" t="s">
        <v>262</v>
      </c>
      <c r="C422" s="2">
        <f>D422+L422+N422+P422+R422+S422+T422+U422</f>
        <v>2039692.76</v>
      </c>
      <c r="D422" s="3">
        <f>SUM(E422:J422)</f>
        <v>0</v>
      </c>
      <c r="E422" s="3">
        <v>0</v>
      </c>
      <c r="F422" s="3">
        <v>0</v>
      </c>
      <c r="G422" s="3">
        <v>0</v>
      </c>
      <c r="H422" s="3">
        <v>0</v>
      </c>
      <c r="I422" s="3">
        <v>0</v>
      </c>
      <c r="J422" s="3">
        <v>0</v>
      </c>
      <c r="K422" s="4">
        <v>0</v>
      </c>
      <c r="L422" s="3">
        <v>0</v>
      </c>
      <c r="M422" s="3">
        <v>370.9</v>
      </c>
      <c r="N422" s="3">
        <v>2039692.76</v>
      </c>
      <c r="O422" s="3">
        <v>0</v>
      </c>
      <c r="P422" s="3">
        <v>0</v>
      </c>
      <c r="Q422" s="3">
        <v>0</v>
      </c>
      <c r="R422" s="3">
        <f>Q422*3000</f>
        <v>0</v>
      </c>
      <c r="S422" s="3">
        <v>0</v>
      </c>
      <c r="T422" s="3">
        <v>0</v>
      </c>
      <c r="U422" s="3">
        <v>0</v>
      </c>
      <c r="V422" s="5">
        <f>N422/M422</f>
        <v>5499.3064437853873</v>
      </c>
    </row>
    <row r="423" spans="1:22" ht="40.15" customHeight="1" x14ac:dyDescent="0.25">
      <c r="A423" s="51" t="s">
        <v>875</v>
      </c>
      <c r="B423" s="51"/>
      <c r="C423" s="2">
        <f t="shared" ref="C423:U423" si="122">SUM(C424)</f>
        <v>3428150</v>
      </c>
      <c r="D423" s="2">
        <f t="shared" si="122"/>
        <v>0</v>
      </c>
      <c r="E423" s="2">
        <f t="shared" si="122"/>
        <v>0</v>
      </c>
      <c r="F423" s="2">
        <f t="shared" si="122"/>
        <v>0</v>
      </c>
      <c r="G423" s="2">
        <f t="shared" si="122"/>
        <v>0</v>
      </c>
      <c r="H423" s="2">
        <f t="shared" si="122"/>
        <v>0</v>
      </c>
      <c r="I423" s="2">
        <f t="shared" si="122"/>
        <v>0</v>
      </c>
      <c r="J423" s="2">
        <f t="shared" si="122"/>
        <v>0</v>
      </c>
      <c r="K423" s="18">
        <f t="shared" si="122"/>
        <v>0</v>
      </c>
      <c r="L423" s="2">
        <f t="shared" si="122"/>
        <v>0</v>
      </c>
      <c r="M423" s="2">
        <f t="shared" si="122"/>
        <v>655.9</v>
      </c>
      <c r="N423" s="2">
        <f t="shared" si="122"/>
        <v>3428150</v>
      </c>
      <c r="O423" s="2">
        <f t="shared" si="122"/>
        <v>0</v>
      </c>
      <c r="P423" s="2">
        <f t="shared" si="122"/>
        <v>0</v>
      </c>
      <c r="Q423" s="2">
        <f t="shared" si="122"/>
        <v>0</v>
      </c>
      <c r="R423" s="2">
        <f t="shared" si="122"/>
        <v>0</v>
      </c>
      <c r="S423" s="2">
        <f t="shared" si="122"/>
        <v>0</v>
      </c>
      <c r="T423" s="2">
        <f t="shared" si="122"/>
        <v>0</v>
      </c>
      <c r="U423" s="2">
        <f t="shared" si="122"/>
        <v>0</v>
      </c>
      <c r="V423" s="20">
        <f>C423</f>
        <v>3428150</v>
      </c>
    </row>
    <row r="424" spans="1:22" ht="24" customHeight="1" x14ac:dyDescent="0.25">
      <c r="A424" s="21" t="s">
        <v>1316</v>
      </c>
      <c r="B424" s="26" t="s">
        <v>876</v>
      </c>
      <c r="C424" s="2">
        <f>D424+L424+N424+P424+R424+S424+T424+U424</f>
        <v>3428150</v>
      </c>
      <c r="D424" s="3">
        <f>SUM(E424:J424)</f>
        <v>0</v>
      </c>
      <c r="E424" s="3">
        <v>0</v>
      </c>
      <c r="F424" s="3">
        <f>670.53*0</f>
        <v>0</v>
      </c>
      <c r="G424" s="3">
        <v>0</v>
      </c>
      <c r="H424" s="3">
        <f>500*0</f>
        <v>0</v>
      </c>
      <c r="I424" s="3">
        <v>0</v>
      </c>
      <c r="J424" s="3">
        <f>350*0</f>
        <v>0</v>
      </c>
      <c r="K424" s="4">
        <v>0</v>
      </c>
      <c r="L424" s="3">
        <v>0</v>
      </c>
      <c r="M424" s="3">
        <v>655.9</v>
      </c>
      <c r="N424" s="3">
        <v>3428150</v>
      </c>
      <c r="O424" s="3">
        <v>0</v>
      </c>
      <c r="P424" s="3">
        <v>0</v>
      </c>
      <c r="Q424" s="3">
        <v>0</v>
      </c>
      <c r="R424" s="3">
        <v>0</v>
      </c>
      <c r="S424" s="3">
        <v>0</v>
      </c>
      <c r="T424" s="3">
        <v>0</v>
      </c>
      <c r="U424" s="3">
        <v>0</v>
      </c>
      <c r="V424" s="5">
        <f>N424/M424</f>
        <v>5226.6351577984451</v>
      </c>
    </row>
    <row r="425" spans="1:22" ht="40.15" customHeight="1" x14ac:dyDescent="0.25">
      <c r="A425" s="51" t="s">
        <v>360</v>
      </c>
      <c r="B425" s="51"/>
      <c r="C425" s="2">
        <f t="shared" ref="C425:U425" si="123">SUM(C426:C626)</f>
        <v>479527848.27999967</v>
      </c>
      <c r="D425" s="2">
        <f t="shared" si="123"/>
        <v>97235995.24000001</v>
      </c>
      <c r="E425" s="2">
        <f t="shared" si="123"/>
        <v>16307470.029999999</v>
      </c>
      <c r="F425" s="2">
        <f t="shared" si="123"/>
        <v>53121716.699999996</v>
      </c>
      <c r="G425" s="2">
        <f t="shared" si="123"/>
        <v>9527654.7399999984</v>
      </c>
      <c r="H425" s="2">
        <f t="shared" si="123"/>
        <v>9738298.3399999999</v>
      </c>
      <c r="I425" s="2">
        <f t="shared" si="123"/>
        <v>8540855.4299999997</v>
      </c>
      <c r="J425" s="2">
        <f t="shared" si="123"/>
        <v>0</v>
      </c>
      <c r="K425" s="18">
        <f t="shared" si="123"/>
        <v>14</v>
      </c>
      <c r="L425" s="2">
        <f t="shared" si="123"/>
        <v>24140752.440000001</v>
      </c>
      <c r="M425" s="2">
        <f t="shared" si="123"/>
        <v>58057.35</v>
      </c>
      <c r="N425" s="2">
        <f t="shared" si="123"/>
        <v>301273193.71999979</v>
      </c>
      <c r="O425" s="2">
        <f t="shared" si="123"/>
        <v>819.8</v>
      </c>
      <c r="P425" s="2">
        <f t="shared" si="123"/>
        <v>881819.15</v>
      </c>
      <c r="Q425" s="2">
        <f t="shared" si="123"/>
        <v>17944.86</v>
      </c>
      <c r="R425" s="2">
        <f t="shared" si="123"/>
        <v>42019055.349999994</v>
      </c>
      <c r="S425" s="2">
        <f t="shared" si="123"/>
        <v>52420.18</v>
      </c>
      <c r="T425" s="2">
        <f t="shared" si="123"/>
        <v>0</v>
      </c>
      <c r="U425" s="2">
        <f t="shared" si="123"/>
        <v>13924612.199999999</v>
      </c>
    </row>
    <row r="426" spans="1:22" ht="24" customHeight="1" x14ac:dyDescent="0.25">
      <c r="A426" s="21" t="s">
        <v>1317</v>
      </c>
      <c r="B426" s="24" t="s">
        <v>552</v>
      </c>
      <c r="C426" s="2">
        <f t="shared" ref="C426:C489" si="124">D426+L426+N426+P426+R426+S426+T426+U426</f>
        <v>1413500</v>
      </c>
      <c r="D426" s="3">
        <f t="shared" ref="D426:D489" si="125">SUM(E426:J426)</f>
        <v>0</v>
      </c>
      <c r="E426" s="3">
        <v>0</v>
      </c>
      <c r="F426" s="3">
        <v>0</v>
      </c>
      <c r="G426" s="3">
        <v>0</v>
      </c>
      <c r="H426" s="3">
        <v>0</v>
      </c>
      <c r="I426" s="3">
        <v>0</v>
      </c>
      <c r="J426" s="3">
        <v>0</v>
      </c>
      <c r="K426" s="14">
        <v>0</v>
      </c>
      <c r="L426" s="13">
        <v>0</v>
      </c>
      <c r="M426" s="13">
        <v>257</v>
      </c>
      <c r="N426" s="3">
        <f>M426*5500</f>
        <v>1413500</v>
      </c>
      <c r="O426" s="13">
        <v>0</v>
      </c>
      <c r="P426" s="13">
        <v>0</v>
      </c>
      <c r="Q426" s="13">
        <v>0</v>
      </c>
      <c r="R426" s="3">
        <f>Q426*3000</f>
        <v>0</v>
      </c>
      <c r="S426" s="13">
        <v>0</v>
      </c>
      <c r="T426" s="13">
        <v>0</v>
      </c>
      <c r="U426" s="13">
        <v>0</v>
      </c>
      <c r="V426" s="5">
        <f t="shared" ref="V426:V489" si="126">N426/M426</f>
        <v>5500</v>
      </c>
    </row>
    <row r="427" spans="1:22" ht="24" customHeight="1" x14ac:dyDescent="0.25">
      <c r="A427" s="21" t="s">
        <v>1318</v>
      </c>
      <c r="B427" s="27" t="s">
        <v>553</v>
      </c>
      <c r="C427" s="2">
        <f t="shared" si="124"/>
        <v>1421750</v>
      </c>
      <c r="D427" s="3">
        <f t="shared" si="125"/>
        <v>0</v>
      </c>
      <c r="E427" s="3">
        <v>0</v>
      </c>
      <c r="F427" s="3">
        <v>0</v>
      </c>
      <c r="G427" s="3">
        <v>0</v>
      </c>
      <c r="H427" s="3">
        <v>0</v>
      </c>
      <c r="I427" s="3">
        <v>0</v>
      </c>
      <c r="J427" s="3">
        <v>0</v>
      </c>
      <c r="K427" s="14">
        <v>0</v>
      </c>
      <c r="L427" s="13">
        <v>0</v>
      </c>
      <c r="M427" s="13">
        <v>258.5</v>
      </c>
      <c r="N427" s="3">
        <f>M427*5500</f>
        <v>1421750</v>
      </c>
      <c r="O427" s="13">
        <v>0</v>
      </c>
      <c r="P427" s="13">
        <v>0</v>
      </c>
      <c r="Q427" s="13">
        <v>0</v>
      </c>
      <c r="R427" s="3">
        <f>Q427*3000</f>
        <v>0</v>
      </c>
      <c r="S427" s="13">
        <v>0</v>
      </c>
      <c r="T427" s="13">
        <v>0</v>
      </c>
      <c r="U427" s="13">
        <v>0</v>
      </c>
      <c r="V427" s="5">
        <f t="shared" si="126"/>
        <v>5500</v>
      </c>
    </row>
    <row r="428" spans="1:22" ht="24" customHeight="1" x14ac:dyDescent="0.25">
      <c r="A428" s="21" t="s">
        <v>1319</v>
      </c>
      <c r="B428" s="28" t="s">
        <v>857</v>
      </c>
      <c r="C428" s="2">
        <f t="shared" si="124"/>
        <v>1969687.71</v>
      </c>
      <c r="D428" s="3">
        <f t="shared" si="125"/>
        <v>0</v>
      </c>
      <c r="E428" s="3">
        <v>0</v>
      </c>
      <c r="F428" s="3">
        <v>0</v>
      </c>
      <c r="G428" s="3">
        <v>0</v>
      </c>
      <c r="H428" s="3">
        <v>0</v>
      </c>
      <c r="I428" s="3">
        <v>0</v>
      </c>
      <c r="J428" s="3">
        <v>0</v>
      </c>
      <c r="K428" s="4">
        <v>0</v>
      </c>
      <c r="L428" s="3">
        <v>0</v>
      </c>
      <c r="M428" s="3">
        <v>510.55</v>
      </c>
      <c r="N428" s="3">
        <v>1916038.63</v>
      </c>
      <c r="O428" s="3">
        <v>0</v>
      </c>
      <c r="P428" s="3">
        <v>0</v>
      </c>
      <c r="Q428" s="3">
        <v>0</v>
      </c>
      <c r="R428" s="3">
        <v>0</v>
      </c>
      <c r="S428" s="3">
        <v>0</v>
      </c>
      <c r="T428" s="3">
        <v>0</v>
      </c>
      <c r="U428" s="3">
        <v>53649.08</v>
      </c>
      <c r="V428" s="5">
        <f t="shared" si="126"/>
        <v>3752.8912545294288</v>
      </c>
    </row>
    <row r="429" spans="1:22" ht="24" customHeight="1" x14ac:dyDescent="0.25">
      <c r="A429" s="21" t="s">
        <v>1320</v>
      </c>
      <c r="B429" s="24" t="s">
        <v>405</v>
      </c>
      <c r="C429" s="2">
        <f t="shared" si="124"/>
        <v>1695055.2</v>
      </c>
      <c r="D429" s="3">
        <f t="shared" si="125"/>
        <v>0</v>
      </c>
      <c r="E429" s="3">
        <v>0</v>
      </c>
      <c r="F429" s="3">
        <v>0</v>
      </c>
      <c r="G429" s="3">
        <v>0</v>
      </c>
      <c r="H429" s="3">
        <v>0</v>
      </c>
      <c r="I429" s="3">
        <v>0</v>
      </c>
      <c r="J429" s="3">
        <v>0</v>
      </c>
      <c r="K429" s="4">
        <v>0</v>
      </c>
      <c r="L429" s="3">
        <v>0</v>
      </c>
      <c r="M429" s="3">
        <v>266</v>
      </c>
      <c r="N429" s="3">
        <v>1695055.2</v>
      </c>
      <c r="O429" s="3">
        <v>0</v>
      </c>
      <c r="P429" s="3">
        <v>0</v>
      </c>
      <c r="Q429" s="3">
        <v>0</v>
      </c>
      <c r="R429" s="3">
        <f>Q429*3200</f>
        <v>0</v>
      </c>
      <c r="S429" s="3">
        <v>0</v>
      </c>
      <c r="T429" s="13">
        <v>0</v>
      </c>
      <c r="U429" s="3">
        <v>0</v>
      </c>
      <c r="V429" s="5">
        <f t="shared" si="126"/>
        <v>6372.3879699248118</v>
      </c>
    </row>
    <row r="430" spans="1:22" ht="24" customHeight="1" x14ac:dyDescent="0.25">
      <c r="A430" s="21" t="s">
        <v>1321</v>
      </c>
      <c r="B430" s="24" t="s">
        <v>471</v>
      </c>
      <c r="C430" s="2">
        <f t="shared" si="124"/>
        <v>3306860.4</v>
      </c>
      <c r="D430" s="3">
        <f t="shared" si="125"/>
        <v>0</v>
      </c>
      <c r="E430" s="3">
        <v>0</v>
      </c>
      <c r="F430" s="3">
        <v>0</v>
      </c>
      <c r="G430" s="3">
        <v>0</v>
      </c>
      <c r="H430" s="3">
        <v>0</v>
      </c>
      <c r="I430" s="3">
        <v>0</v>
      </c>
      <c r="J430" s="3">
        <v>0</v>
      </c>
      <c r="K430" s="4">
        <v>0</v>
      </c>
      <c r="L430" s="3">
        <v>0</v>
      </c>
      <c r="M430" s="3">
        <v>380.8</v>
      </c>
      <c r="N430" s="3">
        <v>1819640.4</v>
      </c>
      <c r="O430" s="3">
        <v>0</v>
      </c>
      <c r="P430" s="3">
        <v>0</v>
      </c>
      <c r="Q430" s="3">
        <v>495.74</v>
      </c>
      <c r="R430" s="3">
        <v>1487220</v>
      </c>
      <c r="S430" s="3">
        <v>0</v>
      </c>
      <c r="T430" s="13">
        <v>0</v>
      </c>
      <c r="U430" s="3">
        <v>0</v>
      </c>
      <c r="V430" s="5">
        <f t="shared" si="126"/>
        <v>4778.46743697479</v>
      </c>
    </row>
    <row r="431" spans="1:22" ht="24" customHeight="1" x14ac:dyDescent="0.25">
      <c r="A431" s="21" t="s">
        <v>1322</v>
      </c>
      <c r="B431" s="24" t="s">
        <v>554</v>
      </c>
      <c r="C431" s="2">
        <f t="shared" si="124"/>
        <v>2835250</v>
      </c>
      <c r="D431" s="3">
        <f t="shared" si="125"/>
        <v>0</v>
      </c>
      <c r="E431" s="3">
        <v>0</v>
      </c>
      <c r="F431" s="3">
        <v>0</v>
      </c>
      <c r="G431" s="3">
        <v>0</v>
      </c>
      <c r="H431" s="3">
        <v>0</v>
      </c>
      <c r="I431" s="3">
        <v>0</v>
      </c>
      <c r="J431" s="3">
        <v>0</v>
      </c>
      <c r="K431" s="14">
        <v>0</v>
      </c>
      <c r="L431" s="13">
        <v>0</v>
      </c>
      <c r="M431" s="13">
        <v>515.5</v>
      </c>
      <c r="N431" s="3">
        <f>M431*5500</f>
        <v>2835250</v>
      </c>
      <c r="O431" s="13">
        <v>0</v>
      </c>
      <c r="P431" s="13">
        <v>0</v>
      </c>
      <c r="Q431" s="13">
        <v>0</v>
      </c>
      <c r="R431" s="3">
        <f>Q431*3000</f>
        <v>0</v>
      </c>
      <c r="S431" s="13">
        <v>0</v>
      </c>
      <c r="T431" s="13">
        <v>0</v>
      </c>
      <c r="U431" s="13">
        <v>0</v>
      </c>
      <c r="V431" s="5">
        <f t="shared" si="126"/>
        <v>5500</v>
      </c>
    </row>
    <row r="432" spans="1:22" ht="24" customHeight="1" x14ac:dyDescent="0.25">
      <c r="A432" s="21" t="s">
        <v>1323</v>
      </c>
      <c r="B432" s="24" t="s">
        <v>454</v>
      </c>
      <c r="C432" s="2">
        <f t="shared" si="124"/>
        <v>3322242.55</v>
      </c>
      <c r="D432" s="3">
        <f t="shared" si="125"/>
        <v>0</v>
      </c>
      <c r="E432" s="3">
        <v>0</v>
      </c>
      <c r="F432" s="3">
        <v>0</v>
      </c>
      <c r="G432" s="3">
        <v>0</v>
      </c>
      <c r="H432" s="3">
        <v>0</v>
      </c>
      <c r="I432" s="3">
        <v>0</v>
      </c>
      <c r="J432" s="3">
        <v>0</v>
      </c>
      <c r="K432" s="4">
        <v>0</v>
      </c>
      <c r="L432" s="3">
        <v>0</v>
      </c>
      <c r="M432" s="3">
        <v>612</v>
      </c>
      <c r="N432" s="3">
        <v>3322242.55</v>
      </c>
      <c r="O432" s="3">
        <v>0</v>
      </c>
      <c r="P432" s="3">
        <v>0</v>
      </c>
      <c r="Q432" s="3">
        <v>0</v>
      </c>
      <c r="R432" s="3">
        <f>Q432*3000</f>
        <v>0</v>
      </c>
      <c r="S432" s="3">
        <v>0</v>
      </c>
      <c r="T432" s="13">
        <v>0</v>
      </c>
      <c r="U432" s="3">
        <v>0</v>
      </c>
      <c r="V432" s="5">
        <f t="shared" si="126"/>
        <v>5428.5008986928106</v>
      </c>
    </row>
    <row r="433" spans="1:22" ht="24" customHeight="1" x14ac:dyDescent="0.25">
      <c r="A433" s="21" t="s">
        <v>1324</v>
      </c>
      <c r="B433" s="24" t="s">
        <v>473</v>
      </c>
      <c r="C433" s="2">
        <f t="shared" si="124"/>
        <v>2651735.6</v>
      </c>
      <c r="D433" s="3">
        <f t="shared" si="125"/>
        <v>0</v>
      </c>
      <c r="E433" s="3">
        <v>0</v>
      </c>
      <c r="F433" s="3">
        <v>0</v>
      </c>
      <c r="G433" s="3">
        <v>0</v>
      </c>
      <c r="H433" s="3">
        <v>0</v>
      </c>
      <c r="I433" s="3">
        <v>0</v>
      </c>
      <c r="J433" s="3">
        <v>0</v>
      </c>
      <c r="K433" s="4">
        <v>0</v>
      </c>
      <c r="L433" s="3">
        <v>0</v>
      </c>
      <c r="M433" s="3">
        <v>260.13</v>
      </c>
      <c r="N433" s="3">
        <v>1392695.6</v>
      </c>
      <c r="O433" s="3">
        <v>0</v>
      </c>
      <c r="P433" s="3">
        <v>0</v>
      </c>
      <c r="Q433" s="3">
        <v>419.68</v>
      </c>
      <c r="R433" s="3">
        <v>1259040</v>
      </c>
      <c r="S433" s="3">
        <v>0</v>
      </c>
      <c r="T433" s="13">
        <v>0</v>
      </c>
      <c r="U433" s="3">
        <v>0</v>
      </c>
      <c r="V433" s="5">
        <f t="shared" si="126"/>
        <v>5353.8446161534621</v>
      </c>
    </row>
    <row r="434" spans="1:22" ht="24" customHeight="1" x14ac:dyDescent="0.25">
      <c r="A434" s="21" t="s">
        <v>1325</v>
      </c>
      <c r="B434" s="24" t="s">
        <v>556</v>
      </c>
      <c r="C434" s="2">
        <f t="shared" si="124"/>
        <v>1282497.6000000001</v>
      </c>
      <c r="D434" s="3">
        <f t="shared" si="125"/>
        <v>0</v>
      </c>
      <c r="E434" s="3">
        <v>0</v>
      </c>
      <c r="F434" s="3">
        <v>0</v>
      </c>
      <c r="G434" s="3">
        <v>0</v>
      </c>
      <c r="H434" s="3">
        <v>0</v>
      </c>
      <c r="I434" s="3">
        <v>0</v>
      </c>
      <c r="J434" s="3">
        <v>0</v>
      </c>
      <c r="K434" s="14">
        <v>0</v>
      </c>
      <c r="L434" s="13">
        <v>0</v>
      </c>
      <c r="M434" s="13">
        <v>280</v>
      </c>
      <c r="N434" s="3">
        <v>1282497.6000000001</v>
      </c>
      <c r="O434" s="13">
        <v>0</v>
      </c>
      <c r="P434" s="13">
        <v>0</v>
      </c>
      <c r="Q434" s="13">
        <v>0</v>
      </c>
      <c r="R434" s="3">
        <f>Q434*3000</f>
        <v>0</v>
      </c>
      <c r="S434" s="13">
        <v>0</v>
      </c>
      <c r="T434" s="13">
        <v>0</v>
      </c>
      <c r="U434" s="13">
        <v>0</v>
      </c>
      <c r="V434" s="5">
        <f t="shared" si="126"/>
        <v>4580.3485714285716</v>
      </c>
    </row>
    <row r="435" spans="1:22" ht="24" customHeight="1" x14ac:dyDescent="0.25">
      <c r="A435" s="21" t="s">
        <v>1326</v>
      </c>
      <c r="B435" s="24" t="s">
        <v>557</v>
      </c>
      <c r="C435" s="2">
        <f t="shared" si="124"/>
        <v>1317994.8</v>
      </c>
      <c r="D435" s="3">
        <f t="shared" si="125"/>
        <v>0</v>
      </c>
      <c r="E435" s="3">
        <v>0</v>
      </c>
      <c r="F435" s="3">
        <v>0</v>
      </c>
      <c r="G435" s="3">
        <v>0</v>
      </c>
      <c r="H435" s="3">
        <v>0</v>
      </c>
      <c r="I435" s="3">
        <v>0</v>
      </c>
      <c r="J435" s="3">
        <v>0</v>
      </c>
      <c r="K435" s="14">
        <v>0</v>
      </c>
      <c r="L435" s="13">
        <v>0</v>
      </c>
      <c r="M435" s="13">
        <v>256.68</v>
      </c>
      <c r="N435" s="3">
        <v>1317994.8</v>
      </c>
      <c r="O435" s="13">
        <v>0</v>
      </c>
      <c r="P435" s="13">
        <v>0</v>
      </c>
      <c r="Q435" s="13">
        <v>0</v>
      </c>
      <c r="R435" s="3">
        <f>Q435*3000</f>
        <v>0</v>
      </c>
      <c r="S435" s="13">
        <v>0</v>
      </c>
      <c r="T435" s="13">
        <v>0</v>
      </c>
      <c r="U435" s="13">
        <v>0</v>
      </c>
      <c r="V435" s="5">
        <f t="shared" si="126"/>
        <v>5134.7779336138383</v>
      </c>
    </row>
    <row r="436" spans="1:22" ht="24" customHeight="1" x14ac:dyDescent="0.25">
      <c r="A436" s="21" t="s">
        <v>1327</v>
      </c>
      <c r="B436" s="27" t="s">
        <v>558</v>
      </c>
      <c r="C436" s="2">
        <f t="shared" si="124"/>
        <v>3585977.4</v>
      </c>
      <c r="D436" s="3">
        <f t="shared" si="125"/>
        <v>0</v>
      </c>
      <c r="E436" s="3">
        <v>0</v>
      </c>
      <c r="F436" s="3">
        <v>0</v>
      </c>
      <c r="G436" s="3">
        <v>0</v>
      </c>
      <c r="H436" s="3">
        <v>0</v>
      </c>
      <c r="I436" s="3">
        <v>0</v>
      </c>
      <c r="J436" s="3">
        <v>0</v>
      </c>
      <c r="K436" s="14">
        <v>0</v>
      </c>
      <c r="L436" s="13">
        <v>0</v>
      </c>
      <c r="M436" s="13">
        <v>652</v>
      </c>
      <c r="N436" s="3">
        <v>3585977.4</v>
      </c>
      <c r="O436" s="13">
        <v>0</v>
      </c>
      <c r="P436" s="13">
        <v>0</v>
      </c>
      <c r="Q436" s="13">
        <v>0</v>
      </c>
      <c r="R436" s="3">
        <f>Q436*3000</f>
        <v>0</v>
      </c>
      <c r="S436" s="13">
        <v>0</v>
      </c>
      <c r="T436" s="13">
        <v>0</v>
      </c>
      <c r="U436" s="13">
        <v>0</v>
      </c>
      <c r="V436" s="5">
        <f t="shared" si="126"/>
        <v>5499.965337423313</v>
      </c>
    </row>
    <row r="437" spans="1:22" ht="24" customHeight="1" x14ac:dyDescent="0.25">
      <c r="A437" s="21" t="s">
        <v>1328</v>
      </c>
      <c r="B437" s="27" t="s">
        <v>455</v>
      </c>
      <c r="C437" s="2">
        <f t="shared" si="124"/>
        <v>8464887.0999999996</v>
      </c>
      <c r="D437" s="3">
        <f t="shared" si="125"/>
        <v>1433976</v>
      </c>
      <c r="E437" s="3">
        <v>0</v>
      </c>
      <c r="F437" s="3">
        <v>1086750</v>
      </c>
      <c r="G437" s="3">
        <v>162610.79999999999</v>
      </c>
      <c r="H437" s="3">
        <f>400*0</f>
        <v>0</v>
      </c>
      <c r="I437" s="3">
        <v>184615.2</v>
      </c>
      <c r="J437" s="3">
        <f>350*0</f>
        <v>0</v>
      </c>
      <c r="K437" s="4">
        <v>0</v>
      </c>
      <c r="L437" s="3">
        <v>0</v>
      </c>
      <c r="M437" s="3">
        <v>731.7</v>
      </c>
      <c r="N437" s="3">
        <v>4024350</v>
      </c>
      <c r="O437" s="3">
        <v>0</v>
      </c>
      <c r="P437" s="3">
        <v>0</v>
      </c>
      <c r="Q437" s="3">
        <v>962</v>
      </c>
      <c r="R437" s="3">
        <v>2885317.2</v>
      </c>
      <c r="S437" s="3">
        <v>0</v>
      </c>
      <c r="T437" s="13">
        <v>0</v>
      </c>
      <c r="U437" s="3">
        <v>121243.9</v>
      </c>
      <c r="V437" s="5">
        <f t="shared" si="126"/>
        <v>5500</v>
      </c>
    </row>
    <row r="438" spans="1:22" ht="24" customHeight="1" x14ac:dyDescent="0.25">
      <c r="A438" s="21" t="s">
        <v>1329</v>
      </c>
      <c r="B438" s="24" t="s">
        <v>559</v>
      </c>
      <c r="C438" s="2">
        <f t="shared" si="124"/>
        <v>97491</v>
      </c>
      <c r="D438" s="3">
        <f t="shared" si="125"/>
        <v>0</v>
      </c>
      <c r="E438" s="3">
        <v>0</v>
      </c>
      <c r="F438" s="3">
        <v>0</v>
      </c>
      <c r="G438" s="3">
        <v>0</v>
      </c>
      <c r="H438" s="3">
        <v>0</v>
      </c>
      <c r="I438" s="3">
        <v>0</v>
      </c>
      <c r="J438" s="3">
        <v>0</v>
      </c>
      <c r="K438" s="14">
        <v>0</v>
      </c>
      <c r="L438" s="13">
        <v>0</v>
      </c>
      <c r="M438" s="13">
        <v>0</v>
      </c>
      <c r="N438" s="3">
        <f>M438*5500</f>
        <v>0</v>
      </c>
      <c r="O438" s="13">
        <v>0</v>
      </c>
      <c r="P438" s="13">
        <v>0</v>
      </c>
      <c r="Q438" s="13">
        <v>0</v>
      </c>
      <c r="R438" s="3">
        <f>Q438*3000</f>
        <v>0</v>
      </c>
      <c r="S438" s="13">
        <v>0</v>
      </c>
      <c r="T438" s="13">
        <v>0</v>
      </c>
      <c r="U438" s="13">
        <v>97491</v>
      </c>
      <c r="V438" s="5" t="e">
        <f t="shared" si="126"/>
        <v>#DIV/0!</v>
      </c>
    </row>
    <row r="439" spans="1:22" ht="24" customHeight="1" x14ac:dyDescent="0.25">
      <c r="A439" s="21" t="s">
        <v>1330</v>
      </c>
      <c r="B439" s="24" t="s">
        <v>378</v>
      </c>
      <c r="C439" s="2">
        <f t="shared" si="124"/>
        <v>147224.68</v>
      </c>
      <c r="D439" s="3">
        <f t="shared" si="125"/>
        <v>0</v>
      </c>
      <c r="E439" s="3">
        <v>0</v>
      </c>
      <c r="F439" s="3">
        <v>0</v>
      </c>
      <c r="G439" s="3">
        <v>0</v>
      </c>
      <c r="H439" s="3">
        <v>0</v>
      </c>
      <c r="I439" s="3">
        <v>0</v>
      </c>
      <c r="J439" s="3">
        <f>350*0</f>
        <v>0</v>
      </c>
      <c r="K439" s="4">
        <v>0</v>
      </c>
      <c r="L439" s="3">
        <v>0</v>
      </c>
      <c r="M439" s="3">
        <v>0</v>
      </c>
      <c r="N439" s="3">
        <f>M439*5500</f>
        <v>0</v>
      </c>
      <c r="O439" s="3">
        <v>0</v>
      </c>
      <c r="P439" s="3">
        <v>0</v>
      </c>
      <c r="Q439" s="3">
        <v>0</v>
      </c>
      <c r="R439" s="3">
        <v>0</v>
      </c>
      <c r="S439" s="3">
        <v>0</v>
      </c>
      <c r="T439" s="3">
        <v>0</v>
      </c>
      <c r="U439" s="3">
        <v>147224.68</v>
      </c>
      <c r="V439" s="5" t="e">
        <f t="shared" si="126"/>
        <v>#DIV/0!</v>
      </c>
    </row>
    <row r="440" spans="1:22" ht="24" customHeight="1" x14ac:dyDescent="0.25">
      <c r="A440" s="21" t="s">
        <v>1331</v>
      </c>
      <c r="B440" s="24" t="s">
        <v>561</v>
      </c>
      <c r="C440" s="2">
        <f t="shared" si="124"/>
        <v>2858751.7</v>
      </c>
      <c r="D440" s="3">
        <f t="shared" si="125"/>
        <v>0</v>
      </c>
      <c r="E440" s="3">
        <v>0</v>
      </c>
      <c r="F440" s="3">
        <v>0</v>
      </c>
      <c r="G440" s="3">
        <v>0</v>
      </c>
      <c r="H440" s="3">
        <v>0</v>
      </c>
      <c r="I440" s="3">
        <v>0</v>
      </c>
      <c r="J440" s="3">
        <v>0</v>
      </c>
      <c r="K440" s="14">
        <v>0</v>
      </c>
      <c r="L440" s="13">
        <v>0</v>
      </c>
      <c r="M440" s="13">
        <v>541.66999999999996</v>
      </c>
      <c r="N440" s="3">
        <v>2858751.7</v>
      </c>
      <c r="O440" s="13">
        <v>0</v>
      </c>
      <c r="P440" s="13">
        <v>0</v>
      </c>
      <c r="Q440" s="13">
        <v>0</v>
      </c>
      <c r="R440" s="3">
        <f>Q440*3000</f>
        <v>0</v>
      </c>
      <c r="S440" s="13">
        <v>0</v>
      </c>
      <c r="T440" s="13">
        <v>0</v>
      </c>
      <c r="U440" s="13">
        <v>0</v>
      </c>
      <c r="V440" s="5">
        <f t="shared" si="126"/>
        <v>5277.662968227889</v>
      </c>
    </row>
    <row r="441" spans="1:22" ht="24" customHeight="1" x14ac:dyDescent="0.25">
      <c r="A441" s="21" t="s">
        <v>1332</v>
      </c>
      <c r="B441" s="24" t="s">
        <v>826</v>
      </c>
      <c r="C441" s="2">
        <f t="shared" si="124"/>
        <v>2076800</v>
      </c>
      <c r="D441" s="3">
        <f t="shared" si="125"/>
        <v>0</v>
      </c>
      <c r="E441" s="3">
        <v>0</v>
      </c>
      <c r="F441" s="3">
        <v>0</v>
      </c>
      <c r="G441" s="3">
        <v>0</v>
      </c>
      <c r="H441" s="3">
        <v>0</v>
      </c>
      <c r="I441" s="3">
        <v>0</v>
      </c>
      <c r="J441" s="3">
        <v>0</v>
      </c>
      <c r="K441" s="14">
        <v>0</v>
      </c>
      <c r="L441" s="13">
        <v>0</v>
      </c>
      <c r="M441" s="13">
        <v>377.6</v>
      </c>
      <c r="N441" s="3">
        <v>2076800</v>
      </c>
      <c r="O441" s="13">
        <v>0</v>
      </c>
      <c r="P441" s="13">
        <v>0</v>
      </c>
      <c r="Q441" s="13">
        <v>0</v>
      </c>
      <c r="R441" s="3">
        <f>Q441*3000</f>
        <v>0</v>
      </c>
      <c r="S441" s="13">
        <v>0</v>
      </c>
      <c r="T441" s="13">
        <v>0</v>
      </c>
      <c r="U441" s="13">
        <v>0</v>
      </c>
      <c r="V441" s="5">
        <f t="shared" si="126"/>
        <v>5500</v>
      </c>
    </row>
    <row r="442" spans="1:22" ht="24" customHeight="1" x14ac:dyDescent="0.25">
      <c r="A442" s="21" t="s">
        <v>1333</v>
      </c>
      <c r="B442" s="24" t="s">
        <v>487</v>
      </c>
      <c r="C442" s="2">
        <f t="shared" si="124"/>
        <v>2241720</v>
      </c>
      <c r="D442" s="3">
        <f t="shared" si="125"/>
        <v>0</v>
      </c>
      <c r="E442" s="3">
        <v>0</v>
      </c>
      <c r="F442" s="3">
        <v>0</v>
      </c>
      <c r="G442" s="3">
        <v>0</v>
      </c>
      <c r="H442" s="3">
        <v>0</v>
      </c>
      <c r="I442" s="3">
        <v>0</v>
      </c>
      <c r="J442" s="3">
        <v>0</v>
      </c>
      <c r="K442" s="14">
        <v>0</v>
      </c>
      <c r="L442" s="13">
        <v>0</v>
      </c>
      <c r="M442" s="13">
        <v>268.04000000000002</v>
      </c>
      <c r="N442" s="3">
        <v>1284262.8</v>
      </c>
      <c r="O442" s="13">
        <v>0</v>
      </c>
      <c r="P442" s="13">
        <v>0</v>
      </c>
      <c r="Q442" s="13">
        <v>372</v>
      </c>
      <c r="R442" s="3">
        <v>957457.2</v>
      </c>
      <c r="S442" s="13">
        <v>0</v>
      </c>
      <c r="T442" s="13">
        <v>0</v>
      </c>
      <c r="U442" s="13">
        <v>0</v>
      </c>
      <c r="V442" s="5">
        <f t="shared" si="126"/>
        <v>4791.3102522011641</v>
      </c>
    </row>
    <row r="443" spans="1:22" ht="24" customHeight="1" x14ac:dyDescent="0.25">
      <c r="A443" s="21" t="s">
        <v>1334</v>
      </c>
      <c r="B443" s="24" t="s">
        <v>562</v>
      </c>
      <c r="C443" s="2">
        <f t="shared" si="124"/>
        <v>2452435.0299999998</v>
      </c>
      <c r="D443" s="3">
        <f t="shared" si="125"/>
        <v>0</v>
      </c>
      <c r="E443" s="3">
        <v>0</v>
      </c>
      <c r="F443" s="3">
        <v>0</v>
      </c>
      <c r="G443" s="3">
        <v>0</v>
      </c>
      <c r="H443" s="3">
        <v>0</v>
      </c>
      <c r="I443" s="3">
        <v>0</v>
      </c>
      <c r="J443" s="3">
        <v>0</v>
      </c>
      <c r="K443" s="14">
        <v>0</v>
      </c>
      <c r="L443" s="13">
        <v>0</v>
      </c>
      <c r="M443" s="13">
        <v>490</v>
      </c>
      <c r="N443" s="3">
        <v>2452435.0299999998</v>
      </c>
      <c r="O443" s="13">
        <v>0</v>
      </c>
      <c r="P443" s="13">
        <v>0</v>
      </c>
      <c r="Q443" s="13">
        <v>0</v>
      </c>
      <c r="R443" s="3">
        <f>Q443*3000</f>
        <v>0</v>
      </c>
      <c r="S443" s="13">
        <v>0</v>
      </c>
      <c r="T443" s="13">
        <v>0</v>
      </c>
      <c r="U443" s="13">
        <v>0</v>
      </c>
      <c r="V443" s="5">
        <f t="shared" si="126"/>
        <v>5004.9694489795911</v>
      </c>
    </row>
    <row r="444" spans="1:22" ht="24" customHeight="1" x14ac:dyDescent="0.25">
      <c r="A444" s="21" t="s">
        <v>1335</v>
      </c>
      <c r="B444" s="24" t="s">
        <v>655</v>
      </c>
      <c r="C444" s="2">
        <f t="shared" si="124"/>
        <v>1401070</v>
      </c>
      <c r="D444" s="3">
        <f t="shared" si="125"/>
        <v>0</v>
      </c>
      <c r="E444" s="3">
        <v>0</v>
      </c>
      <c r="F444" s="3">
        <v>0</v>
      </c>
      <c r="G444" s="3">
        <v>0</v>
      </c>
      <c r="H444" s="3">
        <v>0</v>
      </c>
      <c r="I444" s="3">
        <v>0</v>
      </c>
      <c r="J444" s="3">
        <v>0</v>
      </c>
      <c r="K444" s="4">
        <v>0</v>
      </c>
      <c r="L444" s="3">
        <v>0</v>
      </c>
      <c r="M444" s="3">
        <v>254.74</v>
      </c>
      <c r="N444" s="3">
        <f>M444*5500</f>
        <v>1401070</v>
      </c>
      <c r="O444" s="3">
        <v>0</v>
      </c>
      <c r="P444" s="3">
        <v>0</v>
      </c>
      <c r="Q444" s="3">
        <v>0</v>
      </c>
      <c r="R444" s="3">
        <f>Q444*3000</f>
        <v>0</v>
      </c>
      <c r="S444" s="3">
        <v>0</v>
      </c>
      <c r="T444" s="13">
        <v>0</v>
      </c>
      <c r="U444" s="3">
        <v>0</v>
      </c>
      <c r="V444" s="5">
        <f t="shared" si="126"/>
        <v>5500</v>
      </c>
    </row>
    <row r="445" spans="1:22" ht="24" customHeight="1" x14ac:dyDescent="0.25">
      <c r="A445" s="21" t="s">
        <v>1336</v>
      </c>
      <c r="B445" s="24" t="s">
        <v>488</v>
      </c>
      <c r="C445" s="2">
        <f t="shared" si="124"/>
        <v>1810631.11</v>
      </c>
      <c r="D445" s="3">
        <f t="shared" si="125"/>
        <v>0</v>
      </c>
      <c r="E445" s="3">
        <v>0</v>
      </c>
      <c r="F445" s="3">
        <v>0</v>
      </c>
      <c r="G445" s="3">
        <v>0</v>
      </c>
      <c r="H445" s="3">
        <v>0</v>
      </c>
      <c r="I445" s="3">
        <v>0</v>
      </c>
      <c r="J445" s="3">
        <v>0</v>
      </c>
      <c r="K445" s="14">
        <v>0</v>
      </c>
      <c r="L445" s="13">
        <v>0</v>
      </c>
      <c r="M445" s="13">
        <v>335.38</v>
      </c>
      <c r="N445" s="3">
        <v>1810631.11</v>
      </c>
      <c r="O445" s="13">
        <v>0</v>
      </c>
      <c r="P445" s="13">
        <v>0</v>
      </c>
      <c r="Q445" s="13">
        <v>0</v>
      </c>
      <c r="R445" s="3">
        <f>Q445*3000</f>
        <v>0</v>
      </c>
      <c r="S445" s="13">
        <v>0</v>
      </c>
      <c r="T445" s="13">
        <v>0</v>
      </c>
      <c r="U445" s="13">
        <v>0</v>
      </c>
      <c r="V445" s="5">
        <f t="shared" si="126"/>
        <v>5398.7450354821403</v>
      </c>
    </row>
    <row r="446" spans="1:22" ht="24" customHeight="1" x14ac:dyDescent="0.25">
      <c r="A446" s="21" t="s">
        <v>1337</v>
      </c>
      <c r="B446" s="24" t="s">
        <v>563</v>
      </c>
      <c r="C446" s="2">
        <f t="shared" si="124"/>
        <v>2900695.8</v>
      </c>
      <c r="D446" s="3">
        <f t="shared" si="125"/>
        <v>0</v>
      </c>
      <c r="E446" s="3">
        <v>0</v>
      </c>
      <c r="F446" s="3">
        <v>0</v>
      </c>
      <c r="G446" s="3">
        <v>0</v>
      </c>
      <c r="H446" s="3">
        <v>0</v>
      </c>
      <c r="I446" s="3">
        <v>0</v>
      </c>
      <c r="J446" s="3">
        <v>0</v>
      </c>
      <c r="K446" s="14">
        <v>0</v>
      </c>
      <c r="L446" s="13">
        <v>0</v>
      </c>
      <c r="M446" s="13">
        <v>543.79999999999995</v>
      </c>
      <c r="N446" s="3">
        <v>2900695.8</v>
      </c>
      <c r="O446" s="13">
        <v>0</v>
      </c>
      <c r="P446" s="13">
        <v>0</v>
      </c>
      <c r="Q446" s="13">
        <v>0</v>
      </c>
      <c r="R446" s="3">
        <f>Q446*3000</f>
        <v>0</v>
      </c>
      <c r="S446" s="13">
        <v>0</v>
      </c>
      <c r="T446" s="13">
        <v>0</v>
      </c>
      <c r="U446" s="13">
        <v>0</v>
      </c>
      <c r="V446" s="5">
        <f t="shared" si="126"/>
        <v>5334.1224714968739</v>
      </c>
    </row>
    <row r="447" spans="1:22" ht="24" customHeight="1" x14ac:dyDescent="0.25">
      <c r="A447" s="21" t="s">
        <v>1338</v>
      </c>
      <c r="B447" s="24" t="s">
        <v>440</v>
      </c>
      <c r="C447" s="2">
        <f t="shared" si="124"/>
        <v>1561054.7</v>
      </c>
      <c r="D447" s="3">
        <f t="shared" si="125"/>
        <v>1561054.7</v>
      </c>
      <c r="E447" s="3">
        <v>0</v>
      </c>
      <c r="F447" s="3">
        <v>1561054.7</v>
      </c>
      <c r="G447" s="3">
        <v>0</v>
      </c>
      <c r="H447" s="3">
        <f>500*0</f>
        <v>0</v>
      </c>
      <c r="I447" s="3">
        <v>0</v>
      </c>
      <c r="J447" s="3">
        <f>350*0</f>
        <v>0</v>
      </c>
      <c r="K447" s="4">
        <v>0</v>
      </c>
      <c r="L447" s="3">
        <v>0</v>
      </c>
      <c r="M447" s="3">
        <v>0</v>
      </c>
      <c r="N447" s="3">
        <v>0</v>
      </c>
      <c r="O447" s="3">
        <v>0</v>
      </c>
      <c r="P447" s="3">
        <v>0</v>
      </c>
      <c r="Q447" s="3">
        <v>0</v>
      </c>
      <c r="R447" s="3">
        <v>0</v>
      </c>
      <c r="S447" s="3">
        <v>0</v>
      </c>
      <c r="T447" s="3">
        <v>0</v>
      </c>
      <c r="U447" s="3">
        <v>0</v>
      </c>
      <c r="V447" s="5" t="e">
        <f t="shared" si="126"/>
        <v>#DIV/0!</v>
      </c>
    </row>
    <row r="448" spans="1:22" ht="24" customHeight="1" x14ac:dyDescent="0.25">
      <c r="A448" s="21" t="s">
        <v>1339</v>
      </c>
      <c r="B448" s="27" t="s">
        <v>821</v>
      </c>
      <c r="C448" s="2">
        <f t="shared" si="124"/>
        <v>99392.8</v>
      </c>
      <c r="D448" s="3">
        <f t="shared" si="125"/>
        <v>0</v>
      </c>
      <c r="E448" s="3">
        <v>0</v>
      </c>
      <c r="F448" s="3">
        <v>0</v>
      </c>
      <c r="G448" s="3">
        <v>0</v>
      </c>
      <c r="H448" s="3">
        <v>0</v>
      </c>
      <c r="I448" s="3">
        <v>0</v>
      </c>
      <c r="J448" s="3">
        <v>0</v>
      </c>
      <c r="K448" s="14">
        <v>0</v>
      </c>
      <c r="L448" s="13">
        <v>0</v>
      </c>
      <c r="M448" s="13">
        <v>0</v>
      </c>
      <c r="N448" s="3">
        <f>M448*5500</f>
        <v>0</v>
      </c>
      <c r="O448" s="13">
        <v>0</v>
      </c>
      <c r="P448" s="13">
        <v>0</v>
      </c>
      <c r="Q448" s="13">
        <v>0</v>
      </c>
      <c r="R448" s="3">
        <f t="shared" ref="R448:R454" si="127">Q448*3000</f>
        <v>0</v>
      </c>
      <c r="S448" s="13">
        <v>0</v>
      </c>
      <c r="T448" s="13">
        <v>0</v>
      </c>
      <c r="U448" s="13">
        <v>99392.8</v>
      </c>
      <c r="V448" s="5" t="e">
        <f t="shared" si="126"/>
        <v>#DIV/0!</v>
      </c>
    </row>
    <row r="449" spans="1:22" ht="24" customHeight="1" x14ac:dyDescent="0.25">
      <c r="A449" s="21" t="s">
        <v>1340</v>
      </c>
      <c r="B449" s="27" t="s">
        <v>489</v>
      </c>
      <c r="C449" s="2">
        <f t="shared" si="124"/>
        <v>113030.15</v>
      </c>
      <c r="D449" s="3">
        <f t="shared" si="125"/>
        <v>0</v>
      </c>
      <c r="E449" s="3">
        <v>0</v>
      </c>
      <c r="F449" s="3">
        <v>0</v>
      </c>
      <c r="G449" s="3">
        <v>0</v>
      </c>
      <c r="H449" s="3">
        <v>0</v>
      </c>
      <c r="I449" s="3">
        <v>0</v>
      </c>
      <c r="J449" s="3">
        <v>0</v>
      </c>
      <c r="K449" s="14">
        <v>0</v>
      </c>
      <c r="L449" s="13">
        <v>0</v>
      </c>
      <c r="M449" s="13">
        <v>0</v>
      </c>
      <c r="N449" s="3">
        <f>M449*5500</f>
        <v>0</v>
      </c>
      <c r="O449" s="13">
        <v>0</v>
      </c>
      <c r="P449" s="13">
        <v>0</v>
      </c>
      <c r="Q449" s="13">
        <v>0</v>
      </c>
      <c r="R449" s="3">
        <f t="shared" si="127"/>
        <v>0</v>
      </c>
      <c r="S449" s="13">
        <v>0</v>
      </c>
      <c r="T449" s="13">
        <v>0</v>
      </c>
      <c r="U449" s="13">
        <v>113030.15</v>
      </c>
      <c r="V449" s="5" t="e">
        <f t="shared" si="126"/>
        <v>#DIV/0!</v>
      </c>
    </row>
    <row r="450" spans="1:22" ht="34.9" customHeight="1" x14ac:dyDescent="0.25">
      <c r="A450" s="21" t="s">
        <v>1341</v>
      </c>
      <c r="B450" s="24" t="s">
        <v>888</v>
      </c>
      <c r="C450" s="2">
        <f t="shared" si="124"/>
        <v>4822702.8</v>
      </c>
      <c r="D450" s="3">
        <f t="shared" si="125"/>
        <v>0</v>
      </c>
      <c r="E450" s="3">
        <v>0</v>
      </c>
      <c r="F450" s="3">
        <v>0</v>
      </c>
      <c r="G450" s="3">
        <v>0</v>
      </c>
      <c r="H450" s="3">
        <v>0</v>
      </c>
      <c r="I450" s="3">
        <v>0</v>
      </c>
      <c r="J450" s="3">
        <v>0</v>
      </c>
      <c r="K450" s="14">
        <v>0</v>
      </c>
      <c r="L450" s="13">
        <v>0</v>
      </c>
      <c r="M450" s="13">
        <v>896.31</v>
      </c>
      <c r="N450" s="3">
        <v>4822702.8</v>
      </c>
      <c r="O450" s="13">
        <v>0</v>
      </c>
      <c r="P450" s="13">
        <v>0</v>
      </c>
      <c r="Q450" s="13">
        <v>0</v>
      </c>
      <c r="R450" s="3">
        <f t="shared" si="127"/>
        <v>0</v>
      </c>
      <c r="S450" s="13">
        <v>0</v>
      </c>
      <c r="T450" s="13">
        <v>0</v>
      </c>
      <c r="U450" s="13">
        <v>0</v>
      </c>
      <c r="V450" s="5">
        <f t="shared" si="126"/>
        <v>5380.6192054088433</v>
      </c>
    </row>
    <row r="451" spans="1:22" ht="25.15" customHeight="1" x14ac:dyDescent="0.25">
      <c r="A451" s="21" t="s">
        <v>1342</v>
      </c>
      <c r="B451" s="24" t="s">
        <v>567</v>
      </c>
      <c r="C451" s="2">
        <f t="shared" si="124"/>
        <v>153829.49</v>
      </c>
      <c r="D451" s="3">
        <f t="shared" si="125"/>
        <v>0</v>
      </c>
      <c r="E451" s="3">
        <v>0</v>
      </c>
      <c r="F451" s="3">
        <v>0</v>
      </c>
      <c r="G451" s="3">
        <v>0</v>
      </c>
      <c r="H451" s="3">
        <v>0</v>
      </c>
      <c r="I451" s="3">
        <v>0</v>
      </c>
      <c r="J451" s="3">
        <v>0</v>
      </c>
      <c r="K451" s="14">
        <v>0</v>
      </c>
      <c r="L451" s="13">
        <v>0</v>
      </c>
      <c r="M451" s="13">
        <v>0</v>
      </c>
      <c r="N451" s="3">
        <f>M451*5500</f>
        <v>0</v>
      </c>
      <c r="O451" s="13">
        <v>0</v>
      </c>
      <c r="P451" s="13">
        <v>0</v>
      </c>
      <c r="Q451" s="13">
        <v>0</v>
      </c>
      <c r="R451" s="3">
        <f t="shared" si="127"/>
        <v>0</v>
      </c>
      <c r="S451" s="13">
        <v>0</v>
      </c>
      <c r="T451" s="13">
        <v>0</v>
      </c>
      <c r="U451" s="13">
        <v>153829.49</v>
      </c>
      <c r="V451" s="5" t="e">
        <f t="shared" si="126"/>
        <v>#DIV/0!</v>
      </c>
    </row>
    <row r="452" spans="1:22" ht="25.15" customHeight="1" x14ac:dyDescent="0.25">
      <c r="A452" s="21" t="s">
        <v>1343</v>
      </c>
      <c r="B452" s="24" t="s">
        <v>490</v>
      </c>
      <c r="C452" s="2">
        <f t="shared" si="124"/>
        <v>93371.54</v>
      </c>
      <c r="D452" s="3">
        <f t="shared" si="125"/>
        <v>0</v>
      </c>
      <c r="E452" s="3">
        <v>0</v>
      </c>
      <c r="F452" s="3">
        <v>0</v>
      </c>
      <c r="G452" s="3">
        <v>0</v>
      </c>
      <c r="H452" s="3">
        <v>0</v>
      </c>
      <c r="I452" s="3">
        <v>0</v>
      </c>
      <c r="J452" s="3">
        <v>0</v>
      </c>
      <c r="K452" s="14">
        <v>0</v>
      </c>
      <c r="L452" s="13">
        <v>0</v>
      </c>
      <c r="M452" s="13">
        <v>0</v>
      </c>
      <c r="N452" s="3">
        <f>M452*5500</f>
        <v>0</v>
      </c>
      <c r="O452" s="13">
        <v>0</v>
      </c>
      <c r="P452" s="13">
        <v>0</v>
      </c>
      <c r="Q452" s="13">
        <v>0</v>
      </c>
      <c r="R452" s="3">
        <f t="shared" si="127"/>
        <v>0</v>
      </c>
      <c r="S452" s="13">
        <v>0</v>
      </c>
      <c r="T452" s="13">
        <v>0</v>
      </c>
      <c r="U452" s="13">
        <v>93371.54</v>
      </c>
      <c r="V452" s="5" t="e">
        <f t="shared" si="126"/>
        <v>#DIV/0!</v>
      </c>
    </row>
    <row r="453" spans="1:22" ht="24" customHeight="1" x14ac:dyDescent="0.25">
      <c r="A453" s="21" t="s">
        <v>1344</v>
      </c>
      <c r="B453" s="24" t="s">
        <v>568</v>
      </c>
      <c r="C453" s="2">
        <f t="shared" si="124"/>
        <v>1350551</v>
      </c>
      <c r="D453" s="3">
        <f t="shared" si="125"/>
        <v>0</v>
      </c>
      <c r="E453" s="3">
        <v>0</v>
      </c>
      <c r="F453" s="3">
        <v>0</v>
      </c>
      <c r="G453" s="3">
        <v>0</v>
      </c>
      <c r="H453" s="3">
        <v>0</v>
      </c>
      <c r="I453" s="3">
        <v>0</v>
      </c>
      <c r="J453" s="3">
        <v>0</v>
      </c>
      <c r="K453" s="14">
        <v>0</v>
      </c>
      <c r="L453" s="13">
        <v>0</v>
      </c>
      <c r="M453" s="13">
        <v>265.47000000000003</v>
      </c>
      <c r="N453" s="3">
        <v>1350551</v>
      </c>
      <c r="O453" s="13">
        <v>0</v>
      </c>
      <c r="P453" s="13">
        <v>0</v>
      </c>
      <c r="Q453" s="13">
        <v>0</v>
      </c>
      <c r="R453" s="3">
        <f t="shared" si="127"/>
        <v>0</v>
      </c>
      <c r="S453" s="13">
        <v>0</v>
      </c>
      <c r="T453" s="13">
        <v>0</v>
      </c>
      <c r="U453" s="13">
        <v>0</v>
      </c>
      <c r="V453" s="5">
        <f t="shared" si="126"/>
        <v>5087.3959392775068</v>
      </c>
    </row>
    <row r="454" spans="1:22" ht="24" customHeight="1" x14ac:dyDescent="0.25">
      <c r="A454" s="21" t="s">
        <v>1345</v>
      </c>
      <c r="B454" s="24" t="s">
        <v>569</v>
      </c>
      <c r="C454" s="2">
        <f t="shared" si="124"/>
        <v>1287471.4099999999</v>
      </c>
      <c r="D454" s="3">
        <f t="shared" si="125"/>
        <v>0</v>
      </c>
      <c r="E454" s="3">
        <v>0</v>
      </c>
      <c r="F454" s="3">
        <v>0</v>
      </c>
      <c r="G454" s="3">
        <v>0</v>
      </c>
      <c r="H454" s="3">
        <v>0</v>
      </c>
      <c r="I454" s="3">
        <v>0</v>
      </c>
      <c r="J454" s="3">
        <v>0</v>
      </c>
      <c r="K454" s="14">
        <v>0</v>
      </c>
      <c r="L454" s="13">
        <v>0</v>
      </c>
      <c r="M454" s="13">
        <v>263.11</v>
      </c>
      <c r="N454" s="3">
        <v>1287471.4099999999</v>
      </c>
      <c r="O454" s="13">
        <v>0</v>
      </c>
      <c r="P454" s="13">
        <v>0</v>
      </c>
      <c r="Q454" s="13">
        <v>0</v>
      </c>
      <c r="R454" s="3">
        <f t="shared" si="127"/>
        <v>0</v>
      </c>
      <c r="S454" s="13">
        <v>0</v>
      </c>
      <c r="T454" s="13">
        <v>0</v>
      </c>
      <c r="U454" s="13">
        <v>0</v>
      </c>
      <c r="V454" s="5">
        <f t="shared" si="126"/>
        <v>4893.2819353122259</v>
      </c>
    </row>
    <row r="455" spans="1:22" ht="24" customHeight="1" x14ac:dyDescent="0.25">
      <c r="A455" s="21" t="s">
        <v>1346</v>
      </c>
      <c r="B455" s="24" t="s">
        <v>385</v>
      </c>
      <c r="C455" s="2">
        <f t="shared" si="124"/>
        <v>551878.80000000005</v>
      </c>
      <c r="D455" s="3">
        <f t="shared" si="125"/>
        <v>0</v>
      </c>
      <c r="E455" s="3">
        <v>0</v>
      </c>
      <c r="F455" s="3">
        <v>0</v>
      </c>
      <c r="G455" s="3">
        <v>0</v>
      </c>
      <c r="H455" s="3">
        <v>0</v>
      </c>
      <c r="I455" s="3">
        <v>0</v>
      </c>
      <c r="J455" s="3">
        <v>0</v>
      </c>
      <c r="K455" s="4">
        <v>0</v>
      </c>
      <c r="L455" s="3">
        <v>0</v>
      </c>
      <c r="M455" s="3">
        <v>0</v>
      </c>
      <c r="N455" s="3">
        <v>0</v>
      </c>
      <c r="O455" s="3">
        <v>0</v>
      </c>
      <c r="P455" s="3">
        <v>0</v>
      </c>
      <c r="Q455" s="3">
        <v>0</v>
      </c>
      <c r="R455" s="3">
        <v>0</v>
      </c>
      <c r="S455" s="3">
        <v>0</v>
      </c>
      <c r="T455" s="3">
        <v>0</v>
      </c>
      <c r="U455" s="3">
        <v>551878.80000000005</v>
      </c>
      <c r="V455" s="5" t="e">
        <f t="shared" si="126"/>
        <v>#DIV/0!</v>
      </c>
    </row>
    <row r="456" spans="1:22" ht="24" customHeight="1" x14ac:dyDescent="0.25">
      <c r="A456" s="21" t="s">
        <v>1347</v>
      </c>
      <c r="B456" s="24" t="s">
        <v>420</v>
      </c>
      <c r="C456" s="2">
        <f t="shared" si="124"/>
        <v>1787112.0000000002</v>
      </c>
      <c r="D456" s="3">
        <f t="shared" si="125"/>
        <v>1787112.0000000002</v>
      </c>
      <c r="E456" s="3">
        <v>483806.4</v>
      </c>
      <c r="F456" s="3">
        <v>1203646.8</v>
      </c>
      <c r="G456" s="3">
        <v>99658.8</v>
      </c>
      <c r="H456" s="3">
        <v>0</v>
      </c>
      <c r="I456" s="3">
        <v>0</v>
      </c>
      <c r="J456" s="3">
        <f>0*350</f>
        <v>0</v>
      </c>
      <c r="K456" s="4">
        <v>0</v>
      </c>
      <c r="L456" s="3">
        <v>0</v>
      </c>
      <c r="M456" s="3">
        <v>0</v>
      </c>
      <c r="N456" s="3">
        <v>0</v>
      </c>
      <c r="O456" s="3">
        <v>0</v>
      </c>
      <c r="P456" s="3">
        <v>0</v>
      </c>
      <c r="Q456" s="3">
        <v>0</v>
      </c>
      <c r="R456" s="3">
        <v>0</v>
      </c>
      <c r="S456" s="3">
        <v>0</v>
      </c>
      <c r="T456" s="3">
        <v>0</v>
      </c>
      <c r="U456" s="3">
        <v>0</v>
      </c>
      <c r="V456" s="5" t="e">
        <f t="shared" si="126"/>
        <v>#DIV/0!</v>
      </c>
    </row>
    <row r="457" spans="1:22" ht="24" customHeight="1" x14ac:dyDescent="0.25">
      <c r="A457" s="21" t="s">
        <v>1348</v>
      </c>
      <c r="B457" s="24" t="s">
        <v>412</v>
      </c>
      <c r="C457" s="2">
        <f t="shared" si="124"/>
        <v>2369787.6</v>
      </c>
      <c r="D457" s="3">
        <f t="shared" si="125"/>
        <v>2369787.6</v>
      </c>
      <c r="E457" s="3">
        <v>775140</v>
      </c>
      <c r="F457" s="3">
        <v>1466466</v>
      </c>
      <c r="G457" s="3">
        <v>128181.6</v>
      </c>
      <c r="H457" s="3">
        <v>0</v>
      </c>
      <c r="I457" s="3">
        <v>0</v>
      </c>
      <c r="J457" s="3">
        <f>0*350</f>
        <v>0</v>
      </c>
      <c r="K457" s="4">
        <v>0</v>
      </c>
      <c r="L457" s="3">
        <v>0</v>
      </c>
      <c r="M457" s="3">
        <v>0</v>
      </c>
      <c r="N457" s="3">
        <v>0</v>
      </c>
      <c r="O457" s="3">
        <v>0</v>
      </c>
      <c r="P457" s="3">
        <v>0</v>
      </c>
      <c r="Q457" s="3">
        <v>0</v>
      </c>
      <c r="R457" s="3">
        <v>0</v>
      </c>
      <c r="S457" s="3">
        <v>0</v>
      </c>
      <c r="T457" s="3">
        <v>0</v>
      </c>
      <c r="U457" s="3">
        <v>0</v>
      </c>
      <c r="V457" s="5" t="e">
        <f t="shared" si="126"/>
        <v>#DIV/0!</v>
      </c>
    </row>
    <row r="458" spans="1:22" ht="24" customHeight="1" x14ac:dyDescent="0.25">
      <c r="A458" s="21" t="s">
        <v>1349</v>
      </c>
      <c r="B458" s="24" t="s">
        <v>413</v>
      </c>
      <c r="C458" s="2">
        <f t="shared" si="124"/>
        <v>3397738.8</v>
      </c>
      <c r="D458" s="3">
        <f t="shared" si="125"/>
        <v>3397738.8</v>
      </c>
      <c r="E458" s="3">
        <v>690468</v>
      </c>
      <c r="F458" s="3">
        <v>2228470.7999999998</v>
      </c>
      <c r="G458" s="3">
        <v>263671.2</v>
      </c>
      <c r="H458" s="3">
        <v>0</v>
      </c>
      <c r="I458" s="3">
        <v>215128.8</v>
      </c>
      <c r="J458" s="3">
        <f>0*350</f>
        <v>0</v>
      </c>
      <c r="K458" s="4">
        <v>0</v>
      </c>
      <c r="L458" s="3">
        <v>0</v>
      </c>
      <c r="M458" s="3">
        <v>0</v>
      </c>
      <c r="N458" s="3">
        <v>0</v>
      </c>
      <c r="O458" s="3">
        <v>0</v>
      </c>
      <c r="P458" s="3">
        <v>0</v>
      </c>
      <c r="Q458" s="3">
        <v>0</v>
      </c>
      <c r="R458" s="3">
        <v>0</v>
      </c>
      <c r="S458" s="3">
        <v>0</v>
      </c>
      <c r="T458" s="3">
        <v>0</v>
      </c>
      <c r="U458" s="3">
        <v>0</v>
      </c>
      <c r="V458" s="5" t="e">
        <f t="shared" si="126"/>
        <v>#DIV/0!</v>
      </c>
    </row>
    <row r="459" spans="1:22" ht="24" customHeight="1" x14ac:dyDescent="0.25">
      <c r="A459" s="21" t="s">
        <v>1350</v>
      </c>
      <c r="B459" s="24" t="s">
        <v>419</v>
      </c>
      <c r="C459" s="2">
        <f t="shared" si="124"/>
        <v>1555717.2</v>
      </c>
      <c r="D459" s="3">
        <f t="shared" si="125"/>
        <v>1555717.2</v>
      </c>
      <c r="E459" s="3">
        <v>457232.4</v>
      </c>
      <c r="F459" s="3">
        <v>1009686</v>
      </c>
      <c r="G459" s="3">
        <v>88798.8</v>
      </c>
      <c r="H459" s="3">
        <v>0</v>
      </c>
      <c r="I459" s="3">
        <v>0</v>
      </c>
      <c r="J459" s="3">
        <f>0*350</f>
        <v>0</v>
      </c>
      <c r="K459" s="4">
        <v>0</v>
      </c>
      <c r="L459" s="3">
        <v>0</v>
      </c>
      <c r="M459" s="3">
        <v>0</v>
      </c>
      <c r="N459" s="3">
        <v>0</v>
      </c>
      <c r="O459" s="3">
        <v>0</v>
      </c>
      <c r="P459" s="3">
        <v>0</v>
      </c>
      <c r="Q459" s="3">
        <v>0</v>
      </c>
      <c r="R459" s="3">
        <v>0</v>
      </c>
      <c r="S459" s="3">
        <v>0</v>
      </c>
      <c r="T459" s="3">
        <v>0</v>
      </c>
      <c r="U459" s="3">
        <v>0</v>
      </c>
      <c r="V459" s="5" t="e">
        <f t="shared" si="126"/>
        <v>#DIV/0!</v>
      </c>
    </row>
    <row r="460" spans="1:22" ht="24" customHeight="1" x14ac:dyDescent="0.25">
      <c r="A460" s="21" t="s">
        <v>1351</v>
      </c>
      <c r="B460" s="24" t="s">
        <v>395</v>
      </c>
      <c r="C460" s="2">
        <f t="shared" si="124"/>
        <v>871668.83</v>
      </c>
      <c r="D460" s="3">
        <f t="shared" si="125"/>
        <v>768186</v>
      </c>
      <c r="E460" s="3">
        <v>456012</v>
      </c>
      <c r="F460" s="3">
        <v>0</v>
      </c>
      <c r="G460" s="3">
        <v>110038.8</v>
      </c>
      <c r="H460" s="3">
        <f>500*0</f>
        <v>0</v>
      </c>
      <c r="I460" s="3">
        <v>202135.2</v>
      </c>
      <c r="J460" s="3">
        <f t="shared" ref="J460:J467" si="128">350*0</f>
        <v>0</v>
      </c>
      <c r="K460" s="4">
        <v>0</v>
      </c>
      <c r="L460" s="3">
        <v>0</v>
      </c>
      <c r="M460" s="3">
        <v>0</v>
      </c>
      <c r="N460" s="3">
        <v>0</v>
      </c>
      <c r="O460" s="3">
        <v>0</v>
      </c>
      <c r="P460" s="3">
        <v>0</v>
      </c>
      <c r="Q460" s="3">
        <v>0</v>
      </c>
      <c r="R460" s="3">
        <v>0</v>
      </c>
      <c r="S460" s="3">
        <v>0</v>
      </c>
      <c r="T460" s="3">
        <v>0</v>
      </c>
      <c r="U460" s="3">
        <v>103482.83</v>
      </c>
      <c r="V460" s="5" t="e">
        <f t="shared" si="126"/>
        <v>#DIV/0!</v>
      </c>
    </row>
    <row r="461" spans="1:22" ht="24" customHeight="1" x14ac:dyDescent="0.25">
      <c r="A461" s="21" t="s">
        <v>1352</v>
      </c>
      <c r="B461" s="24" t="s">
        <v>421</v>
      </c>
      <c r="C461" s="2">
        <f t="shared" si="124"/>
        <v>6051501.2000000011</v>
      </c>
      <c r="D461" s="3">
        <f t="shared" si="125"/>
        <v>5851501.2000000011</v>
      </c>
      <c r="E461" s="3">
        <v>742654.8</v>
      </c>
      <c r="F461" s="3">
        <v>3424796.4</v>
      </c>
      <c r="G461" s="3">
        <v>598286.4</v>
      </c>
      <c r="H461" s="3">
        <v>608089.19999999995</v>
      </c>
      <c r="I461" s="3">
        <v>477674.4</v>
      </c>
      <c r="J461" s="3">
        <f t="shared" si="128"/>
        <v>0</v>
      </c>
      <c r="K461" s="4">
        <v>0</v>
      </c>
      <c r="L461" s="3">
        <v>0</v>
      </c>
      <c r="M461" s="3">
        <v>0</v>
      </c>
      <c r="N461" s="3">
        <v>0</v>
      </c>
      <c r="O461" s="3">
        <v>0</v>
      </c>
      <c r="P461" s="3">
        <v>0</v>
      </c>
      <c r="Q461" s="3">
        <v>0</v>
      </c>
      <c r="R461" s="3">
        <v>0</v>
      </c>
      <c r="S461" s="3">
        <v>0</v>
      </c>
      <c r="T461" s="3">
        <v>0</v>
      </c>
      <c r="U461" s="3">
        <v>200000</v>
      </c>
      <c r="V461" s="5" t="e">
        <f t="shared" si="126"/>
        <v>#DIV/0!</v>
      </c>
    </row>
    <row r="462" spans="1:22" ht="24" customHeight="1" x14ac:dyDescent="0.25">
      <c r="A462" s="21" t="s">
        <v>1353</v>
      </c>
      <c r="B462" s="24" t="s">
        <v>379</v>
      </c>
      <c r="C462" s="2">
        <f t="shared" si="124"/>
        <v>5941296</v>
      </c>
      <c r="D462" s="3">
        <f t="shared" si="125"/>
        <v>5941296</v>
      </c>
      <c r="E462" s="3">
        <v>476244</v>
      </c>
      <c r="F462" s="3">
        <v>2566898.4</v>
      </c>
      <c r="G462" s="3">
        <v>988557.6</v>
      </c>
      <c r="H462" s="3">
        <v>980467.19999999995</v>
      </c>
      <c r="I462" s="3">
        <v>929128.8</v>
      </c>
      <c r="J462" s="3">
        <f t="shared" si="128"/>
        <v>0</v>
      </c>
      <c r="K462" s="4">
        <v>0</v>
      </c>
      <c r="L462" s="3">
        <v>0</v>
      </c>
      <c r="M462" s="3">
        <v>0</v>
      </c>
      <c r="N462" s="3">
        <v>0</v>
      </c>
      <c r="O462" s="3">
        <v>0</v>
      </c>
      <c r="P462" s="3">
        <v>0</v>
      </c>
      <c r="Q462" s="3">
        <v>0</v>
      </c>
      <c r="R462" s="3">
        <v>0</v>
      </c>
      <c r="S462" s="3">
        <v>0</v>
      </c>
      <c r="T462" s="3">
        <v>0</v>
      </c>
      <c r="U462" s="3">
        <v>0</v>
      </c>
      <c r="V462" s="5" t="e">
        <f t="shared" si="126"/>
        <v>#DIV/0!</v>
      </c>
    </row>
    <row r="463" spans="1:22" ht="24" customHeight="1" x14ac:dyDescent="0.25">
      <c r="A463" s="21" t="s">
        <v>1354</v>
      </c>
      <c r="B463" s="24" t="s">
        <v>380</v>
      </c>
      <c r="C463" s="2">
        <f t="shared" si="124"/>
        <v>1241695.8500000001</v>
      </c>
      <c r="D463" s="3">
        <f t="shared" si="125"/>
        <v>1080466.8</v>
      </c>
      <c r="E463" s="3">
        <v>1003472.4</v>
      </c>
      <c r="F463" s="3">
        <v>0</v>
      </c>
      <c r="G463" s="3">
        <v>31490.400000000001</v>
      </c>
      <c r="H463" s="3">
        <v>45504</v>
      </c>
      <c r="I463" s="3">
        <v>0</v>
      </c>
      <c r="J463" s="3">
        <f t="shared" si="128"/>
        <v>0</v>
      </c>
      <c r="K463" s="4">
        <v>0</v>
      </c>
      <c r="L463" s="3">
        <v>0</v>
      </c>
      <c r="M463" s="3">
        <v>0</v>
      </c>
      <c r="N463" s="3">
        <v>0</v>
      </c>
      <c r="O463" s="3">
        <v>0</v>
      </c>
      <c r="P463" s="3">
        <v>0</v>
      </c>
      <c r="Q463" s="3">
        <v>0</v>
      </c>
      <c r="R463" s="3">
        <v>0</v>
      </c>
      <c r="S463" s="3">
        <v>0</v>
      </c>
      <c r="T463" s="3">
        <v>0</v>
      </c>
      <c r="U463" s="3">
        <v>161229.04999999999</v>
      </c>
      <c r="V463" s="5" t="e">
        <f t="shared" si="126"/>
        <v>#DIV/0!</v>
      </c>
    </row>
    <row r="464" spans="1:22" ht="24" customHeight="1" x14ac:dyDescent="0.25">
      <c r="A464" s="21" t="s">
        <v>1355</v>
      </c>
      <c r="B464" s="24" t="s">
        <v>362</v>
      </c>
      <c r="C464" s="2">
        <f t="shared" si="124"/>
        <v>1126559.3999999999</v>
      </c>
      <c r="D464" s="3">
        <f t="shared" si="125"/>
        <v>970075.2</v>
      </c>
      <c r="E464" s="3">
        <v>178032</v>
      </c>
      <c r="F464" s="3">
        <v>589411.19999999995</v>
      </c>
      <c r="G464" s="3">
        <v>153207.6</v>
      </c>
      <c r="H464" s="3">
        <f>500*0</f>
        <v>0</v>
      </c>
      <c r="I464" s="3">
        <v>49424.4</v>
      </c>
      <c r="J464" s="3">
        <f t="shared" si="128"/>
        <v>0</v>
      </c>
      <c r="K464" s="4">
        <v>0</v>
      </c>
      <c r="L464" s="3">
        <v>0</v>
      </c>
      <c r="M464" s="3">
        <v>0</v>
      </c>
      <c r="N464" s="3">
        <v>0</v>
      </c>
      <c r="O464" s="3">
        <v>0</v>
      </c>
      <c r="P464" s="3">
        <v>0</v>
      </c>
      <c r="Q464" s="3">
        <v>0</v>
      </c>
      <c r="R464" s="3">
        <v>0</v>
      </c>
      <c r="S464" s="3">
        <v>0</v>
      </c>
      <c r="T464" s="3">
        <v>0</v>
      </c>
      <c r="U464" s="3">
        <v>156484.20000000001</v>
      </c>
      <c r="V464" s="5" t="e">
        <f t="shared" si="126"/>
        <v>#DIV/0!</v>
      </c>
    </row>
    <row r="465" spans="1:22" ht="24" customHeight="1" x14ac:dyDescent="0.25">
      <c r="A465" s="21" t="s">
        <v>1356</v>
      </c>
      <c r="B465" s="24" t="s">
        <v>363</v>
      </c>
      <c r="C465" s="2">
        <f t="shared" si="124"/>
        <v>1308191.5999999999</v>
      </c>
      <c r="D465" s="3">
        <f t="shared" si="125"/>
        <v>1108191.5999999999</v>
      </c>
      <c r="E465" s="3">
        <v>317316</v>
      </c>
      <c r="F465" s="3">
        <v>665223.6</v>
      </c>
      <c r="G465" s="3">
        <v>53865.599999999999</v>
      </c>
      <c r="H465" s="3">
        <f>500*0</f>
        <v>0</v>
      </c>
      <c r="I465" s="3">
        <v>71786.399999999994</v>
      </c>
      <c r="J465" s="3">
        <f t="shared" si="128"/>
        <v>0</v>
      </c>
      <c r="K465" s="4">
        <v>0</v>
      </c>
      <c r="L465" s="3">
        <v>0</v>
      </c>
      <c r="M465" s="3">
        <v>0</v>
      </c>
      <c r="N465" s="3">
        <v>0</v>
      </c>
      <c r="O465" s="3">
        <v>0</v>
      </c>
      <c r="P465" s="3">
        <v>0</v>
      </c>
      <c r="Q465" s="3">
        <v>0</v>
      </c>
      <c r="R465" s="3">
        <v>0</v>
      </c>
      <c r="S465" s="3">
        <v>0</v>
      </c>
      <c r="T465" s="3">
        <v>0</v>
      </c>
      <c r="U465" s="3">
        <v>200000</v>
      </c>
      <c r="V465" s="5" t="e">
        <f t="shared" si="126"/>
        <v>#DIV/0!</v>
      </c>
    </row>
    <row r="466" spans="1:22" ht="24" customHeight="1" x14ac:dyDescent="0.25">
      <c r="A466" s="21" t="s">
        <v>1357</v>
      </c>
      <c r="B466" s="27" t="s">
        <v>422</v>
      </c>
      <c r="C466" s="2">
        <f t="shared" si="124"/>
        <v>14095576.799999997</v>
      </c>
      <c r="D466" s="3">
        <f t="shared" si="125"/>
        <v>14095576.799999997</v>
      </c>
      <c r="E466" s="3">
        <v>1510459.2</v>
      </c>
      <c r="F466" s="3">
        <v>7261664.4000000004</v>
      </c>
      <c r="G466" s="3">
        <v>1863289.2</v>
      </c>
      <c r="H466" s="3">
        <v>2241184.7999999998</v>
      </c>
      <c r="I466" s="3">
        <v>1218979.2</v>
      </c>
      <c r="J466" s="3">
        <f t="shared" si="128"/>
        <v>0</v>
      </c>
      <c r="K466" s="4">
        <v>0</v>
      </c>
      <c r="L466" s="3">
        <v>0</v>
      </c>
      <c r="M466" s="3">
        <v>0</v>
      </c>
      <c r="N466" s="3">
        <v>0</v>
      </c>
      <c r="O466" s="3">
        <v>0</v>
      </c>
      <c r="P466" s="3">
        <v>0</v>
      </c>
      <c r="Q466" s="3">
        <v>0</v>
      </c>
      <c r="R466" s="3">
        <v>0</v>
      </c>
      <c r="S466" s="3">
        <v>0</v>
      </c>
      <c r="T466" s="3">
        <v>0</v>
      </c>
      <c r="U466" s="3">
        <v>0</v>
      </c>
      <c r="V466" s="5" t="e">
        <f t="shared" si="126"/>
        <v>#DIV/0!</v>
      </c>
    </row>
    <row r="467" spans="1:22" ht="24" customHeight="1" x14ac:dyDescent="0.25">
      <c r="A467" s="21" t="s">
        <v>1358</v>
      </c>
      <c r="B467" s="24" t="s">
        <v>394</v>
      </c>
      <c r="C467" s="2">
        <f t="shared" si="124"/>
        <v>3426128</v>
      </c>
      <c r="D467" s="3">
        <f t="shared" si="125"/>
        <v>3226128</v>
      </c>
      <c r="E467" s="3">
        <v>787698</v>
      </c>
      <c r="F467" s="3">
        <v>1389739.2</v>
      </c>
      <c r="G467" s="3">
        <v>340291.2</v>
      </c>
      <c r="H467" s="3">
        <v>257734.8</v>
      </c>
      <c r="I467" s="3">
        <v>450664.8</v>
      </c>
      <c r="J467" s="3">
        <f t="shared" si="128"/>
        <v>0</v>
      </c>
      <c r="K467" s="4">
        <v>0</v>
      </c>
      <c r="L467" s="3">
        <v>0</v>
      </c>
      <c r="M467" s="3">
        <v>0</v>
      </c>
      <c r="N467" s="3">
        <v>0</v>
      </c>
      <c r="O467" s="3">
        <v>0</v>
      </c>
      <c r="P467" s="3">
        <v>0</v>
      </c>
      <c r="Q467" s="3">
        <v>0</v>
      </c>
      <c r="R467" s="3">
        <v>0</v>
      </c>
      <c r="S467" s="3">
        <v>0</v>
      </c>
      <c r="T467" s="3">
        <v>0</v>
      </c>
      <c r="U467" s="3">
        <v>200000</v>
      </c>
      <c r="V467" s="5" t="e">
        <f t="shared" si="126"/>
        <v>#DIV/0!</v>
      </c>
    </row>
    <row r="468" spans="1:22" ht="24" customHeight="1" x14ac:dyDescent="0.25">
      <c r="A468" s="21" t="s">
        <v>1359</v>
      </c>
      <c r="B468" s="24" t="s">
        <v>570</v>
      </c>
      <c r="C468" s="2">
        <f t="shared" si="124"/>
        <v>148301.57</v>
      </c>
      <c r="D468" s="3">
        <f t="shared" si="125"/>
        <v>0</v>
      </c>
      <c r="E468" s="3">
        <v>0</v>
      </c>
      <c r="F468" s="3">
        <v>0</v>
      </c>
      <c r="G468" s="3">
        <v>0</v>
      </c>
      <c r="H468" s="3">
        <v>0</v>
      </c>
      <c r="I468" s="3">
        <v>0</v>
      </c>
      <c r="J468" s="3">
        <v>0</v>
      </c>
      <c r="K468" s="14">
        <v>0</v>
      </c>
      <c r="L468" s="13">
        <v>0</v>
      </c>
      <c r="M468" s="13">
        <v>0</v>
      </c>
      <c r="N468" s="3">
        <f>M468*5500</f>
        <v>0</v>
      </c>
      <c r="O468" s="13">
        <v>0</v>
      </c>
      <c r="P468" s="13">
        <v>0</v>
      </c>
      <c r="Q468" s="13">
        <v>0</v>
      </c>
      <c r="R468" s="3">
        <f t="shared" ref="R468:R484" si="129">Q468*3000</f>
        <v>0</v>
      </c>
      <c r="S468" s="13">
        <v>0</v>
      </c>
      <c r="T468" s="13">
        <v>0</v>
      </c>
      <c r="U468" s="13">
        <v>148301.57</v>
      </c>
      <c r="V468" s="5" t="e">
        <f t="shared" si="126"/>
        <v>#DIV/0!</v>
      </c>
    </row>
    <row r="469" spans="1:22" ht="24" customHeight="1" x14ac:dyDescent="0.25">
      <c r="A469" s="21" t="s">
        <v>1360</v>
      </c>
      <c r="B469" s="24" t="s">
        <v>571</v>
      </c>
      <c r="C469" s="2">
        <f t="shared" si="124"/>
        <v>1367362</v>
      </c>
      <c r="D469" s="3">
        <f t="shared" si="125"/>
        <v>0</v>
      </c>
      <c r="E469" s="3">
        <v>0</v>
      </c>
      <c r="F469" s="3">
        <v>0</v>
      </c>
      <c r="G469" s="3">
        <v>0</v>
      </c>
      <c r="H469" s="3">
        <v>0</v>
      </c>
      <c r="I469" s="3">
        <v>0</v>
      </c>
      <c r="J469" s="3">
        <v>0</v>
      </c>
      <c r="K469" s="14">
        <v>0</v>
      </c>
      <c r="L469" s="13">
        <v>0</v>
      </c>
      <c r="M469" s="13">
        <v>248.7</v>
      </c>
      <c r="N469" s="3">
        <v>1367362</v>
      </c>
      <c r="O469" s="13">
        <v>0</v>
      </c>
      <c r="P469" s="13">
        <v>0</v>
      </c>
      <c r="Q469" s="13">
        <v>0</v>
      </c>
      <c r="R469" s="3">
        <f t="shared" si="129"/>
        <v>0</v>
      </c>
      <c r="S469" s="13">
        <v>0</v>
      </c>
      <c r="T469" s="13">
        <v>0</v>
      </c>
      <c r="U469" s="13">
        <v>0</v>
      </c>
      <c r="V469" s="5">
        <f t="shared" si="126"/>
        <v>5498.0377965420184</v>
      </c>
    </row>
    <row r="470" spans="1:22" ht="24" customHeight="1" x14ac:dyDescent="0.25">
      <c r="A470" s="21" t="s">
        <v>1361</v>
      </c>
      <c r="B470" s="27" t="s">
        <v>500</v>
      </c>
      <c r="C470" s="2">
        <f t="shared" si="124"/>
        <v>4109430.8</v>
      </c>
      <c r="D470" s="3">
        <f t="shared" si="125"/>
        <v>0</v>
      </c>
      <c r="E470" s="3">
        <v>0</v>
      </c>
      <c r="F470" s="3">
        <v>0</v>
      </c>
      <c r="G470" s="3">
        <v>0</v>
      </c>
      <c r="H470" s="3">
        <v>0</v>
      </c>
      <c r="I470" s="3">
        <v>0</v>
      </c>
      <c r="J470" s="3">
        <v>0</v>
      </c>
      <c r="K470" s="14">
        <v>0</v>
      </c>
      <c r="L470" s="13">
        <v>0</v>
      </c>
      <c r="M470" s="13">
        <v>748.9</v>
      </c>
      <c r="N470" s="3">
        <v>4109430.8</v>
      </c>
      <c r="O470" s="13">
        <v>0</v>
      </c>
      <c r="P470" s="13">
        <v>0</v>
      </c>
      <c r="Q470" s="13">
        <v>0</v>
      </c>
      <c r="R470" s="3">
        <f t="shared" si="129"/>
        <v>0</v>
      </c>
      <c r="S470" s="13">
        <v>0</v>
      </c>
      <c r="T470" s="13">
        <v>0</v>
      </c>
      <c r="U470" s="13">
        <v>0</v>
      </c>
      <c r="V470" s="5">
        <f t="shared" si="126"/>
        <v>5487.2890906663106</v>
      </c>
    </row>
    <row r="471" spans="1:22" ht="24" customHeight="1" x14ac:dyDescent="0.25">
      <c r="A471" s="21" t="s">
        <v>1362</v>
      </c>
      <c r="B471" s="27" t="s">
        <v>491</v>
      </c>
      <c r="C471" s="2">
        <f t="shared" si="124"/>
        <v>2316872.7200000002</v>
      </c>
      <c r="D471" s="3">
        <f t="shared" si="125"/>
        <v>0</v>
      </c>
      <c r="E471" s="3">
        <v>0</v>
      </c>
      <c r="F471" s="3">
        <v>0</v>
      </c>
      <c r="G471" s="3">
        <v>0</v>
      </c>
      <c r="H471" s="3">
        <v>0</v>
      </c>
      <c r="I471" s="3">
        <v>0</v>
      </c>
      <c r="J471" s="3">
        <v>0</v>
      </c>
      <c r="K471" s="14">
        <v>0</v>
      </c>
      <c r="L471" s="13">
        <v>0</v>
      </c>
      <c r="M471" s="13">
        <v>421.78</v>
      </c>
      <c r="N471" s="3">
        <v>2316872.7200000002</v>
      </c>
      <c r="O471" s="13">
        <v>0</v>
      </c>
      <c r="P471" s="13">
        <v>0</v>
      </c>
      <c r="Q471" s="13">
        <v>0</v>
      </c>
      <c r="R471" s="3">
        <f t="shared" si="129"/>
        <v>0</v>
      </c>
      <c r="S471" s="13">
        <v>0</v>
      </c>
      <c r="T471" s="13">
        <v>0</v>
      </c>
      <c r="U471" s="13">
        <v>0</v>
      </c>
      <c r="V471" s="5">
        <f t="shared" si="126"/>
        <v>5493.0834084119688</v>
      </c>
    </row>
    <row r="472" spans="1:22" ht="24" customHeight="1" x14ac:dyDescent="0.25">
      <c r="A472" s="21" t="s">
        <v>1363</v>
      </c>
      <c r="B472" s="27" t="s">
        <v>492</v>
      </c>
      <c r="C472" s="2">
        <f t="shared" si="124"/>
        <v>2329466.75</v>
      </c>
      <c r="D472" s="3">
        <f t="shared" si="125"/>
        <v>0</v>
      </c>
      <c r="E472" s="3">
        <v>0</v>
      </c>
      <c r="F472" s="3">
        <v>0</v>
      </c>
      <c r="G472" s="3">
        <v>0</v>
      </c>
      <c r="H472" s="3">
        <v>0</v>
      </c>
      <c r="I472" s="3">
        <v>0</v>
      </c>
      <c r="J472" s="3">
        <v>0</v>
      </c>
      <c r="K472" s="14">
        <v>0</v>
      </c>
      <c r="L472" s="13">
        <v>0</v>
      </c>
      <c r="M472" s="13">
        <v>430</v>
      </c>
      <c r="N472" s="3">
        <v>2329466.75</v>
      </c>
      <c r="O472" s="13">
        <v>0</v>
      </c>
      <c r="P472" s="13">
        <v>0</v>
      </c>
      <c r="Q472" s="13">
        <v>0</v>
      </c>
      <c r="R472" s="3">
        <f t="shared" si="129"/>
        <v>0</v>
      </c>
      <c r="S472" s="13">
        <v>0</v>
      </c>
      <c r="T472" s="13">
        <v>0</v>
      </c>
      <c r="U472" s="13">
        <v>0</v>
      </c>
      <c r="V472" s="5">
        <f t="shared" si="126"/>
        <v>5417.3645348837208</v>
      </c>
    </row>
    <row r="473" spans="1:22" ht="24" customHeight="1" x14ac:dyDescent="0.25">
      <c r="A473" s="21" t="s">
        <v>1364</v>
      </c>
      <c r="B473" s="27" t="s">
        <v>493</v>
      </c>
      <c r="C473" s="2">
        <f t="shared" si="124"/>
        <v>2328121.02</v>
      </c>
      <c r="D473" s="3">
        <f t="shared" si="125"/>
        <v>0</v>
      </c>
      <c r="E473" s="3">
        <v>0</v>
      </c>
      <c r="F473" s="3">
        <v>0</v>
      </c>
      <c r="G473" s="3">
        <v>0</v>
      </c>
      <c r="H473" s="3">
        <v>0</v>
      </c>
      <c r="I473" s="3">
        <v>0</v>
      </c>
      <c r="J473" s="3">
        <v>0</v>
      </c>
      <c r="K473" s="14">
        <v>0</v>
      </c>
      <c r="L473" s="13">
        <v>0</v>
      </c>
      <c r="M473" s="13">
        <v>430</v>
      </c>
      <c r="N473" s="3">
        <v>2328121.02</v>
      </c>
      <c r="O473" s="13">
        <v>0</v>
      </c>
      <c r="P473" s="13">
        <v>0</v>
      </c>
      <c r="Q473" s="13">
        <v>0</v>
      </c>
      <c r="R473" s="3">
        <f t="shared" si="129"/>
        <v>0</v>
      </c>
      <c r="S473" s="13">
        <v>0</v>
      </c>
      <c r="T473" s="13">
        <v>0</v>
      </c>
      <c r="U473" s="13">
        <v>0</v>
      </c>
      <c r="V473" s="5">
        <f t="shared" si="126"/>
        <v>5414.2349302325583</v>
      </c>
    </row>
    <row r="474" spans="1:22" ht="24" customHeight="1" x14ac:dyDescent="0.25">
      <c r="A474" s="21" t="s">
        <v>1365</v>
      </c>
      <c r="B474" s="27" t="s">
        <v>494</v>
      </c>
      <c r="C474" s="2">
        <f t="shared" si="124"/>
        <v>2332911.84</v>
      </c>
      <c r="D474" s="3">
        <f t="shared" si="125"/>
        <v>0</v>
      </c>
      <c r="E474" s="3">
        <v>0</v>
      </c>
      <c r="F474" s="3">
        <v>0</v>
      </c>
      <c r="G474" s="3">
        <v>0</v>
      </c>
      <c r="H474" s="3">
        <v>0</v>
      </c>
      <c r="I474" s="3">
        <v>0</v>
      </c>
      <c r="J474" s="3">
        <v>0</v>
      </c>
      <c r="K474" s="14">
        <v>0</v>
      </c>
      <c r="L474" s="13">
        <v>0</v>
      </c>
      <c r="M474" s="13">
        <v>430</v>
      </c>
      <c r="N474" s="3">
        <v>2332911.84</v>
      </c>
      <c r="O474" s="13">
        <v>0</v>
      </c>
      <c r="P474" s="13">
        <v>0</v>
      </c>
      <c r="Q474" s="13">
        <v>0</v>
      </c>
      <c r="R474" s="3">
        <f t="shared" si="129"/>
        <v>0</v>
      </c>
      <c r="S474" s="13">
        <v>0</v>
      </c>
      <c r="T474" s="13">
        <v>0</v>
      </c>
      <c r="U474" s="13">
        <v>0</v>
      </c>
      <c r="V474" s="5">
        <f t="shared" si="126"/>
        <v>5425.3763720930228</v>
      </c>
    </row>
    <row r="475" spans="1:22" ht="24" customHeight="1" x14ac:dyDescent="0.25">
      <c r="A475" s="21" t="s">
        <v>1366</v>
      </c>
      <c r="B475" s="27" t="s">
        <v>495</v>
      </c>
      <c r="C475" s="2">
        <f t="shared" si="124"/>
        <v>2356200</v>
      </c>
      <c r="D475" s="3">
        <f t="shared" si="125"/>
        <v>0</v>
      </c>
      <c r="E475" s="3">
        <v>0</v>
      </c>
      <c r="F475" s="3">
        <v>0</v>
      </c>
      <c r="G475" s="3">
        <v>0</v>
      </c>
      <c r="H475" s="3">
        <v>0</v>
      </c>
      <c r="I475" s="3">
        <v>0</v>
      </c>
      <c r="J475" s="3">
        <v>0</v>
      </c>
      <c r="K475" s="14">
        <v>0</v>
      </c>
      <c r="L475" s="13">
        <v>0</v>
      </c>
      <c r="M475" s="13">
        <v>428.4</v>
      </c>
      <c r="N475" s="3">
        <v>2356200</v>
      </c>
      <c r="O475" s="13">
        <v>0</v>
      </c>
      <c r="P475" s="13">
        <v>0</v>
      </c>
      <c r="Q475" s="13">
        <v>0</v>
      </c>
      <c r="R475" s="3">
        <f t="shared" si="129"/>
        <v>0</v>
      </c>
      <c r="S475" s="13">
        <v>0</v>
      </c>
      <c r="T475" s="13">
        <v>0</v>
      </c>
      <c r="U475" s="13">
        <v>0</v>
      </c>
      <c r="V475" s="5">
        <f t="shared" si="126"/>
        <v>5500</v>
      </c>
    </row>
    <row r="476" spans="1:22" ht="24" customHeight="1" x14ac:dyDescent="0.25">
      <c r="A476" s="21" t="s">
        <v>1367</v>
      </c>
      <c r="B476" s="27" t="s">
        <v>496</v>
      </c>
      <c r="C476" s="2">
        <f t="shared" si="124"/>
        <v>2351133.44</v>
      </c>
      <c r="D476" s="3">
        <f t="shared" si="125"/>
        <v>0</v>
      </c>
      <c r="E476" s="3">
        <v>0</v>
      </c>
      <c r="F476" s="3">
        <v>0</v>
      </c>
      <c r="G476" s="3">
        <v>0</v>
      </c>
      <c r="H476" s="3">
        <v>0</v>
      </c>
      <c r="I476" s="3">
        <v>0</v>
      </c>
      <c r="J476" s="3">
        <v>0</v>
      </c>
      <c r="K476" s="14">
        <v>0</v>
      </c>
      <c r="L476" s="13">
        <v>0</v>
      </c>
      <c r="M476" s="13">
        <v>441.38</v>
      </c>
      <c r="N476" s="3">
        <v>2351133.44</v>
      </c>
      <c r="O476" s="13">
        <v>0</v>
      </c>
      <c r="P476" s="13">
        <v>0</v>
      </c>
      <c r="Q476" s="13">
        <v>0</v>
      </c>
      <c r="R476" s="3">
        <f t="shared" si="129"/>
        <v>0</v>
      </c>
      <c r="S476" s="13">
        <v>0</v>
      </c>
      <c r="T476" s="13">
        <v>0</v>
      </c>
      <c r="U476" s="13">
        <v>0</v>
      </c>
      <c r="V476" s="5">
        <f t="shared" si="126"/>
        <v>5326.7783769087864</v>
      </c>
    </row>
    <row r="477" spans="1:22" ht="24" customHeight="1" x14ac:dyDescent="0.25">
      <c r="A477" s="21" t="s">
        <v>1368</v>
      </c>
      <c r="B477" s="27" t="s">
        <v>497</v>
      </c>
      <c r="C477" s="2">
        <f t="shared" si="124"/>
        <v>2360600</v>
      </c>
      <c r="D477" s="3">
        <f t="shared" si="125"/>
        <v>0</v>
      </c>
      <c r="E477" s="3">
        <v>0</v>
      </c>
      <c r="F477" s="3">
        <v>0</v>
      </c>
      <c r="G477" s="3">
        <v>0</v>
      </c>
      <c r="H477" s="3">
        <v>0</v>
      </c>
      <c r="I477" s="3">
        <v>0</v>
      </c>
      <c r="J477" s="3">
        <v>0</v>
      </c>
      <c r="K477" s="14">
        <v>0</v>
      </c>
      <c r="L477" s="13">
        <v>0</v>
      </c>
      <c r="M477" s="13">
        <v>429.2</v>
      </c>
      <c r="N477" s="3">
        <v>2360600</v>
      </c>
      <c r="O477" s="13">
        <v>0</v>
      </c>
      <c r="P477" s="13">
        <v>0</v>
      </c>
      <c r="Q477" s="13">
        <v>0</v>
      </c>
      <c r="R477" s="3">
        <f t="shared" si="129"/>
        <v>0</v>
      </c>
      <c r="S477" s="13">
        <v>0</v>
      </c>
      <c r="T477" s="13">
        <v>0</v>
      </c>
      <c r="U477" s="13">
        <v>0</v>
      </c>
      <c r="V477" s="5">
        <f t="shared" si="126"/>
        <v>5500</v>
      </c>
    </row>
    <row r="478" spans="1:22" ht="24" customHeight="1" x14ac:dyDescent="0.25">
      <c r="A478" s="21" t="s">
        <v>1369</v>
      </c>
      <c r="B478" s="27" t="s">
        <v>498</v>
      </c>
      <c r="C478" s="2">
        <f t="shared" si="124"/>
        <v>2332495</v>
      </c>
      <c r="D478" s="3">
        <f t="shared" si="125"/>
        <v>0</v>
      </c>
      <c r="E478" s="3">
        <v>0</v>
      </c>
      <c r="F478" s="3">
        <v>0</v>
      </c>
      <c r="G478" s="3">
        <v>0</v>
      </c>
      <c r="H478" s="3">
        <v>0</v>
      </c>
      <c r="I478" s="3">
        <v>0</v>
      </c>
      <c r="J478" s="3">
        <v>0</v>
      </c>
      <c r="K478" s="14">
        <v>0</v>
      </c>
      <c r="L478" s="13">
        <v>0</v>
      </c>
      <c r="M478" s="13">
        <v>429.09</v>
      </c>
      <c r="N478" s="3">
        <v>2332495</v>
      </c>
      <c r="O478" s="13">
        <v>0</v>
      </c>
      <c r="P478" s="13">
        <v>0</v>
      </c>
      <c r="Q478" s="13">
        <v>0</v>
      </c>
      <c r="R478" s="3">
        <f t="shared" si="129"/>
        <v>0</v>
      </c>
      <c r="S478" s="13">
        <v>0</v>
      </c>
      <c r="T478" s="13">
        <v>0</v>
      </c>
      <c r="U478" s="13">
        <v>0</v>
      </c>
      <c r="V478" s="5">
        <f t="shared" si="126"/>
        <v>5435.9108811671213</v>
      </c>
    </row>
    <row r="479" spans="1:22" ht="24" customHeight="1" x14ac:dyDescent="0.25">
      <c r="A479" s="21" t="s">
        <v>1370</v>
      </c>
      <c r="B479" s="27" t="s">
        <v>499</v>
      </c>
      <c r="C479" s="2">
        <f t="shared" si="124"/>
        <v>2381412.71</v>
      </c>
      <c r="D479" s="3">
        <f t="shared" si="125"/>
        <v>0</v>
      </c>
      <c r="E479" s="3">
        <v>0</v>
      </c>
      <c r="F479" s="3">
        <v>0</v>
      </c>
      <c r="G479" s="3">
        <v>0</v>
      </c>
      <c r="H479" s="3">
        <v>0</v>
      </c>
      <c r="I479" s="3">
        <v>0</v>
      </c>
      <c r="J479" s="3">
        <v>0</v>
      </c>
      <c r="K479" s="14">
        <v>0</v>
      </c>
      <c r="L479" s="13">
        <v>0</v>
      </c>
      <c r="M479" s="13">
        <v>443.97</v>
      </c>
      <c r="N479" s="3">
        <v>2381412.71</v>
      </c>
      <c r="O479" s="13">
        <v>0</v>
      </c>
      <c r="P479" s="13">
        <v>0</v>
      </c>
      <c r="Q479" s="13">
        <v>0</v>
      </c>
      <c r="R479" s="3">
        <f t="shared" si="129"/>
        <v>0</v>
      </c>
      <c r="S479" s="13">
        <v>0</v>
      </c>
      <c r="T479" s="13">
        <v>0</v>
      </c>
      <c r="U479" s="13">
        <v>0</v>
      </c>
      <c r="V479" s="5">
        <f t="shared" si="126"/>
        <v>5363.9045656238031</v>
      </c>
    </row>
    <row r="480" spans="1:22" ht="24" customHeight="1" x14ac:dyDescent="0.25">
      <c r="A480" s="21" t="s">
        <v>1371</v>
      </c>
      <c r="B480" s="27" t="s">
        <v>572</v>
      </c>
      <c r="C480" s="2">
        <f t="shared" si="124"/>
        <v>2360865.0499999998</v>
      </c>
      <c r="D480" s="3">
        <f t="shared" si="125"/>
        <v>0</v>
      </c>
      <c r="E480" s="3">
        <v>0</v>
      </c>
      <c r="F480" s="3">
        <v>0</v>
      </c>
      <c r="G480" s="3">
        <v>0</v>
      </c>
      <c r="H480" s="3">
        <v>0</v>
      </c>
      <c r="I480" s="3">
        <v>0</v>
      </c>
      <c r="J480" s="3">
        <v>0</v>
      </c>
      <c r="K480" s="14">
        <v>0</v>
      </c>
      <c r="L480" s="13">
        <v>0</v>
      </c>
      <c r="M480" s="13">
        <v>432.81</v>
      </c>
      <c r="N480" s="3">
        <v>2360865.0499999998</v>
      </c>
      <c r="O480" s="13">
        <v>0</v>
      </c>
      <c r="P480" s="13">
        <v>0</v>
      </c>
      <c r="Q480" s="13">
        <v>0</v>
      </c>
      <c r="R480" s="3">
        <f t="shared" si="129"/>
        <v>0</v>
      </c>
      <c r="S480" s="13">
        <v>0</v>
      </c>
      <c r="T480" s="13">
        <v>0</v>
      </c>
      <c r="U480" s="13">
        <v>0</v>
      </c>
      <c r="V480" s="5">
        <f t="shared" si="126"/>
        <v>5454.7377602181095</v>
      </c>
    </row>
    <row r="481" spans="1:22" ht="24" customHeight="1" x14ac:dyDescent="0.25">
      <c r="A481" s="21" t="s">
        <v>1372</v>
      </c>
      <c r="B481" s="27" t="s">
        <v>573</v>
      </c>
      <c r="C481" s="2">
        <f t="shared" si="124"/>
        <v>2342175</v>
      </c>
      <c r="D481" s="3">
        <f t="shared" si="125"/>
        <v>0</v>
      </c>
      <c r="E481" s="3">
        <v>0</v>
      </c>
      <c r="F481" s="3">
        <v>0</v>
      </c>
      <c r="G481" s="3">
        <v>0</v>
      </c>
      <c r="H481" s="3">
        <v>0</v>
      </c>
      <c r="I481" s="3">
        <v>0</v>
      </c>
      <c r="J481" s="3">
        <v>0</v>
      </c>
      <c r="K481" s="14">
        <v>0</v>
      </c>
      <c r="L481" s="13">
        <v>0</v>
      </c>
      <c r="M481" s="13">
        <v>425.85</v>
      </c>
      <c r="N481" s="3">
        <v>2342175</v>
      </c>
      <c r="O481" s="13">
        <v>0</v>
      </c>
      <c r="P481" s="13">
        <v>0</v>
      </c>
      <c r="Q481" s="13">
        <v>0</v>
      </c>
      <c r="R481" s="3">
        <f t="shared" si="129"/>
        <v>0</v>
      </c>
      <c r="S481" s="13">
        <v>0</v>
      </c>
      <c r="T481" s="13">
        <v>0</v>
      </c>
      <c r="U481" s="13">
        <v>0</v>
      </c>
      <c r="V481" s="5">
        <f t="shared" si="126"/>
        <v>5500</v>
      </c>
    </row>
    <row r="482" spans="1:22" ht="24" customHeight="1" x14ac:dyDescent="0.25">
      <c r="A482" s="21" t="s">
        <v>1373</v>
      </c>
      <c r="B482" s="27" t="s">
        <v>574</v>
      </c>
      <c r="C482" s="2">
        <f t="shared" si="124"/>
        <v>2286681.85</v>
      </c>
      <c r="D482" s="3">
        <f t="shared" si="125"/>
        <v>0</v>
      </c>
      <c r="E482" s="3">
        <v>0</v>
      </c>
      <c r="F482" s="3">
        <v>0</v>
      </c>
      <c r="G482" s="3">
        <v>0</v>
      </c>
      <c r="H482" s="3">
        <v>0</v>
      </c>
      <c r="I482" s="3">
        <v>0</v>
      </c>
      <c r="J482" s="3">
        <v>0</v>
      </c>
      <c r="K482" s="14">
        <v>0</v>
      </c>
      <c r="L482" s="13">
        <v>0</v>
      </c>
      <c r="M482" s="13">
        <v>415.84</v>
      </c>
      <c r="N482" s="3">
        <v>2286681.85</v>
      </c>
      <c r="O482" s="13">
        <v>0</v>
      </c>
      <c r="P482" s="13">
        <v>0</v>
      </c>
      <c r="Q482" s="13">
        <v>0</v>
      </c>
      <c r="R482" s="3">
        <f t="shared" si="129"/>
        <v>0</v>
      </c>
      <c r="S482" s="13">
        <v>0</v>
      </c>
      <c r="T482" s="13">
        <v>0</v>
      </c>
      <c r="U482" s="13">
        <v>0</v>
      </c>
      <c r="V482" s="5">
        <f t="shared" si="126"/>
        <v>5498.9463495575228</v>
      </c>
    </row>
    <row r="483" spans="1:22" ht="24" customHeight="1" x14ac:dyDescent="0.25">
      <c r="A483" s="21" t="s">
        <v>1374</v>
      </c>
      <c r="B483" s="27" t="s">
        <v>575</v>
      </c>
      <c r="C483" s="2">
        <f t="shared" si="124"/>
        <v>2291630</v>
      </c>
      <c r="D483" s="3">
        <f t="shared" si="125"/>
        <v>0</v>
      </c>
      <c r="E483" s="3">
        <v>0</v>
      </c>
      <c r="F483" s="3">
        <v>0</v>
      </c>
      <c r="G483" s="3">
        <v>0</v>
      </c>
      <c r="H483" s="3">
        <v>0</v>
      </c>
      <c r="I483" s="3">
        <v>0</v>
      </c>
      <c r="J483" s="3">
        <v>0</v>
      </c>
      <c r="K483" s="14">
        <v>0</v>
      </c>
      <c r="L483" s="13">
        <v>0</v>
      </c>
      <c r="M483" s="13">
        <v>416.66</v>
      </c>
      <c r="N483" s="3">
        <v>2291630</v>
      </c>
      <c r="O483" s="13">
        <v>0</v>
      </c>
      <c r="P483" s="13">
        <v>0</v>
      </c>
      <c r="Q483" s="13">
        <v>0</v>
      </c>
      <c r="R483" s="3">
        <f t="shared" si="129"/>
        <v>0</v>
      </c>
      <c r="S483" s="13">
        <v>0</v>
      </c>
      <c r="T483" s="13">
        <v>0</v>
      </c>
      <c r="U483" s="13">
        <v>0</v>
      </c>
      <c r="V483" s="5">
        <f t="shared" si="126"/>
        <v>5500</v>
      </c>
    </row>
    <row r="484" spans="1:22" ht="24" customHeight="1" x14ac:dyDescent="0.25">
      <c r="A484" s="21" t="s">
        <v>1375</v>
      </c>
      <c r="B484" s="24" t="s">
        <v>576</v>
      </c>
      <c r="C484" s="2">
        <f t="shared" si="124"/>
        <v>2366100</v>
      </c>
      <c r="D484" s="3">
        <f t="shared" si="125"/>
        <v>0</v>
      </c>
      <c r="E484" s="3">
        <v>0</v>
      </c>
      <c r="F484" s="3">
        <v>0</v>
      </c>
      <c r="G484" s="3">
        <v>0</v>
      </c>
      <c r="H484" s="3">
        <v>0</v>
      </c>
      <c r="I484" s="3">
        <v>0</v>
      </c>
      <c r="J484" s="3">
        <v>0</v>
      </c>
      <c r="K484" s="14">
        <v>0</v>
      </c>
      <c r="L484" s="13">
        <v>0</v>
      </c>
      <c r="M484" s="13">
        <v>430.2</v>
      </c>
      <c r="N484" s="3">
        <v>2366100</v>
      </c>
      <c r="O484" s="13">
        <v>0</v>
      </c>
      <c r="P484" s="13">
        <v>0</v>
      </c>
      <c r="Q484" s="13">
        <v>0</v>
      </c>
      <c r="R484" s="3">
        <f t="shared" si="129"/>
        <v>0</v>
      </c>
      <c r="S484" s="13">
        <v>0</v>
      </c>
      <c r="T484" s="13">
        <v>0</v>
      </c>
      <c r="U484" s="13">
        <v>0</v>
      </c>
      <c r="V484" s="5">
        <f t="shared" si="126"/>
        <v>5500</v>
      </c>
    </row>
    <row r="485" spans="1:22" ht="24" customHeight="1" x14ac:dyDescent="0.25">
      <c r="A485" s="21" t="s">
        <v>1376</v>
      </c>
      <c r="B485" s="27" t="s">
        <v>749</v>
      </c>
      <c r="C485" s="2">
        <f t="shared" si="124"/>
        <v>5664683.5099999998</v>
      </c>
      <c r="D485" s="3">
        <f t="shared" si="125"/>
        <v>984131.06</v>
      </c>
      <c r="E485" s="3">
        <v>225234.17</v>
      </c>
      <c r="F485" s="3">
        <v>517408</v>
      </c>
      <c r="G485" s="3">
        <v>57467.22</v>
      </c>
      <c r="H485" s="3">
        <v>127294.73</v>
      </c>
      <c r="I485" s="3">
        <v>56726.94</v>
      </c>
      <c r="J485" s="3">
        <f>350*0</f>
        <v>0</v>
      </c>
      <c r="K485" s="4">
        <v>0</v>
      </c>
      <c r="L485" s="3">
        <v>0</v>
      </c>
      <c r="M485" s="3">
        <v>549.79999999999995</v>
      </c>
      <c r="N485" s="3">
        <v>3001490.34</v>
      </c>
      <c r="O485" s="3">
        <v>0</v>
      </c>
      <c r="P485" s="3">
        <v>0</v>
      </c>
      <c r="Q485" s="13">
        <v>674</v>
      </c>
      <c r="R485" s="3">
        <v>1480062.11</v>
      </c>
      <c r="S485" s="3">
        <v>0</v>
      </c>
      <c r="T485" s="13">
        <v>0</v>
      </c>
      <c r="U485" s="3">
        <v>199000</v>
      </c>
      <c r="V485" s="5">
        <f t="shared" si="126"/>
        <v>5459.2403419425245</v>
      </c>
    </row>
    <row r="486" spans="1:22" ht="24" customHeight="1" x14ac:dyDescent="0.25">
      <c r="A486" s="21" t="s">
        <v>1377</v>
      </c>
      <c r="B486" s="24" t="s">
        <v>577</v>
      </c>
      <c r="C486" s="2">
        <f t="shared" si="124"/>
        <v>979106.4</v>
      </c>
      <c r="D486" s="3">
        <f t="shared" si="125"/>
        <v>0</v>
      </c>
      <c r="E486" s="3">
        <v>0</v>
      </c>
      <c r="F486" s="3">
        <v>0</v>
      </c>
      <c r="G486" s="3">
        <v>0</v>
      </c>
      <c r="H486" s="3">
        <v>0</v>
      </c>
      <c r="I486" s="3">
        <v>0</v>
      </c>
      <c r="J486" s="3">
        <v>0</v>
      </c>
      <c r="K486" s="14">
        <v>0</v>
      </c>
      <c r="L486" s="13">
        <v>0</v>
      </c>
      <c r="M486" s="13">
        <v>0</v>
      </c>
      <c r="N486" s="3">
        <v>0</v>
      </c>
      <c r="O486" s="13">
        <v>0</v>
      </c>
      <c r="P486" s="13">
        <v>0</v>
      </c>
      <c r="Q486" s="13">
        <v>396</v>
      </c>
      <c r="R486" s="3">
        <v>979106.4</v>
      </c>
      <c r="S486" s="13">
        <v>0</v>
      </c>
      <c r="T486" s="13">
        <v>0</v>
      </c>
      <c r="U486" s="13">
        <v>0</v>
      </c>
      <c r="V486" s="5" t="e">
        <f t="shared" si="126"/>
        <v>#DIV/0!</v>
      </c>
    </row>
    <row r="487" spans="1:22" ht="24" customHeight="1" x14ac:dyDescent="0.25">
      <c r="A487" s="21" t="s">
        <v>1378</v>
      </c>
      <c r="B487" s="24" t="s">
        <v>501</v>
      </c>
      <c r="C487" s="2">
        <f t="shared" si="124"/>
        <v>114858.13</v>
      </c>
      <c r="D487" s="3">
        <f t="shared" si="125"/>
        <v>0</v>
      </c>
      <c r="E487" s="3">
        <v>0</v>
      </c>
      <c r="F487" s="3">
        <v>0</v>
      </c>
      <c r="G487" s="3">
        <v>0</v>
      </c>
      <c r="H487" s="3">
        <v>0</v>
      </c>
      <c r="I487" s="3">
        <v>0</v>
      </c>
      <c r="J487" s="3">
        <v>0</v>
      </c>
      <c r="K487" s="14">
        <v>0</v>
      </c>
      <c r="L487" s="13">
        <v>0</v>
      </c>
      <c r="M487" s="13">
        <v>0</v>
      </c>
      <c r="N487" s="3">
        <f>M487*5500</f>
        <v>0</v>
      </c>
      <c r="O487" s="13">
        <v>0</v>
      </c>
      <c r="P487" s="13">
        <v>0</v>
      </c>
      <c r="Q487" s="13">
        <v>0</v>
      </c>
      <c r="R487" s="3">
        <f t="shared" ref="R487:R495" si="130">Q487*3000</f>
        <v>0</v>
      </c>
      <c r="S487" s="13">
        <v>0</v>
      </c>
      <c r="T487" s="13">
        <v>0</v>
      </c>
      <c r="U487" s="13">
        <v>114858.13</v>
      </c>
      <c r="V487" s="5" t="e">
        <f t="shared" si="126"/>
        <v>#DIV/0!</v>
      </c>
    </row>
    <row r="488" spans="1:22" ht="24" customHeight="1" x14ac:dyDescent="0.25">
      <c r="A488" s="21" t="s">
        <v>1379</v>
      </c>
      <c r="B488" s="24" t="s">
        <v>505</v>
      </c>
      <c r="C488" s="2">
        <f t="shared" si="124"/>
        <v>102598.1</v>
      </c>
      <c r="D488" s="3">
        <f t="shared" si="125"/>
        <v>0</v>
      </c>
      <c r="E488" s="3">
        <v>0</v>
      </c>
      <c r="F488" s="3">
        <v>0</v>
      </c>
      <c r="G488" s="3">
        <v>0</v>
      </c>
      <c r="H488" s="3">
        <v>0</v>
      </c>
      <c r="I488" s="3">
        <v>0</v>
      </c>
      <c r="J488" s="3">
        <v>0</v>
      </c>
      <c r="K488" s="14">
        <v>0</v>
      </c>
      <c r="L488" s="13">
        <v>0</v>
      </c>
      <c r="M488" s="13">
        <v>0</v>
      </c>
      <c r="N488" s="3">
        <f>M488*5500</f>
        <v>0</v>
      </c>
      <c r="O488" s="13">
        <v>0</v>
      </c>
      <c r="P488" s="13">
        <v>0</v>
      </c>
      <c r="Q488" s="13">
        <v>0</v>
      </c>
      <c r="R488" s="3">
        <f t="shared" si="130"/>
        <v>0</v>
      </c>
      <c r="S488" s="13">
        <v>0</v>
      </c>
      <c r="T488" s="13">
        <v>0</v>
      </c>
      <c r="U488" s="13">
        <v>102598.1</v>
      </c>
      <c r="V488" s="5" t="e">
        <f t="shared" si="126"/>
        <v>#DIV/0!</v>
      </c>
    </row>
    <row r="489" spans="1:22" ht="24" customHeight="1" x14ac:dyDescent="0.25">
      <c r="A489" s="21" t="s">
        <v>1380</v>
      </c>
      <c r="B489" s="24" t="s">
        <v>506</v>
      </c>
      <c r="C489" s="2">
        <f t="shared" si="124"/>
        <v>2214975.6</v>
      </c>
      <c r="D489" s="3">
        <f t="shared" si="125"/>
        <v>0</v>
      </c>
      <c r="E489" s="3">
        <v>0</v>
      </c>
      <c r="F489" s="3">
        <v>0</v>
      </c>
      <c r="G489" s="3">
        <v>0</v>
      </c>
      <c r="H489" s="3">
        <v>0</v>
      </c>
      <c r="I489" s="3">
        <v>0</v>
      </c>
      <c r="J489" s="3">
        <v>0</v>
      </c>
      <c r="K489" s="14">
        <v>0</v>
      </c>
      <c r="L489" s="13">
        <v>0</v>
      </c>
      <c r="M489" s="13">
        <v>421</v>
      </c>
      <c r="N489" s="3">
        <v>2214975.6</v>
      </c>
      <c r="O489" s="13">
        <v>0</v>
      </c>
      <c r="P489" s="13">
        <v>0</v>
      </c>
      <c r="Q489" s="13">
        <v>0</v>
      </c>
      <c r="R489" s="3">
        <f t="shared" si="130"/>
        <v>0</v>
      </c>
      <c r="S489" s="13">
        <v>0</v>
      </c>
      <c r="T489" s="13">
        <v>0</v>
      </c>
      <c r="U489" s="13">
        <v>0</v>
      </c>
      <c r="V489" s="5">
        <f t="shared" si="126"/>
        <v>5261.2247030878862</v>
      </c>
    </row>
    <row r="490" spans="1:22" ht="24" customHeight="1" x14ac:dyDescent="0.25">
      <c r="A490" s="21" t="s">
        <v>1381</v>
      </c>
      <c r="B490" s="24" t="s">
        <v>578</v>
      </c>
      <c r="C490" s="2">
        <f t="shared" ref="C490:C553" si="131">D490+L490+N490+P490+R490+S490+T490+U490</f>
        <v>2200120.7999999998</v>
      </c>
      <c r="D490" s="3">
        <f t="shared" ref="D490:D553" si="132">SUM(E490:J490)</f>
        <v>0</v>
      </c>
      <c r="E490" s="3">
        <v>0</v>
      </c>
      <c r="F490" s="3">
        <v>0</v>
      </c>
      <c r="G490" s="3">
        <v>0</v>
      </c>
      <c r="H490" s="3">
        <v>0</v>
      </c>
      <c r="I490" s="3">
        <v>0</v>
      </c>
      <c r="J490" s="3">
        <v>0</v>
      </c>
      <c r="K490" s="14">
        <v>0</v>
      </c>
      <c r="L490" s="13">
        <v>0</v>
      </c>
      <c r="M490" s="13">
        <v>477.72</v>
      </c>
      <c r="N490" s="3">
        <v>2200120.7999999998</v>
      </c>
      <c r="O490" s="13">
        <v>0</v>
      </c>
      <c r="P490" s="13">
        <v>0</v>
      </c>
      <c r="Q490" s="13">
        <v>0</v>
      </c>
      <c r="R490" s="3">
        <f t="shared" si="130"/>
        <v>0</v>
      </c>
      <c r="S490" s="13">
        <v>0</v>
      </c>
      <c r="T490" s="13">
        <v>0</v>
      </c>
      <c r="U490" s="13">
        <v>0</v>
      </c>
      <c r="V490" s="5">
        <f t="shared" ref="V490:V553" si="133">N490/M490</f>
        <v>4605.4609394624458</v>
      </c>
    </row>
    <row r="491" spans="1:22" ht="24" customHeight="1" x14ac:dyDescent="0.25">
      <c r="A491" s="21" t="s">
        <v>1382</v>
      </c>
      <c r="B491" s="24" t="s">
        <v>503</v>
      </c>
      <c r="C491" s="2">
        <f t="shared" si="131"/>
        <v>2311100</v>
      </c>
      <c r="D491" s="3">
        <f t="shared" si="132"/>
        <v>0</v>
      </c>
      <c r="E491" s="3">
        <v>0</v>
      </c>
      <c r="F491" s="3">
        <v>0</v>
      </c>
      <c r="G491" s="3">
        <v>0</v>
      </c>
      <c r="H491" s="3">
        <v>0</v>
      </c>
      <c r="I491" s="3">
        <v>0</v>
      </c>
      <c r="J491" s="3">
        <v>0</v>
      </c>
      <c r="K491" s="14">
        <v>0</v>
      </c>
      <c r="L491" s="13">
        <v>0</v>
      </c>
      <c r="M491" s="13">
        <v>420.2</v>
      </c>
      <c r="N491" s="3">
        <v>2311100</v>
      </c>
      <c r="O491" s="13">
        <v>0</v>
      </c>
      <c r="P491" s="13">
        <v>0</v>
      </c>
      <c r="Q491" s="13">
        <v>0</v>
      </c>
      <c r="R491" s="3">
        <f t="shared" si="130"/>
        <v>0</v>
      </c>
      <c r="S491" s="13">
        <v>0</v>
      </c>
      <c r="T491" s="13">
        <v>0</v>
      </c>
      <c r="U491" s="13">
        <v>0</v>
      </c>
      <c r="V491" s="5">
        <f t="shared" si="133"/>
        <v>5500</v>
      </c>
    </row>
    <row r="492" spans="1:22" ht="24" customHeight="1" x14ac:dyDescent="0.25">
      <c r="A492" s="21" t="s">
        <v>1383</v>
      </c>
      <c r="B492" s="24" t="s">
        <v>504</v>
      </c>
      <c r="C492" s="2">
        <f t="shared" si="131"/>
        <v>2203597.2000000002</v>
      </c>
      <c r="D492" s="3">
        <f t="shared" si="132"/>
        <v>0</v>
      </c>
      <c r="E492" s="3">
        <v>0</v>
      </c>
      <c r="F492" s="3">
        <v>0</v>
      </c>
      <c r="G492" s="3">
        <v>0</v>
      </c>
      <c r="H492" s="3">
        <v>0</v>
      </c>
      <c r="I492" s="3">
        <v>0</v>
      </c>
      <c r="J492" s="3">
        <v>0</v>
      </c>
      <c r="K492" s="14">
        <v>0</v>
      </c>
      <c r="L492" s="13">
        <v>0</v>
      </c>
      <c r="M492" s="13">
        <v>416.6</v>
      </c>
      <c r="N492" s="3">
        <v>2203597.2000000002</v>
      </c>
      <c r="O492" s="13">
        <v>0</v>
      </c>
      <c r="P492" s="13">
        <v>0</v>
      </c>
      <c r="Q492" s="13">
        <v>0</v>
      </c>
      <c r="R492" s="3">
        <f t="shared" si="130"/>
        <v>0</v>
      </c>
      <c r="S492" s="13">
        <v>0</v>
      </c>
      <c r="T492" s="13">
        <v>0</v>
      </c>
      <c r="U492" s="13">
        <v>0</v>
      </c>
      <c r="V492" s="5">
        <f t="shared" si="133"/>
        <v>5289.4795967354776</v>
      </c>
    </row>
    <row r="493" spans="1:22" ht="24" customHeight="1" x14ac:dyDescent="0.25">
      <c r="A493" s="21" t="s">
        <v>1384</v>
      </c>
      <c r="B493" s="24" t="s">
        <v>443</v>
      </c>
      <c r="C493" s="2">
        <f t="shared" si="131"/>
        <v>2233951.2000000002</v>
      </c>
      <c r="D493" s="3">
        <f t="shared" si="132"/>
        <v>0</v>
      </c>
      <c r="E493" s="3">
        <v>0</v>
      </c>
      <c r="F493" s="3">
        <v>0</v>
      </c>
      <c r="G493" s="3">
        <v>0</v>
      </c>
      <c r="H493" s="3">
        <v>0</v>
      </c>
      <c r="I493" s="3">
        <v>0</v>
      </c>
      <c r="J493" s="3">
        <v>0</v>
      </c>
      <c r="K493" s="4">
        <v>0</v>
      </c>
      <c r="L493" s="3">
        <v>0</v>
      </c>
      <c r="M493" s="3">
        <v>416</v>
      </c>
      <c r="N493" s="3">
        <v>2233951.2000000002</v>
      </c>
      <c r="O493" s="3">
        <v>0</v>
      </c>
      <c r="P493" s="3">
        <v>0</v>
      </c>
      <c r="Q493" s="3">
        <v>0</v>
      </c>
      <c r="R493" s="3">
        <f t="shared" si="130"/>
        <v>0</v>
      </c>
      <c r="S493" s="3">
        <v>0</v>
      </c>
      <c r="T493" s="13">
        <v>0</v>
      </c>
      <c r="U493" s="3">
        <v>0</v>
      </c>
      <c r="V493" s="5">
        <f t="shared" si="133"/>
        <v>5370.0750000000007</v>
      </c>
    </row>
    <row r="494" spans="1:22" ht="24" customHeight="1" x14ac:dyDescent="0.25">
      <c r="A494" s="21" t="s">
        <v>1385</v>
      </c>
      <c r="B494" s="24" t="s">
        <v>444</v>
      </c>
      <c r="C494" s="2">
        <f t="shared" si="131"/>
        <v>2266000</v>
      </c>
      <c r="D494" s="3">
        <f t="shared" si="132"/>
        <v>0</v>
      </c>
      <c r="E494" s="3">
        <v>0</v>
      </c>
      <c r="F494" s="3">
        <v>0</v>
      </c>
      <c r="G494" s="3">
        <v>0</v>
      </c>
      <c r="H494" s="3">
        <v>0</v>
      </c>
      <c r="I494" s="3">
        <v>0</v>
      </c>
      <c r="J494" s="3">
        <v>0</v>
      </c>
      <c r="K494" s="4">
        <v>0</v>
      </c>
      <c r="L494" s="3">
        <v>0</v>
      </c>
      <c r="M494" s="3">
        <v>412</v>
      </c>
      <c r="N494" s="3">
        <v>2266000</v>
      </c>
      <c r="O494" s="3">
        <v>0</v>
      </c>
      <c r="P494" s="3">
        <v>0</v>
      </c>
      <c r="Q494" s="3">
        <v>0</v>
      </c>
      <c r="R494" s="3">
        <f t="shared" si="130"/>
        <v>0</v>
      </c>
      <c r="S494" s="3">
        <v>0</v>
      </c>
      <c r="T494" s="13">
        <v>0</v>
      </c>
      <c r="U494" s="3">
        <v>0</v>
      </c>
      <c r="V494" s="5">
        <f t="shared" si="133"/>
        <v>5500</v>
      </c>
    </row>
    <row r="495" spans="1:22" ht="24" customHeight="1" x14ac:dyDescent="0.25">
      <c r="A495" s="21" t="s">
        <v>1386</v>
      </c>
      <c r="B495" s="24" t="s">
        <v>507</v>
      </c>
      <c r="C495" s="2">
        <f t="shared" si="131"/>
        <v>2692184.4</v>
      </c>
      <c r="D495" s="3">
        <f t="shared" si="132"/>
        <v>0</v>
      </c>
      <c r="E495" s="3">
        <v>0</v>
      </c>
      <c r="F495" s="3">
        <v>0</v>
      </c>
      <c r="G495" s="3">
        <v>0</v>
      </c>
      <c r="H495" s="3">
        <v>0</v>
      </c>
      <c r="I495" s="3">
        <v>0</v>
      </c>
      <c r="J495" s="3">
        <v>0</v>
      </c>
      <c r="K495" s="14">
        <v>0</v>
      </c>
      <c r="L495" s="13">
        <v>0</v>
      </c>
      <c r="M495" s="13">
        <v>489.6</v>
      </c>
      <c r="N495" s="3">
        <v>2692184.4</v>
      </c>
      <c r="O495" s="13">
        <v>0</v>
      </c>
      <c r="P495" s="13">
        <v>0</v>
      </c>
      <c r="Q495" s="13">
        <v>0</v>
      </c>
      <c r="R495" s="3">
        <f t="shared" si="130"/>
        <v>0</v>
      </c>
      <c r="S495" s="13">
        <v>0</v>
      </c>
      <c r="T495" s="13">
        <v>0</v>
      </c>
      <c r="U495" s="13">
        <v>0</v>
      </c>
      <c r="V495" s="5">
        <f t="shared" si="133"/>
        <v>5498.7426470588234</v>
      </c>
    </row>
    <row r="496" spans="1:22" ht="24" customHeight="1" x14ac:dyDescent="0.25">
      <c r="A496" s="21" t="s">
        <v>1387</v>
      </c>
      <c r="B496" s="24" t="s">
        <v>458</v>
      </c>
      <c r="C496" s="2">
        <f t="shared" si="131"/>
        <v>6086187.9000000004</v>
      </c>
      <c r="D496" s="3">
        <f t="shared" si="132"/>
        <v>6086187.9000000004</v>
      </c>
      <c r="E496" s="3">
        <v>513365.1</v>
      </c>
      <c r="F496" s="3">
        <v>3460086</v>
      </c>
      <c r="G496" s="3">
        <v>578104.80000000005</v>
      </c>
      <c r="H496" s="3">
        <v>1012146</v>
      </c>
      <c r="I496" s="3">
        <v>522486</v>
      </c>
      <c r="J496" s="3">
        <f>350*0</f>
        <v>0</v>
      </c>
      <c r="K496" s="4">
        <v>0</v>
      </c>
      <c r="L496" s="3">
        <v>0</v>
      </c>
      <c r="M496" s="3">
        <v>0</v>
      </c>
      <c r="N496" s="3">
        <v>0</v>
      </c>
      <c r="O496" s="3">
        <v>0</v>
      </c>
      <c r="P496" s="3">
        <v>0</v>
      </c>
      <c r="Q496" s="3">
        <v>0</v>
      </c>
      <c r="R496" s="3">
        <v>0</v>
      </c>
      <c r="S496" s="3">
        <v>0</v>
      </c>
      <c r="T496" s="3">
        <v>0</v>
      </c>
      <c r="U496" s="3">
        <v>0</v>
      </c>
      <c r="V496" s="5" t="e">
        <f t="shared" si="133"/>
        <v>#DIV/0!</v>
      </c>
    </row>
    <row r="497" spans="1:22" ht="24" customHeight="1" x14ac:dyDescent="0.25">
      <c r="A497" s="21" t="s">
        <v>1388</v>
      </c>
      <c r="B497" s="24" t="s">
        <v>579</v>
      </c>
      <c r="C497" s="2">
        <f t="shared" si="131"/>
        <v>191593.73</v>
      </c>
      <c r="D497" s="3">
        <f t="shared" si="132"/>
        <v>0</v>
      </c>
      <c r="E497" s="3">
        <v>0</v>
      </c>
      <c r="F497" s="3">
        <v>0</v>
      </c>
      <c r="G497" s="3">
        <v>0</v>
      </c>
      <c r="H497" s="3">
        <v>0</v>
      </c>
      <c r="I497" s="3">
        <v>0</v>
      </c>
      <c r="J497" s="3">
        <f>350*0</f>
        <v>0</v>
      </c>
      <c r="K497" s="14">
        <v>0</v>
      </c>
      <c r="L497" s="13">
        <v>0</v>
      </c>
      <c r="M497" s="13">
        <v>0</v>
      </c>
      <c r="N497" s="13">
        <v>0</v>
      </c>
      <c r="O497" s="13">
        <v>0</v>
      </c>
      <c r="P497" s="13">
        <v>0</v>
      </c>
      <c r="Q497" s="13">
        <v>0</v>
      </c>
      <c r="R497" s="3">
        <f>Q497*3000</f>
        <v>0</v>
      </c>
      <c r="S497" s="13">
        <v>0</v>
      </c>
      <c r="T497" s="13">
        <v>0</v>
      </c>
      <c r="U497" s="13">
        <v>191593.73</v>
      </c>
      <c r="V497" s="5" t="e">
        <f t="shared" si="133"/>
        <v>#DIV/0!</v>
      </c>
    </row>
    <row r="498" spans="1:22" ht="24" customHeight="1" x14ac:dyDescent="0.25">
      <c r="A498" s="21" t="s">
        <v>1389</v>
      </c>
      <c r="B498" s="24" t="s">
        <v>508</v>
      </c>
      <c r="C498" s="2">
        <f t="shared" si="131"/>
        <v>4469499.5999999996</v>
      </c>
      <c r="D498" s="3">
        <f t="shared" si="132"/>
        <v>0</v>
      </c>
      <c r="E498" s="3">
        <v>0</v>
      </c>
      <c r="F498" s="3">
        <v>0</v>
      </c>
      <c r="G498" s="3">
        <v>0</v>
      </c>
      <c r="H498" s="3">
        <v>0</v>
      </c>
      <c r="I498" s="3">
        <v>0</v>
      </c>
      <c r="J498" s="3">
        <v>0</v>
      </c>
      <c r="K498" s="14">
        <v>0</v>
      </c>
      <c r="L498" s="13">
        <v>0</v>
      </c>
      <c r="M498" s="13">
        <v>839.8</v>
      </c>
      <c r="N498" s="3">
        <v>4469499.5999999996</v>
      </c>
      <c r="O498" s="13">
        <v>0</v>
      </c>
      <c r="P498" s="13">
        <v>0</v>
      </c>
      <c r="Q498" s="13">
        <v>0</v>
      </c>
      <c r="R498" s="3">
        <f>Q498*3000</f>
        <v>0</v>
      </c>
      <c r="S498" s="13">
        <v>0</v>
      </c>
      <c r="T498" s="13">
        <v>0</v>
      </c>
      <c r="U498" s="13">
        <v>0</v>
      </c>
      <c r="V498" s="5">
        <f t="shared" si="133"/>
        <v>5322.1000238151937</v>
      </c>
    </row>
    <row r="499" spans="1:22" ht="24" customHeight="1" x14ac:dyDescent="0.25">
      <c r="A499" s="21" t="s">
        <v>1390</v>
      </c>
      <c r="B499" s="27" t="s">
        <v>509</v>
      </c>
      <c r="C499" s="2">
        <f t="shared" si="131"/>
        <v>96590.77</v>
      </c>
      <c r="D499" s="3">
        <f t="shared" si="132"/>
        <v>0</v>
      </c>
      <c r="E499" s="3">
        <v>0</v>
      </c>
      <c r="F499" s="3">
        <v>0</v>
      </c>
      <c r="G499" s="3">
        <v>0</v>
      </c>
      <c r="H499" s="3">
        <v>0</v>
      </c>
      <c r="I499" s="3">
        <v>0</v>
      </c>
      <c r="J499" s="3">
        <v>0</v>
      </c>
      <c r="K499" s="14">
        <v>0</v>
      </c>
      <c r="L499" s="13">
        <v>0</v>
      </c>
      <c r="M499" s="13">
        <v>0</v>
      </c>
      <c r="N499" s="3">
        <f>M499*5500</f>
        <v>0</v>
      </c>
      <c r="O499" s="13">
        <v>0</v>
      </c>
      <c r="P499" s="13">
        <v>0</v>
      </c>
      <c r="Q499" s="13">
        <v>0</v>
      </c>
      <c r="R499" s="3">
        <f>Q499*3000</f>
        <v>0</v>
      </c>
      <c r="S499" s="13">
        <v>0</v>
      </c>
      <c r="T499" s="13">
        <v>0</v>
      </c>
      <c r="U499" s="13">
        <v>96590.77</v>
      </c>
      <c r="V499" s="5" t="e">
        <f t="shared" si="133"/>
        <v>#DIV/0!</v>
      </c>
    </row>
    <row r="500" spans="1:22" ht="24" customHeight="1" x14ac:dyDescent="0.25">
      <c r="A500" s="21" t="s">
        <v>1391</v>
      </c>
      <c r="B500" s="28" t="s">
        <v>854</v>
      </c>
      <c r="C500" s="2">
        <f t="shared" si="131"/>
        <v>573611.31999999995</v>
      </c>
      <c r="D500" s="3">
        <f t="shared" si="132"/>
        <v>0</v>
      </c>
      <c r="E500" s="3">
        <v>0</v>
      </c>
      <c r="F500" s="3">
        <v>0</v>
      </c>
      <c r="G500" s="3">
        <v>0</v>
      </c>
      <c r="H500" s="3">
        <v>0</v>
      </c>
      <c r="I500" s="3">
        <v>0</v>
      </c>
      <c r="J500" s="3">
        <v>0</v>
      </c>
      <c r="K500" s="4">
        <v>0</v>
      </c>
      <c r="L500" s="3">
        <v>0</v>
      </c>
      <c r="M500" s="3">
        <v>0</v>
      </c>
      <c r="N500" s="3">
        <v>0</v>
      </c>
      <c r="O500" s="3">
        <v>0</v>
      </c>
      <c r="P500" s="3">
        <v>0</v>
      </c>
      <c r="Q500" s="3">
        <v>0</v>
      </c>
      <c r="R500" s="13">
        <v>0</v>
      </c>
      <c r="S500" s="3">
        <v>0</v>
      </c>
      <c r="T500" s="3">
        <v>0</v>
      </c>
      <c r="U500" s="3">
        <v>573611.31999999995</v>
      </c>
      <c r="V500" s="5" t="e">
        <f t="shared" si="133"/>
        <v>#DIV/0!</v>
      </c>
    </row>
    <row r="501" spans="1:22" ht="24" customHeight="1" x14ac:dyDescent="0.25">
      <c r="A501" s="21" t="s">
        <v>1392</v>
      </c>
      <c r="B501" s="24" t="s">
        <v>511</v>
      </c>
      <c r="C501" s="2">
        <f t="shared" si="131"/>
        <v>1477300</v>
      </c>
      <c r="D501" s="3">
        <f t="shared" si="132"/>
        <v>0</v>
      </c>
      <c r="E501" s="3">
        <v>0</v>
      </c>
      <c r="F501" s="3">
        <v>0</v>
      </c>
      <c r="G501" s="3">
        <v>0</v>
      </c>
      <c r="H501" s="3">
        <v>0</v>
      </c>
      <c r="I501" s="3">
        <v>0</v>
      </c>
      <c r="J501" s="3">
        <v>0</v>
      </c>
      <c r="K501" s="14">
        <v>0</v>
      </c>
      <c r="L501" s="13">
        <v>0</v>
      </c>
      <c r="M501" s="13">
        <v>268.60000000000002</v>
      </c>
      <c r="N501" s="3">
        <v>1477300</v>
      </c>
      <c r="O501" s="13">
        <v>0</v>
      </c>
      <c r="P501" s="13">
        <v>0</v>
      </c>
      <c r="Q501" s="13">
        <v>0</v>
      </c>
      <c r="R501" s="3">
        <f>Q501*3000</f>
        <v>0</v>
      </c>
      <c r="S501" s="13">
        <v>0</v>
      </c>
      <c r="T501" s="13">
        <v>0</v>
      </c>
      <c r="U501" s="13">
        <v>0</v>
      </c>
      <c r="V501" s="5">
        <f t="shared" si="133"/>
        <v>5499.9999999999991</v>
      </c>
    </row>
    <row r="502" spans="1:22" ht="24" customHeight="1" x14ac:dyDescent="0.25">
      <c r="A502" s="21" t="s">
        <v>1393</v>
      </c>
      <c r="B502" s="28" t="s">
        <v>861</v>
      </c>
      <c r="C502" s="2">
        <f t="shared" si="131"/>
        <v>430499.34</v>
      </c>
      <c r="D502" s="3">
        <f t="shared" si="132"/>
        <v>0</v>
      </c>
      <c r="E502" s="3">
        <v>0</v>
      </c>
      <c r="F502" s="3">
        <v>0</v>
      </c>
      <c r="G502" s="3">
        <v>0</v>
      </c>
      <c r="H502" s="3">
        <v>0</v>
      </c>
      <c r="I502" s="3">
        <v>0</v>
      </c>
      <c r="J502" s="3">
        <v>0</v>
      </c>
      <c r="K502" s="4">
        <v>0</v>
      </c>
      <c r="L502" s="3">
        <v>0</v>
      </c>
      <c r="M502" s="3">
        <v>0</v>
      </c>
      <c r="N502" s="3">
        <f>M502*6600</f>
        <v>0</v>
      </c>
      <c r="O502" s="3">
        <v>0</v>
      </c>
      <c r="P502" s="3">
        <v>0</v>
      </c>
      <c r="Q502" s="3">
        <v>0</v>
      </c>
      <c r="R502" s="3">
        <v>0</v>
      </c>
      <c r="S502" s="3">
        <v>0</v>
      </c>
      <c r="T502" s="3">
        <v>0</v>
      </c>
      <c r="U502" s="3">
        <v>430499.34</v>
      </c>
      <c r="V502" s="5" t="e">
        <f t="shared" si="133"/>
        <v>#DIV/0!</v>
      </c>
    </row>
    <row r="503" spans="1:22" ht="24" customHeight="1" x14ac:dyDescent="0.25">
      <c r="A503" s="21" t="s">
        <v>1394</v>
      </c>
      <c r="B503" s="24" t="s">
        <v>381</v>
      </c>
      <c r="C503" s="2">
        <f t="shared" si="131"/>
        <v>1368525.6</v>
      </c>
      <c r="D503" s="3">
        <f t="shared" si="132"/>
        <v>1368525.6</v>
      </c>
      <c r="E503" s="3">
        <v>348848.4</v>
      </c>
      <c r="F503" s="3">
        <v>750570</v>
      </c>
      <c r="G503" s="3">
        <v>92169.600000000006</v>
      </c>
      <c r="H503" s="3">
        <v>87424.8</v>
      </c>
      <c r="I503" s="3">
        <v>89512.8</v>
      </c>
      <c r="J503" s="3">
        <f>350*0</f>
        <v>0</v>
      </c>
      <c r="K503" s="4">
        <v>0</v>
      </c>
      <c r="L503" s="3">
        <v>0</v>
      </c>
      <c r="M503" s="3">
        <v>0</v>
      </c>
      <c r="N503" s="3">
        <v>0</v>
      </c>
      <c r="O503" s="3">
        <v>0</v>
      </c>
      <c r="P503" s="3">
        <v>0</v>
      </c>
      <c r="Q503" s="3">
        <v>0</v>
      </c>
      <c r="R503" s="3">
        <v>0</v>
      </c>
      <c r="S503" s="3">
        <v>0</v>
      </c>
      <c r="T503" s="3">
        <v>0</v>
      </c>
      <c r="U503" s="3">
        <v>0</v>
      </c>
      <c r="V503" s="5" t="e">
        <f t="shared" si="133"/>
        <v>#DIV/0!</v>
      </c>
    </row>
    <row r="504" spans="1:22" ht="24" customHeight="1" x14ac:dyDescent="0.25">
      <c r="A504" s="21" t="s">
        <v>1395</v>
      </c>
      <c r="B504" s="24" t="s">
        <v>376</v>
      </c>
      <c r="C504" s="2">
        <f t="shared" si="131"/>
        <v>6167959.2000000002</v>
      </c>
      <c r="D504" s="3">
        <f t="shared" si="132"/>
        <v>6167959.2000000002</v>
      </c>
      <c r="E504" s="3">
        <v>1140753.6000000001</v>
      </c>
      <c r="F504" s="3">
        <v>3885480</v>
      </c>
      <c r="G504" s="3">
        <v>561847.19999999995</v>
      </c>
      <c r="H504" s="3">
        <f>500*0</f>
        <v>0</v>
      </c>
      <c r="I504" s="3">
        <v>579878.40000000002</v>
      </c>
      <c r="J504" s="3">
        <f>350*0</f>
        <v>0</v>
      </c>
      <c r="K504" s="4">
        <v>0</v>
      </c>
      <c r="L504" s="3">
        <v>0</v>
      </c>
      <c r="M504" s="3">
        <v>0</v>
      </c>
      <c r="N504" s="3">
        <v>0</v>
      </c>
      <c r="O504" s="3">
        <v>0</v>
      </c>
      <c r="P504" s="3">
        <v>0</v>
      </c>
      <c r="Q504" s="3">
        <v>0</v>
      </c>
      <c r="R504" s="3">
        <v>0</v>
      </c>
      <c r="S504" s="3">
        <v>0</v>
      </c>
      <c r="T504" s="3">
        <v>0</v>
      </c>
      <c r="U504" s="3">
        <v>0</v>
      </c>
      <c r="V504" s="5" t="e">
        <f t="shared" si="133"/>
        <v>#DIV/0!</v>
      </c>
    </row>
    <row r="505" spans="1:22" ht="24" customHeight="1" x14ac:dyDescent="0.25">
      <c r="A505" s="21" t="s">
        <v>1396</v>
      </c>
      <c r="B505" s="24" t="s">
        <v>371</v>
      </c>
      <c r="C505" s="2">
        <f t="shared" si="131"/>
        <v>3418366.8000000007</v>
      </c>
      <c r="D505" s="3">
        <f t="shared" si="132"/>
        <v>3418366.8000000007</v>
      </c>
      <c r="E505" s="3">
        <v>485563.2</v>
      </c>
      <c r="F505" s="3">
        <v>2355463.2000000002</v>
      </c>
      <c r="G505" s="3">
        <v>169125.6</v>
      </c>
      <c r="H505" s="3">
        <v>265453.2</v>
      </c>
      <c r="I505" s="3">
        <v>142761.60000000001</v>
      </c>
      <c r="J505" s="3">
        <f>350*0</f>
        <v>0</v>
      </c>
      <c r="K505" s="4">
        <v>0</v>
      </c>
      <c r="L505" s="3">
        <v>0</v>
      </c>
      <c r="M505" s="3">
        <v>0</v>
      </c>
      <c r="N505" s="3">
        <v>0</v>
      </c>
      <c r="O505" s="3">
        <v>0</v>
      </c>
      <c r="P505" s="3">
        <v>0</v>
      </c>
      <c r="Q505" s="3">
        <v>0</v>
      </c>
      <c r="R505" s="3">
        <v>0</v>
      </c>
      <c r="S505" s="3">
        <v>0</v>
      </c>
      <c r="T505" s="3">
        <v>0</v>
      </c>
      <c r="U505" s="3">
        <v>0</v>
      </c>
      <c r="V505" s="5" t="e">
        <f t="shared" si="133"/>
        <v>#DIV/0!</v>
      </c>
    </row>
    <row r="506" spans="1:22" ht="24" customHeight="1" x14ac:dyDescent="0.25">
      <c r="A506" s="21" t="s">
        <v>1397</v>
      </c>
      <c r="B506" s="24" t="s">
        <v>581</v>
      </c>
      <c r="C506" s="2">
        <f t="shared" si="131"/>
        <v>1247398.68</v>
      </c>
      <c r="D506" s="3">
        <f t="shared" si="132"/>
        <v>0</v>
      </c>
      <c r="E506" s="3">
        <v>0</v>
      </c>
      <c r="F506" s="3">
        <v>0</v>
      </c>
      <c r="G506" s="3">
        <v>0</v>
      </c>
      <c r="H506" s="3">
        <v>0</v>
      </c>
      <c r="I506" s="3">
        <v>0</v>
      </c>
      <c r="J506" s="3">
        <v>0</v>
      </c>
      <c r="K506" s="14">
        <v>0</v>
      </c>
      <c r="L506" s="13">
        <v>0</v>
      </c>
      <c r="M506" s="13">
        <v>226.8</v>
      </c>
      <c r="N506" s="3">
        <v>1247398.68</v>
      </c>
      <c r="O506" s="13">
        <v>0</v>
      </c>
      <c r="P506" s="13">
        <v>0</v>
      </c>
      <c r="Q506" s="13">
        <v>0</v>
      </c>
      <c r="R506" s="3">
        <f t="shared" ref="R506:R518" si="134">Q506*3000</f>
        <v>0</v>
      </c>
      <c r="S506" s="13">
        <v>0</v>
      </c>
      <c r="T506" s="13">
        <v>0</v>
      </c>
      <c r="U506" s="13">
        <v>0</v>
      </c>
      <c r="V506" s="5">
        <f t="shared" si="133"/>
        <v>5499.9941798941791</v>
      </c>
    </row>
    <row r="507" spans="1:22" ht="24" customHeight="1" x14ac:dyDescent="0.25">
      <c r="A507" s="21" t="s">
        <v>1398</v>
      </c>
      <c r="B507" s="24" t="s">
        <v>513</v>
      </c>
      <c r="C507" s="2">
        <f t="shared" si="131"/>
        <v>1274787</v>
      </c>
      <c r="D507" s="3">
        <f t="shared" si="132"/>
        <v>0</v>
      </c>
      <c r="E507" s="3">
        <v>0</v>
      </c>
      <c r="F507" s="3">
        <v>0</v>
      </c>
      <c r="G507" s="3">
        <v>0</v>
      </c>
      <c r="H507" s="3">
        <v>0</v>
      </c>
      <c r="I507" s="3">
        <v>0</v>
      </c>
      <c r="J507" s="3">
        <v>0</v>
      </c>
      <c r="K507" s="14">
        <v>0</v>
      </c>
      <c r="L507" s="13">
        <v>0</v>
      </c>
      <c r="M507" s="13">
        <v>231.78</v>
      </c>
      <c r="N507" s="3">
        <v>1274787</v>
      </c>
      <c r="O507" s="13">
        <v>0</v>
      </c>
      <c r="P507" s="13">
        <v>0</v>
      </c>
      <c r="Q507" s="13">
        <v>0</v>
      </c>
      <c r="R507" s="3">
        <f t="shared" si="134"/>
        <v>0</v>
      </c>
      <c r="S507" s="13">
        <v>0</v>
      </c>
      <c r="T507" s="13">
        <v>0</v>
      </c>
      <c r="U507" s="13">
        <v>0</v>
      </c>
      <c r="V507" s="5">
        <f t="shared" si="133"/>
        <v>5499.9870566916907</v>
      </c>
    </row>
    <row r="508" spans="1:22" ht="25.15" customHeight="1" x14ac:dyDescent="0.25">
      <c r="A508" s="21" t="s">
        <v>1399</v>
      </c>
      <c r="B508" s="24" t="s">
        <v>514</v>
      </c>
      <c r="C508" s="2">
        <f t="shared" si="131"/>
        <v>1302381.97</v>
      </c>
      <c r="D508" s="3">
        <f t="shared" si="132"/>
        <v>0</v>
      </c>
      <c r="E508" s="3">
        <v>0</v>
      </c>
      <c r="F508" s="3">
        <v>0</v>
      </c>
      <c r="G508" s="3">
        <v>0</v>
      </c>
      <c r="H508" s="3">
        <v>0</v>
      </c>
      <c r="I508" s="3">
        <v>0</v>
      </c>
      <c r="J508" s="3">
        <v>0</v>
      </c>
      <c r="K508" s="14">
        <v>0</v>
      </c>
      <c r="L508" s="13">
        <v>0</v>
      </c>
      <c r="M508" s="13">
        <v>236.8</v>
      </c>
      <c r="N508" s="3">
        <v>1302381.97</v>
      </c>
      <c r="O508" s="13">
        <v>0</v>
      </c>
      <c r="P508" s="13">
        <v>0</v>
      </c>
      <c r="Q508" s="13">
        <v>0</v>
      </c>
      <c r="R508" s="3">
        <f t="shared" si="134"/>
        <v>0</v>
      </c>
      <c r="S508" s="13">
        <v>0</v>
      </c>
      <c r="T508" s="13">
        <v>0</v>
      </c>
      <c r="U508" s="13">
        <v>0</v>
      </c>
      <c r="V508" s="5">
        <f t="shared" si="133"/>
        <v>5499.9238597972972</v>
      </c>
    </row>
    <row r="509" spans="1:22" ht="25.15" customHeight="1" x14ac:dyDescent="0.25">
      <c r="A509" s="21" t="s">
        <v>1400</v>
      </c>
      <c r="B509" s="24" t="s">
        <v>512</v>
      </c>
      <c r="C509" s="2">
        <f t="shared" si="131"/>
        <v>2044841.01</v>
      </c>
      <c r="D509" s="3">
        <f t="shared" si="132"/>
        <v>0</v>
      </c>
      <c r="E509" s="3">
        <v>0</v>
      </c>
      <c r="F509" s="3">
        <v>0</v>
      </c>
      <c r="G509" s="3">
        <v>0</v>
      </c>
      <c r="H509" s="3">
        <v>0</v>
      </c>
      <c r="I509" s="3">
        <v>0</v>
      </c>
      <c r="J509" s="3">
        <v>0</v>
      </c>
      <c r="K509" s="14">
        <v>0</v>
      </c>
      <c r="L509" s="13">
        <v>0</v>
      </c>
      <c r="M509" s="13">
        <v>371.79</v>
      </c>
      <c r="N509" s="3">
        <v>2044841.01</v>
      </c>
      <c r="O509" s="13">
        <v>0</v>
      </c>
      <c r="P509" s="13">
        <v>0</v>
      </c>
      <c r="Q509" s="13">
        <v>0</v>
      </c>
      <c r="R509" s="3">
        <f t="shared" si="134"/>
        <v>0</v>
      </c>
      <c r="S509" s="13">
        <v>0</v>
      </c>
      <c r="T509" s="13">
        <v>0</v>
      </c>
      <c r="U509" s="13">
        <v>0</v>
      </c>
      <c r="V509" s="5">
        <f t="shared" si="133"/>
        <v>5499.9892681352376</v>
      </c>
    </row>
    <row r="510" spans="1:22" ht="25.15" customHeight="1" x14ac:dyDescent="0.25">
      <c r="A510" s="21" t="s">
        <v>1401</v>
      </c>
      <c r="B510" s="24" t="s">
        <v>580</v>
      </c>
      <c r="C510" s="2">
        <f t="shared" si="131"/>
        <v>4991248.0999999996</v>
      </c>
      <c r="D510" s="3">
        <f t="shared" si="132"/>
        <v>0</v>
      </c>
      <c r="E510" s="3">
        <v>0</v>
      </c>
      <c r="F510" s="3">
        <v>0</v>
      </c>
      <c r="G510" s="3">
        <v>0</v>
      </c>
      <c r="H510" s="3">
        <v>0</v>
      </c>
      <c r="I510" s="3">
        <v>0</v>
      </c>
      <c r="J510" s="3">
        <v>0</v>
      </c>
      <c r="K510" s="14">
        <v>0</v>
      </c>
      <c r="L510" s="13">
        <v>0</v>
      </c>
      <c r="M510" s="13">
        <v>907.5</v>
      </c>
      <c r="N510" s="3">
        <v>4991248.0999999996</v>
      </c>
      <c r="O510" s="13">
        <v>0</v>
      </c>
      <c r="P510" s="13">
        <v>0</v>
      </c>
      <c r="Q510" s="13">
        <v>0</v>
      </c>
      <c r="R510" s="3">
        <f t="shared" si="134"/>
        <v>0</v>
      </c>
      <c r="S510" s="13">
        <v>0</v>
      </c>
      <c r="T510" s="13">
        <v>0</v>
      </c>
      <c r="U510" s="13">
        <v>0</v>
      </c>
      <c r="V510" s="5">
        <f t="shared" si="133"/>
        <v>5499.9979063360879</v>
      </c>
    </row>
    <row r="511" spans="1:22" ht="24" customHeight="1" x14ac:dyDescent="0.25">
      <c r="A511" s="21" t="s">
        <v>1402</v>
      </c>
      <c r="B511" s="27" t="s">
        <v>582</v>
      </c>
      <c r="C511" s="2">
        <f t="shared" si="131"/>
        <v>4452702</v>
      </c>
      <c r="D511" s="3">
        <f t="shared" si="132"/>
        <v>0</v>
      </c>
      <c r="E511" s="3">
        <v>0</v>
      </c>
      <c r="F511" s="3">
        <v>0</v>
      </c>
      <c r="G511" s="3">
        <v>0</v>
      </c>
      <c r="H511" s="3">
        <v>0</v>
      </c>
      <c r="I511" s="3">
        <v>0</v>
      </c>
      <c r="J511" s="3">
        <v>0</v>
      </c>
      <c r="K511" s="14">
        <v>0</v>
      </c>
      <c r="L511" s="13">
        <v>0</v>
      </c>
      <c r="M511" s="13">
        <v>810.6</v>
      </c>
      <c r="N511" s="3">
        <v>4452702</v>
      </c>
      <c r="O511" s="13">
        <v>0</v>
      </c>
      <c r="P511" s="13">
        <v>0</v>
      </c>
      <c r="Q511" s="13">
        <v>0</v>
      </c>
      <c r="R511" s="3">
        <f t="shared" si="134"/>
        <v>0</v>
      </c>
      <c r="S511" s="13">
        <v>0</v>
      </c>
      <c r="T511" s="13">
        <v>0</v>
      </c>
      <c r="U511" s="13">
        <v>0</v>
      </c>
      <c r="V511" s="5">
        <f t="shared" si="133"/>
        <v>5493.0940044411545</v>
      </c>
    </row>
    <row r="512" spans="1:22" ht="24" customHeight="1" x14ac:dyDescent="0.25">
      <c r="A512" s="21" t="s">
        <v>1403</v>
      </c>
      <c r="B512" s="27" t="s">
        <v>583</v>
      </c>
      <c r="C512" s="2">
        <f t="shared" si="131"/>
        <v>1353697.95</v>
      </c>
      <c r="D512" s="3">
        <f t="shared" si="132"/>
        <v>0</v>
      </c>
      <c r="E512" s="3">
        <v>0</v>
      </c>
      <c r="F512" s="3">
        <v>0</v>
      </c>
      <c r="G512" s="3">
        <v>0</v>
      </c>
      <c r="H512" s="3">
        <v>0</v>
      </c>
      <c r="I512" s="3">
        <v>0</v>
      </c>
      <c r="J512" s="3">
        <v>0</v>
      </c>
      <c r="K512" s="14">
        <v>0</v>
      </c>
      <c r="L512" s="13">
        <v>0</v>
      </c>
      <c r="M512" s="13">
        <v>261.5</v>
      </c>
      <c r="N512" s="3">
        <v>1353697.95</v>
      </c>
      <c r="O512" s="13">
        <v>0</v>
      </c>
      <c r="P512" s="13">
        <v>0</v>
      </c>
      <c r="Q512" s="13">
        <v>0</v>
      </c>
      <c r="R512" s="3">
        <f t="shared" si="134"/>
        <v>0</v>
      </c>
      <c r="S512" s="13">
        <v>0</v>
      </c>
      <c r="T512" s="13">
        <v>0</v>
      </c>
      <c r="U512" s="13">
        <v>0</v>
      </c>
      <c r="V512" s="5">
        <f t="shared" si="133"/>
        <v>5176.6652007648181</v>
      </c>
    </row>
    <row r="513" spans="1:22" ht="24" customHeight="1" x14ac:dyDescent="0.25">
      <c r="A513" s="21" t="s">
        <v>1404</v>
      </c>
      <c r="B513" s="27" t="s">
        <v>584</v>
      </c>
      <c r="C513" s="2">
        <f t="shared" si="131"/>
        <v>2521772.96</v>
      </c>
      <c r="D513" s="3">
        <f t="shared" si="132"/>
        <v>0</v>
      </c>
      <c r="E513" s="3">
        <v>0</v>
      </c>
      <c r="F513" s="3">
        <v>0</v>
      </c>
      <c r="G513" s="3">
        <v>0</v>
      </c>
      <c r="H513" s="3">
        <v>0</v>
      </c>
      <c r="I513" s="3">
        <v>0</v>
      </c>
      <c r="J513" s="3">
        <v>0</v>
      </c>
      <c r="K513" s="14">
        <v>0</v>
      </c>
      <c r="L513" s="13">
        <v>0</v>
      </c>
      <c r="M513" s="13">
        <v>522.20000000000005</v>
      </c>
      <c r="N513" s="3">
        <v>2521772.96</v>
      </c>
      <c r="O513" s="13">
        <v>0</v>
      </c>
      <c r="P513" s="13">
        <v>0</v>
      </c>
      <c r="Q513" s="13">
        <v>0</v>
      </c>
      <c r="R513" s="3">
        <f t="shared" si="134"/>
        <v>0</v>
      </c>
      <c r="S513" s="13">
        <v>0</v>
      </c>
      <c r="T513" s="13">
        <v>0</v>
      </c>
      <c r="U513" s="13">
        <v>0</v>
      </c>
      <c r="V513" s="5">
        <f t="shared" si="133"/>
        <v>4829.1324396782838</v>
      </c>
    </row>
    <row r="514" spans="1:22" ht="24" customHeight="1" x14ac:dyDescent="0.25">
      <c r="A514" s="21" t="s">
        <v>1405</v>
      </c>
      <c r="B514" s="24" t="s">
        <v>515</v>
      </c>
      <c r="C514" s="2">
        <f t="shared" si="131"/>
        <v>1990104</v>
      </c>
      <c r="D514" s="3">
        <f t="shared" si="132"/>
        <v>0</v>
      </c>
      <c r="E514" s="3">
        <v>0</v>
      </c>
      <c r="F514" s="3">
        <v>0</v>
      </c>
      <c r="G514" s="3">
        <v>0</v>
      </c>
      <c r="H514" s="3">
        <v>0</v>
      </c>
      <c r="I514" s="3">
        <v>0</v>
      </c>
      <c r="J514" s="3">
        <v>0</v>
      </c>
      <c r="K514" s="14">
        <v>0</v>
      </c>
      <c r="L514" s="13">
        <v>0</v>
      </c>
      <c r="M514" s="13">
        <v>367.34</v>
      </c>
      <c r="N514" s="3">
        <v>1990104</v>
      </c>
      <c r="O514" s="13">
        <v>0</v>
      </c>
      <c r="P514" s="13">
        <v>0</v>
      </c>
      <c r="Q514" s="13">
        <v>0</v>
      </c>
      <c r="R514" s="3">
        <f t="shared" si="134"/>
        <v>0</v>
      </c>
      <c r="S514" s="13">
        <v>0</v>
      </c>
      <c r="T514" s="13">
        <v>0</v>
      </c>
      <c r="U514" s="13">
        <v>0</v>
      </c>
      <c r="V514" s="5">
        <f t="shared" si="133"/>
        <v>5417.6076659225791</v>
      </c>
    </row>
    <row r="515" spans="1:22" ht="24" customHeight="1" x14ac:dyDescent="0.25">
      <c r="A515" s="21" t="s">
        <v>1406</v>
      </c>
      <c r="B515" s="24" t="s">
        <v>585</v>
      </c>
      <c r="C515" s="2">
        <f t="shared" si="131"/>
        <v>1323965.02</v>
      </c>
      <c r="D515" s="3">
        <f t="shared" si="132"/>
        <v>0</v>
      </c>
      <c r="E515" s="3">
        <v>0</v>
      </c>
      <c r="F515" s="3">
        <v>0</v>
      </c>
      <c r="G515" s="3">
        <v>0</v>
      </c>
      <c r="H515" s="3">
        <v>0</v>
      </c>
      <c r="I515" s="3">
        <v>0</v>
      </c>
      <c r="J515" s="3">
        <v>0</v>
      </c>
      <c r="K515" s="14">
        <v>0</v>
      </c>
      <c r="L515" s="13">
        <v>0</v>
      </c>
      <c r="M515" s="13">
        <v>258.02</v>
      </c>
      <c r="N515" s="3">
        <v>1323965.02</v>
      </c>
      <c r="O515" s="13">
        <v>0</v>
      </c>
      <c r="P515" s="13">
        <v>0</v>
      </c>
      <c r="Q515" s="13">
        <v>0</v>
      </c>
      <c r="R515" s="3">
        <f t="shared" si="134"/>
        <v>0</v>
      </c>
      <c r="S515" s="13">
        <v>0</v>
      </c>
      <c r="T515" s="13">
        <v>0</v>
      </c>
      <c r="U515" s="13">
        <v>0</v>
      </c>
      <c r="V515" s="5">
        <f t="shared" si="133"/>
        <v>5131.2495930548021</v>
      </c>
    </row>
    <row r="516" spans="1:22" ht="24" customHeight="1" x14ac:dyDescent="0.25">
      <c r="A516" s="21" t="s">
        <v>1407</v>
      </c>
      <c r="B516" s="24" t="s">
        <v>516</v>
      </c>
      <c r="C516" s="2">
        <f t="shared" si="131"/>
        <v>1287855.23</v>
      </c>
      <c r="D516" s="3">
        <f t="shared" si="132"/>
        <v>0</v>
      </c>
      <c r="E516" s="3">
        <v>0</v>
      </c>
      <c r="F516" s="3">
        <v>0</v>
      </c>
      <c r="G516" s="3">
        <v>0</v>
      </c>
      <c r="H516" s="3">
        <v>0</v>
      </c>
      <c r="I516" s="3">
        <v>0</v>
      </c>
      <c r="J516" s="3">
        <v>0</v>
      </c>
      <c r="K516" s="14">
        <v>0</v>
      </c>
      <c r="L516" s="13">
        <v>0</v>
      </c>
      <c r="M516" s="13">
        <v>258.02</v>
      </c>
      <c r="N516" s="3">
        <v>1287855.23</v>
      </c>
      <c r="O516" s="13">
        <v>0</v>
      </c>
      <c r="P516" s="13">
        <v>0</v>
      </c>
      <c r="Q516" s="13">
        <v>0</v>
      </c>
      <c r="R516" s="3">
        <f t="shared" si="134"/>
        <v>0</v>
      </c>
      <c r="S516" s="13">
        <v>0</v>
      </c>
      <c r="T516" s="13">
        <v>0</v>
      </c>
      <c r="U516" s="13">
        <v>0</v>
      </c>
      <c r="V516" s="5">
        <f t="shared" si="133"/>
        <v>4991.3000155026748</v>
      </c>
    </row>
    <row r="517" spans="1:22" ht="24" customHeight="1" x14ac:dyDescent="0.25">
      <c r="A517" s="21" t="s">
        <v>1408</v>
      </c>
      <c r="B517" s="24" t="s">
        <v>586</v>
      </c>
      <c r="C517" s="2">
        <f t="shared" si="131"/>
        <v>4356017.5999999996</v>
      </c>
      <c r="D517" s="3">
        <f t="shared" si="132"/>
        <v>0</v>
      </c>
      <c r="E517" s="3">
        <v>0</v>
      </c>
      <c r="F517" s="3">
        <v>0</v>
      </c>
      <c r="G517" s="3">
        <v>0</v>
      </c>
      <c r="H517" s="3">
        <v>0</v>
      </c>
      <c r="I517" s="3">
        <v>0</v>
      </c>
      <c r="J517" s="3">
        <v>0</v>
      </c>
      <c r="K517" s="14">
        <v>0</v>
      </c>
      <c r="L517" s="13">
        <v>0</v>
      </c>
      <c r="M517" s="13">
        <v>955.2</v>
      </c>
      <c r="N517" s="3">
        <v>4356017.5999999996</v>
      </c>
      <c r="O517" s="13">
        <v>0</v>
      </c>
      <c r="P517" s="13">
        <v>0</v>
      </c>
      <c r="Q517" s="13">
        <v>0</v>
      </c>
      <c r="R517" s="3">
        <f t="shared" si="134"/>
        <v>0</v>
      </c>
      <c r="S517" s="13">
        <v>0</v>
      </c>
      <c r="T517" s="13">
        <v>0</v>
      </c>
      <c r="U517" s="13">
        <v>0</v>
      </c>
      <c r="V517" s="5">
        <f t="shared" si="133"/>
        <v>4560.3199329983245</v>
      </c>
    </row>
    <row r="518" spans="1:22" ht="24" customHeight="1" x14ac:dyDescent="0.25">
      <c r="A518" s="21" t="s">
        <v>1409</v>
      </c>
      <c r="B518" s="24" t="s">
        <v>587</v>
      </c>
      <c r="C518" s="2">
        <f t="shared" si="131"/>
        <v>2337500</v>
      </c>
      <c r="D518" s="3">
        <f t="shared" si="132"/>
        <v>0</v>
      </c>
      <c r="E518" s="3">
        <v>0</v>
      </c>
      <c r="F518" s="3">
        <v>0</v>
      </c>
      <c r="G518" s="3">
        <v>0</v>
      </c>
      <c r="H518" s="3">
        <v>0</v>
      </c>
      <c r="I518" s="3">
        <v>0</v>
      </c>
      <c r="J518" s="3">
        <v>0</v>
      </c>
      <c r="K518" s="14">
        <v>0</v>
      </c>
      <c r="L518" s="13">
        <v>0</v>
      </c>
      <c r="M518" s="13">
        <v>425</v>
      </c>
      <c r="N518" s="3">
        <f>M518*5500</f>
        <v>2337500</v>
      </c>
      <c r="O518" s="13">
        <v>0</v>
      </c>
      <c r="P518" s="13">
        <v>0</v>
      </c>
      <c r="Q518" s="13">
        <v>0</v>
      </c>
      <c r="R518" s="3">
        <f t="shared" si="134"/>
        <v>0</v>
      </c>
      <c r="S518" s="13">
        <v>0</v>
      </c>
      <c r="T518" s="13">
        <v>0</v>
      </c>
      <c r="U518" s="13">
        <v>0</v>
      </c>
      <c r="V518" s="5">
        <f t="shared" si="133"/>
        <v>5500</v>
      </c>
    </row>
    <row r="519" spans="1:22" ht="24" customHeight="1" x14ac:dyDescent="0.25">
      <c r="A519" s="21" t="s">
        <v>1410</v>
      </c>
      <c r="B519" s="24" t="s">
        <v>483</v>
      </c>
      <c r="C519" s="2">
        <f t="shared" si="131"/>
        <v>813519.83</v>
      </c>
      <c r="D519" s="3">
        <f t="shared" si="132"/>
        <v>813519.83</v>
      </c>
      <c r="E519" s="3">
        <v>0</v>
      </c>
      <c r="F519" s="3">
        <v>401351.54</v>
      </c>
      <c r="G519" s="3">
        <v>215605.37</v>
      </c>
      <c r="H519" s="3">
        <f>800*0</f>
        <v>0</v>
      </c>
      <c r="I519" s="3">
        <v>196562.92</v>
      </c>
      <c r="J519" s="3">
        <f>800*0</f>
        <v>0</v>
      </c>
      <c r="K519" s="4">
        <v>0</v>
      </c>
      <c r="L519" s="3">
        <v>0</v>
      </c>
      <c r="M519" s="3">
        <v>0</v>
      </c>
      <c r="N519" s="3">
        <v>0</v>
      </c>
      <c r="O519" s="3">
        <v>0</v>
      </c>
      <c r="P519" s="3">
        <v>0</v>
      </c>
      <c r="Q519" s="3">
        <v>0</v>
      </c>
      <c r="R519" s="3">
        <v>0</v>
      </c>
      <c r="S519" s="3">
        <v>0</v>
      </c>
      <c r="T519" s="3">
        <v>0</v>
      </c>
      <c r="U519" s="3">
        <v>0</v>
      </c>
      <c r="V519" s="5" t="e">
        <f t="shared" si="133"/>
        <v>#DIV/0!</v>
      </c>
    </row>
    <row r="520" spans="1:22" ht="24" customHeight="1" x14ac:dyDescent="0.25">
      <c r="A520" s="21" t="s">
        <v>1411</v>
      </c>
      <c r="B520" s="24" t="s">
        <v>588</v>
      </c>
      <c r="C520" s="2">
        <f t="shared" si="131"/>
        <v>1385024.4</v>
      </c>
      <c r="D520" s="3">
        <f t="shared" si="132"/>
        <v>0</v>
      </c>
      <c r="E520" s="3">
        <v>0</v>
      </c>
      <c r="F520" s="3">
        <v>0</v>
      </c>
      <c r="G520" s="3">
        <v>0</v>
      </c>
      <c r="H520" s="3">
        <v>0</v>
      </c>
      <c r="I520" s="3">
        <v>0</v>
      </c>
      <c r="J520" s="3">
        <v>0</v>
      </c>
      <c r="K520" s="14">
        <v>0</v>
      </c>
      <c r="L520" s="13">
        <v>0</v>
      </c>
      <c r="M520" s="13">
        <v>272</v>
      </c>
      <c r="N520" s="3">
        <v>1385024.4</v>
      </c>
      <c r="O520" s="13">
        <v>0</v>
      </c>
      <c r="P520" s="13">
        <v>0</v>
      </c>
      <c r="Q520" s="13">
        <v>0</v>
      </c>
      <c r="R520" s="3">
        <f>Q520*3000</f>
        <v>0</v>
      </c>
      <c r="S520" s="13">
        <v>0</v>
      </c>
      <c r="T520" s="13">
        <v>0</v>
      </c>
      <c r="U520" s="13">
        <v>0</v>
      </c>
      <c r="V520" s="5">
        <f t="shared" si="133"/>
        <v>5092.001470588235</v>
      </c>
    </row>
    <row r="521" spans="1:22" ht="24" customHeight="1" x14ac:dyDescent="0.25">
      <c r="A521" s="21" t="s">
        <v>1412</v>
      </c>
      <c r="B521" s="24" t="s">
        <v>589</v>
      </c>
      <c r="C521" s="2">
        <f t="shared" si="131"/>
        <v>2321295.6</v>
      </c>
      <c r="D521" s="3">
        <f t="shared" si="132"/>
        <v>0</v>
      </c>
      <c r="E521" s="3">
        <v>0</v>
      </c>
      <c r="F521" s="3">
        <v>0</v>
      </c>
      <c r="G521" s="3">
        <v>0</v>
      </c>
      <c r="H521" s="3">
        <v>0</v>
      </c>
      <c r="I521" s="3">
        <v>0</v>
      </c>
      <c r="J521" s="3">
        <v>0</v>
      </c>
      <c r="K521" s="14">
        <v>0</v>
      </c>
      <c r="L521" s="13">
        <v>0</v>
      </c>
      <c r="M521" s="13">
        <v>473.5</v>
      </c>
      <c r="N521" s="3">
        <v>2321295.6</v>
      </c>
      <c r="O521" s="13">
        <v>0</v>
      </c>
      <c r="P521" s="13">
        <v>0</v>
      </c>
      <c r="Q521" s="13">
        <v>0</v>
      </c>
      <c r="R521" s="3">
        <f>Q521*3000</f>
        <v>0</v>
      </c>
      <c r="S521" s="13">
        <v>0</v>
      </c>
      <c r="T521" s="13">
        <v>0</v>
      </c>
      <c r="U521" s="13">
        <v>0</v>
      </c>
      <c r="V521" s="5">
        <f t="shared" si="133"/>
        <v>4902.4194297782469</v>
      </c>
    </row>
    <row r="522" spans="1:22" ht="24" customHeight="1" x14ac:dyDescent="0.25">
      <c r="A522" s="21" t="s">
        <v>1413</v>
      </c>
      <c r="B522" s="24" t="s">
        <v>445</v>
      </c>
      <c r="C522" s="2">
        <f t="shared" si="131"/>
        <v>4063024.8</v>
      </c>
      <c r="D522" s="3">
        <f t="shared" si="132"/>
        <v>0</v>
      </c>
      <c r="E522" s="3">
        <v>0</v>
      </c>
      <c r="F522" s="3">
        <v>0</v>
      </c>
      <c r="G522" s="3">
        <v>0</v>
      </c>
      <c r="H522" s="3">
        <v>0</v>
      </c>
      <c r="I522" s="3">
        <v>0</v>
      </c>
      <c r="J522" s="3">
        <v>0</v>
      </c>
      <c r="K522" s="4">
        <v>0</v>
      </c>
      <c r="L522" s="3">
        <v>0</v>
      </c>
      <c r="M522" s="3">
        <v>622.70000000000005</v>
      </c>
      <c r="N522" s="3">
        <v>4063024.8</v>
      </c>
      <c r="O522" s="3">
        <v>0</v>
      </c>
      <c r="P522" s="3">
        <v>0</v>
      </c>
      <c r="Q522" s="3">
        <v>0</v>
      </c>
      <c r="R522" s="3">
        <f>Q522*3000</f>
        <v>0</v>
      </c>
      <c r="S522" s="3">
        <v>0</v>
      </c>
      <c r="T522" s="13">
        <v>0</v>
      </c>
      <c r="U522" s="3">
        <v>0</v>
      </c>
      <c r="V522" s="5">
        <f t="shared" si="133"/>
        <v>6524.8511321663718</v>
      </c>
    </row>
    <row r="523" spans="1:22" ht="24" customHeight="1" x14ac:dyDescent="0.25">
      <c r="A523" s="21" t="s">
        <v>1414</v>
      </c>
      <c r="B523" s="24" t="s">
        <v>590</v>
      </c>
      <c r="C523" s="2">
        <f t="shared" si="131"/>
        <v>1303063.2</v>
      </c>
      <c r="D523" s="3">
        <f t="shared" si="132"/>
        <v>0</v>
      </c>
      <c r="E523" s="3">
        <v>0</v>
      </c>
      <c r="F523" s="3">
        <v>0</v>
      </c>
      <c r="G523" s="3">
        <v>0</v>
      </c>
      <c r="H523" s="3">
        <v>0</v>
      </c>
      <c r="I523" s="3">
        <v>0</v>
      </c>
      <c r="J523" s="3">
        <v>0</v>
      </c>
      <c r="K523" s="14">
        <v>0</v>
      </c>
      <c r="L523" s="13">
        <v>0</v>
      </c>
      <c r="M523" s="13">
        <v>243.9</v>
      </c>
      <c r="N523" s="3">
        <v>1303063.2</v>
      </c>
      <c r="O523" s="13">
        <v>0</v>
      </c>
      <c r="P523" s="13">
        <v>0</v>
      </c>
      <c r="Q523" s="13">
        <v>0</v>
      </c>
      <c r="R523" s="3">
        <f>Q523*3000</f>
        <v>0</v>
      </c>
      <c r="S523" s="13">
        <v>0</v>
      </c>
      <c r="T523" s="13">
        <v>0</v>
      </c>
      <c r="U523" s="13">
        <v>0</v>
      </c>
      <c r="V523" s="5">
        <f t="shared" si="133"/>
        <v>5342.6125461254605</v>
      </c>
    </row>
    <row r="524" spans="1:22" ht="24" customHeight="1" x14ac:dyDescent="0.25">
      <c r="A524" s="21" t="s">
        <v>1415</v>
      </c>
      <c r="B524" s="24" t="s">
        <v>517</v>
      </c>
      <c r="C524" s="2">
        <f t="shared" si="131"/>
        <v>3138140.4</v>
      </c>
      <c r="D524" s="3">
        <f t="shared" si="132"/>
        <v>0</v>
      </c>
      <c r="E524" s="3">
        <v>0</v>
      </c>
      <c r="F524" s="3">
        <v>0</v>
      </c>
      <c r="G524" s="3">
        <v>0</v>
      </c>
      <c r="H524" s="3">
        <v>0</v>
      </c>
      <c r="I524" s="3">
        <v>0</v>
      </c>
      <c r="J524" s="3">
        <v>0</v>
      </c>
      <c r="K524" s="14">
        <v>0</v>
      </c>
      <c r="L524" s="13">
        <v>0</v>
      </c>
      <c r="M524" s="13">
        <v>708.6</v>
      </c>
      <c r="N524" s="3">
        <v>3138140.4</v>
      </c>
      <c r="O524" s="13">
        <v>0</v>
      </c>
      <c r="P524" s="13">
        <v>0</v>
      </c>
      <c r="Q524" s="13">
        <v>0</v>
      </c>
      <c r="R524" s="3">
        <f>Q524*3000</f>
        <v>0</v>
      </c>
      <c r="S524" s="13">
        <v>0</v>
      </c>
      <c r="T524" s="13">
        <v>0</v>
      </c>
      <c r="U524" s="13">
        <v>0</v>
      </c>
      <c r="V524" s="5">
        <f t="shared" si="133"/>
        <v>4428.6486028789159</v>
      </c>
    </row>
    <row r="525" spans="1:22" ht="24" customHeight="1" x14ac:dyDescent="0.25">
      <c r="A525" s="21" t="s">
        <v>1416</v>
      </c>
      <c r="B525" s="24" t="s">
        <v>890</v>
      </c>
      <c r="C525" s="2">
        <f t="shared" si="131"/>
        <v>9477236.2200000007</v>
      </c>
      <c r="D525" s="3">
        <f t="shared" si="132"/>
        <v>0</v>
      </c>
      <c r="E525" s="3">
        <v>0</v>
      </c>
      <c r="F525" s="3">
        <v>0</v>
      </c>
      <c r="G525" s="3">
        <v>0</v>
      </c>
      <c r="H525" s="3">
        <v>0</v>
      </c>
      <c r="I525" s="3">
        <v>0</v>
      </c>
      <c r="J525" s="3">
        <v>0</v>
      </c>
      <c r="K525" s="14">
        <v>6</v>
      </c>
      <c r="L525" s="13">
        <v>9477236.2200000007</v>
      </c>
      <c r="M525" s="13">
        <v>0</v>
      </c>
      <c r="N525" s="13">
        <v>0</v>
      </c>
      <c r="O525" s="13">
        <v>0</v>
      </c>
      <c r="P525" s="13">
        <v>0</v>
      </c>
      <c r="Q525" s="13">
        <v>0</v>
      </c>
      <c r="R525" s="13">
        <v>0</v>
      </c>
      <c r="S525" s="13">
        <v>0</v>
      </c>
      <c r="T525" s="13">
        <v>0</v>
      </c>
      <c r="U525" s="13">
        <v>0</v>
      </c>
      <c r="V525" s="5" t="e">
        <f t="shared" si="133"/>
        <v>#DIV/0!</v>
      </c>
    </row>
    <row r="526" spans="1:22" ht="24" customHeight="1" x14ac:dyDescent="0.25">
      <c r="A526" s="21" t="s">
        <v>1417</v>
      </c>
      <c r="B526" s="24" t="s">
        <v>591</v>
      </c>
      <c r="C526" s="2">
        <f t="shared" si="131"/>
        <v>2448645.6</v>
      </c>
      <c r="D526" s="3">
        <f t="shared" si="132"/>
        <v>0</v>
      </c>
      <c r="E526" s="3">
        <v>0</v>
      </c>
      <c r="F526" s="3">
        <v>0</v>
      </c>
      <c r="G526" s="3">
        <v>0</v>
      </c>
      <c r="H526" s="3">
        <v>0</v>
      </c>
      <c r="I526" s="3">
        <v>0</v>
      </c>
      <c r="J526" s="3">
        <v>0</v>
      </c>
      <c r="K526" s="14">
        <v>0</v>
      </c>
      <c r="L526" s="13">
        <v>0</v>
      </c>
      <c r="M526" s="13">
        <v>447.18</v>
      </c>
      <c r="N526" s="3">
        <v>2448645.6</v>
      </c>
      <c r="O526" s="13">
        <v>0</v>
      </c>
      <c r="P526" s="13">
        <v>0</v>
      </c>
      <c r="Q526" s="13">
        <v>0</v>
      </c>
      <c r="R526" s="3">
        <f>Q526*3000</f>
        <v>0</v>
      </c>
      <c r="S526" s="13">
        <v>0</v>
      </c>
      <c r="T526" s="13">
        <v>0</v>
      </c>
      <c r="U526" s="13">
        <v>0</v>
      </c>
      <c r="V526" s="5">
        <f t="shared" si="133"/>
        <v>5475.7493626727492</v>
      </c>
    </row>
    <row r="527" spans="1:22" ht="24" customHeight="1" x14ac:dyDescent="0.25">
      <c r="A527" s="21" t="s">
        <v>1418</v>
      </c>
      <c r="B527" s="24" t="s">
        <v>592</v>
      </c>
      <c r="C527" s="2">
        <f t="shared" si="131"/>
        <v>3549086.4</v>
      </c>
      <c r="D527" s="3">
        <f t="shared" si="132"/>
        <v>0</v>
      </c>
      <c r="E527" s="3">
        <v>0</v>
      </c>
      <c r="F527" s="3">
        <v>0</v>
      </c>
      <c r="G527" s="3">
        <v>0</v>
      </c>
      <c r="H527" s="3">
        <v>0</v>
      </c>
      <c r="I527" s="3">
        <v>0</v>
      </c>
      <c r="J527" s="3">
        <v>0</v>
      </c>
      <c r="K527" s="14">
        <v>0</v>
      </c>
      <c r="L527" s="13">
        <v>0</v>
      </c>
      <c r="M527" s="13">
        <v>714</v>
      </c>
      <c r="N527" s="3">
        <v>3549086.4</v>
      </c>
      <c r="O527" s="13">
        <v>0</v>
      </c>
      <c r="P527" s="13">
        <v>0</v>
      </c>
      <c r="Q527" s="13">
        <v>0</v>
      </c>
      <c r="R527" s="3">
        <f>Q527*3000</f>
        <v>0</v>
      </c>
      <c r="S527" s="13">
        <v>0</v>
      </c>
      <c r="T527" s="13">
        <v>0</v>
      </c>
      <c r="U527" s="13">
        <v>0</v>
      </c>
      <c r="V527" s="5">
        <f t="shared" si="133"/>
        <v>4970.709243697479</v>
      </c>
    </row>
    <row r="528" spans="1:22" ht="24" customHeight="1" x14ac:dyDescent="0.25">
      <c r="A528" s="21" t="s">
        <v>1419</v>
      </c>
      <c r="B528" s="24" t="s">
        <v>387</v>
      </c>
      <c r="C528" s="2">
        <f t="shared" si="131"/>
        <v>6856242.0000000009</v>
      </c>
      <c r="D528" s="3">
        <f t="shared" si="132"/>
        <v>6856242.0000000009</v>
      </c>
      <c r="E528" s="3">
        <v>761576.4</v>
      </c>
      <c r="F528" s="3">
        <v>3934339.2</v>
      </c>
      <c r="G528" s="3">
        <v>727862.4</v>
      </c>
      <c r="H528" s="3">
        <v>876470.4</v>
      </c>
      <c r="I528" s="3">
        <v>555993.59999999998</v>
      </c>
      <c r="J528" s="3">
        <f>800*0</f>
        <v>0</v>
      </c>
      <c r="K528" s="4">
        <v>0</v>
      </c>
      <c r="L528" s="3">
        <v>0</v>
      </c>
      <c r="M528" s="3">
        <v>0</v>
      </c>
      <c r="N528" s="3">
        <v>0</v>
      </c>
      <c r="O528" s="3">
        <v>0</v>
      </c>
      <c r="P528" s="3">
        <v>0</v>
      </c>
      <c r="Q528" s="3">
        <v>0</v>
      </c>
      <c r="R528" s="3">
        <v>0</v>
      </c>
      <c r="S528" s="3">
        <v>0</v>
      </c>
      <c r="T528" s="3">
        <v>0</v>
      </c>
      <c r="U528" s="3">
        <v>0</v>
      </c>
      <c r="V528" s="5" t="e">
        <f t="shared" si="133"/>
        <v>#DIV/0!</v>
      </c>
    </row>
    <row r="529" spans="1:22" ht="24" customHeight="1" x14ac:dyDescent="0.25">
      <c r="A529" s="21" t="s">
        <v>1420</v>
      </c>
      <c r="B529" s="24" t="s">
        <v>1187</v>
      </c>
      <c r="C529" s="2">
        <f t="shared" si="131"/>
        <v>381352.32</v>
      </c>
      <c r="D529" s="3">
        <f t="shared" si="132"/>
        <v>0</v>
      </c>
      <c r="E529" s="3">
        <v>0</v>
      </c>
      <c r="F529" s="3">
        <v>0</v>
      </c>
      <c r="G529" s="3">
        <v>0</v>
      </c>
      <c r="H529" s="3">
        <v>0</v>
      </c>
      <c r="I529" s="3">
        <v>0</v>
      </c>
      <c r="J529" s="3">
        <v>0</v>
      </c>
      <c r="K529" s="4">
        <v>0</v>
      </c>
      <c r="L529" s="3">
        <v>0</v>
      </c>
      <c r="M529" s="3">
        <v>0</v>
      </c>
      <c r="N529" s="3">
        <f>M529*5500</f>
        <v>0</v>
      </c>
      <c r="O529" s="3">
        <v>0</v>
      </c>
      <c r="P529" s="3">
        <v>0</v>
      </c>
      <c r="Q529" s="3">
        <v>0</v>
      </c>
      <c r="R529" s="3">
        <v>0</v>
      </c>
      <c r="S529" s="3">
        <v>0</v>
      </c>
      <c r="T529" s="3">
        <v>0</v>
      </c>
      <c r="U529" s="3">
        <v>381352.32</v>
      </c>
      <c r="V529" s="5" t="e">
        <f t="shared" si="133"/>
        <v>#DIV/0!</v>
      </c>
    </row>
    <row r="530" spans="1:22" ht="24" customHeight="1" x14ac:dyDescent="0.25">
      <c r="A530" s="21" t="s">
        <v>1421</v>
      </c>
      <c r="B530" s="24" t="s">
        <v>396</v>
      </c>
      <c r="C530" s="2">
        <f t="shared" si="131"/>
        <v>3076694.1100000003</v>
      </c>
      <c r="D530" s="3">
        <f t="shared" si="132"/>
        <v>2918769.6</v>
      </c>
      <c r="E530" s="3">
        <v>380739.6</v>
      </c>
      <c r="F530" s="3">
        <v>2113164</v>
      </c>
      <c r="G530" s="3">
        <v>122362.8</v>
      </c>
      <c r="H530" s="3">
        <v>167875.20000000001</v>
      </c>
      <c r="I530" s="3">
        <v>134628</v>
      </c>
      <c r="J530" s="3">
        <f>800*0</f>
        <v>0</v>
      </c>
      <c r="K530" s="4">
        <v>0</v>
      </c>
      <c r="L530" s="3">
        <v>0</v>
      </c>
      <c r="M530" s="3">
        <v>0</v>
      </c>
      <c r="N530" s="3">
        <v>0</v>
      </c>
      <c r="O530" s="3">
        <v>0</v>
      </c>
      <c r="P530" s="3">
        <v>0</v>
      </c>
      <c r="Q530" s="3">
        <v>0</v>
      </c>
      <c r="R530" s="3">
        <v>0</v>
      </c>
      <c r="S530" s="3">
        <v>0</v>
      </c>
      <c r="T530" s="3">
        <v>0</v>
      </c>
      <c r="U530" s="3">
        <v>157924.51</v>
      </c>
      <c r="V530" s="5" t="e">
        <f t="shared" si="133"/>
        <v>#DIV/0!</v>
      </c>
    </row>
    <row r="531" spans="1:22" ht="24" customHeight="1" x14ac:dyDescent="0.25">
      <c r="A531" s="21" t="s">
        <v>1422</v>
      </c>
      <c r="B531" s="27" t="s">
        <v>593</v>
      </c>
      <c r="C531" s="2">
        <f t="shared" si="131"/>
        <v>3522743.25</v>
      </c>
      <c r="D531" s="3">
        <f t="shared" si="132"/>
        <v>0</v>
      </c>
      <c r="E531" s="3">
        <v>0</v>
      </c>
      <c r="F531" s="3">
        <v>0</v>
      </c>
      <c r="G531" s="3">
        <v>0</v>
      </c>
      <c r="H531" s="3">
        <v>0</v>
      </c>
      <c r="I531" s="3">
        <v>0</v>
      </c>
      <c r="J531" s="3">
        <v>0</v>
      </c>
      <c r="K531" s="14">
        <v>0</v>
      </c>
      <c r="L531" s="13">
        <v>0</v>
      </c>
      <c r="M531" s="13">
        <v>678.16</v>
      </c>
      <c r="N531" s="3">
        <v>3522743.25</v>
      </c>
      <c r="O531" s="13">
        <v>0</v>
      </c>
      <c r="P531" s="13">
        <v>0</v>
      </c>
      <c r="Q531" s="13">
        <v>0</v>
      </c>
      <c r="R531" s="3">
        <f t="shared" ref="R531:R537" si="135">Q531*3000</f>
        <v>0</v>
      </c>
      <c r="S531" s="13">
        <v>0</v>
      </c>
      <c r="T531" s="13">
        <v>0</v>
      </c>
      <c r="U531" s="13">
        <v>0</v>
      </c>
      <c r="V531" s="5">
        <f t="shared" si="133"/>
        <v>5194.5606494042704</v>
      </c>
    </row>
    <row r="532" spans="1:22" ht="24" customHeight="1" x14ac:dyDescent="0.25">
      <c r="A532" s="21" t="s">
        <v>1423</v>
      </c>
      <c r="B532" s="24" t="s">
        <v>519</v>
      </c>
      <c r="C532" s="2">
        <f t="shared" si="131"/>
        <v>2494800</v>
      </c>
      <c r="D532" s="3">
        <f t="shared" si="132"/>
        <v>0</v>
      </c>
      <c r="E532" s="3">
        <v>0</v>
      </c>
      <c r="F532" s="3">
        <v>0</v>
      </c>
      <c r="G532" s="3">
        <v>0</v>
      </c>
      <c r="H532" s="3">
        <v>0</v>
      </c>
      <c r="I532" s="3">
        <v>0</v>
      </c>
      <c r="J532" s="3">
        <v>0</v>
      </c>
      <c r="K532" s="14">
        <v>0</v>
      </c>
      <c r="L532" s="13">
        <v>0</v>
      </c>
      <c r="M532" s="13">
        <v>453.6</v>
      </c>
      <c r="N532" s="3">
        <v>2494800</v>
      </c>
      <c r="O532" s="13">
        <v>0</v>
      </c>
      <c r="P532" s="13">
        <v>0</v>
      </c>
      <c r="Q532" s="13">
        <v>0</v>
      </c>
      <c r="R532" s="3">
        <f t="shared" si="135"/>
        <v>0</v>
      </c>
      <c r="S532" s="13">
        <v>0</v>
      </c>
      <c r="T532" s="13">
        <v>0</v>
      </c>
      <c r="U532" s="13">
        <v>0</v>
      </c>
      <c r="V532" s="5">
        <f t="shared" si="133"/>
        <v>5500</v>
      </c>
    </row>
    <row r="533" spans="1:22" ht="24" customHeight="1" x14ac:dyDescent="0.25">
      <c r="A533" s="21" t="s">
        <v>1424</v>
      </c>
      <c r="B533" s="24" t="s">
        <v>520</v>
      </c>
      <c r="C533" s="2">
        <f t="shared" si="131"/>
        <v>2494799.9500000002</v>
      </c>
      <c r="D533" s="3">
        <f t="shared" si="132"/>
        <v>0</v>
      </c>
      <c r="E533" s="3">
        <v>0</v>
      </c>
      <c r="F533" s="3">
        <v>0</v>
      </c>
      <c r="G533" s="3">
        <v>0</v>
      </c>
      <c r="H533" s="3">
        <v>0</v>
      </c>
      <c r="I533" s="3">
        <v>0</v>
      </c>
      <c r="J533" s="3">
        <v>0</v>
      </c>
      <c r="K533" s="14">
        <v>0</v>
      </c>
      <c r="L533" s="13">
        <v>0</v>
      </c>
      <c r="M533" s="13">
        <v>455</v>
      </c>
      <c r="N533" s="3">
        <v>2494799.9500000002</v>
      </c>
      <c r="O533" s="13">
        <v>0</v>
      </c>
      <c r="P533" s="13">
        <v>0</v>
      </c>
      <c r="Q533" s="13">
        <v>0</v>
      </c>
      <c r="R533" s="3">
        <f t="shared" si="135"/>
        <v>0</v>
      </c>
      <c r="S533" s="13">
        <v>0</v>
      </c>
      <c r="T533" s="13">
        <v>0</v>
      </c>
      <c r="U533" s="13">
        <v>0</v>
      </c>
      <c r="V533" s="5">
        <f t="shared" si="133"/>
        <v>5483.0768131868135</v>
      </c>
    </row>
    <row r="534" spans="1:22" ht="24" customHeight="1" x14ac:dyDescent="0.25">
      <c r="A534" s="21" t="s">
        <v>1425</v>
      </c>
      <c r="B534" s="24" t="s">
        <v>521</v>
      </c>
      <c r="C534" s="2">
        <f t="shared" si="131"/>
        <v>1268288.3999999999</v>
      </c>
      <c r="D534" s="3">
        <f t="shared" si="132"/>
        <v>0</v>
      </c>
      <c r="E534" s="3">
        <v>0</v>
      </c>
      <c r="F534" s="3">
        <v>0</v>
      </c>
      <c r="G534" s="3">
        <v>0</v>
      </c>
      <c r="H534" s="3">
        <v>0</v>
      </c>
      <c r="I534" s="3">
        <v>0</v>
      </c>
      <c r="J534" s="3">
        <v>0</v>
      </c>
      <c r="K534" s="14">
        <v>0</v>
      </c>
      <c r="L534" s="13">
        <v>0</v>
      </c>
      <c r="M534" s="13">
        <v>248.2</v>
      </c>
      <c r="N534" s="3">
        <v>1268288.3999999999</v>
      </c>
      <c r="O534" s="13">
        <v>0</v>
      </c>
      <c r="P534" s="13">
        <v>0</v>
      </c>
      <c r="Q534" s="13">
        <v>0</v>
      </c>
      <c r="R534" s="3">
        <f t="shared" si="135"/>
        <v>0</v>
      </c>
      <c r="S534" s="13">
        <v>0</v>
      </c>
      <c r="T534" s="13">
        <v>0</v>
      </c>
      <c r="U534" s="13">
        <v>0</v>
      </c>
      <c r="V534" s="5">
        <f t="shared" si="133"/>
        <v>5109.9452054794519</v>
      </c>
    </row>
    <row r="535" spans="1:22" ht="24" customHeight="1" x14ac:dyDescent="0.25">
      <c r="A535" s="21" t="s">
        <v>1426</v>
      </c>
      <c r="B535" s="24" t="s">
        <v>595</v>
      </c>
      <c r="C535" s="2">
        <f t="shared" si="131"/>
        <v>1276446.8400000001</v>
      </c>
      <c r="D535" s="3">
        <f t="shared" si="132"/>
        <v>0</v>
      </c>
      <c r="E535" s="3">
        <v>0</v>
      </c>
      <c r="F535" s="3">
        <v>0</v>
      </c>
      <c r="G535" s="3">
        <v>0</v>
      </c>
      <c r="H535" s="3">
        <v>0</v>
      </c>
      <c r="I535" s="3">
        <v>0</v>
      </c>
      <c r="J535" s="3">
        <v>0</v>
      </c>
      <c r="K535" s="14">
        <v>0</v>
      </c>
      <c r="L535" s="13">
        <v>0</v>
      </c>
      <c r="M535" s="13">
        <v>257.60000000000002</v>
      </c>
      <c r="N535" s="3">
        <v>1276446.8400000001</v>
      </c>
      <c r="O535" s="13">
        <v>0</v>
      </c>
      <c r="P535" s="13">
        <v>0</v>
      </c>
      <c r="Q535" s="13">
        <v>0</v>
      </c>
      <c r="R535" s="3">
        <f t="shared" si="135"/>
        <v>0</v>
      </c>
      <c r="S535" s="13">
        <v>0</v>
      </c>
      <c r="T535" s="13">
        <v>0</v>
      </c>
      <c r="U535" s="13">
        <v>0</v>
      </c>
      <c r="V535" s="5">
        <f t="shared" si="133"/>
        <v>4955.1507763975151</v>
      </c>
    </row>
    <row r="536" spans="1:22" ht="24" customHeight="1" x14ac:dyDescent="0.25">
      <c r="A536" s="21" t="s">
        <v>1427</v>
      </c>
      <c r="B536" s="24" t="s">
        <v>596</v>
      </c>
      <c r="C536" s="2">
        <f t="shared" si="131"/>
        <v>1309782.2</v>
      </c>
      <c r="D536" s="3">
        <f t="shared" si="132"/>
        <v>0</v>
      </c>
      <c r="E536" s="3">
        <v>0</v>
      </c>
      <c r="F536" s="3">
        <v>0</v>
      </c>
      <c r="G536" s="3">
        <v>0</v>
      </c>
      <c r="H536" s="3">
        <v>0</v>
      </c>
      <c r="I536" s="3">
        <v>0</v>
      </c>
      <c r="J536" s="3">
        <v>0</v>
      </c>
      <c r="K536" s="14">
        <v>0</v>
      </c>
      <c r="L536" s="13">
        <v>0</v>
      </c>
      <c r="M536" s="13">
        <v>274</v>
      </c>
      <c r="N536" s="3">
        <v>1309782.2</v>
      </c>
      <c r="O536" s="13">
        <v>0</v>
      </c>
      <c r="P536" s="13">
        <v>0</v>
      </c>
      <c r="Q536" s="13">
        <v>0</v>
      </c>
      <c r="R536" s="3">
        <f t="shared" si="135"/>
        <v>0</v>
      </c>
      <c r="S536" s="13">
        <v>0</v>
      </c>
      <c r="T536" s="13">
        <v>0</v>
      </c>
      <c r="U536" s="13">
        <v>0</v>
      </c>
      <c r="V536" s="5">
        <f t="shared" si="133"/>
        <v>4780.2270072992696</v>
      </c>
    </row>
    <row r="537" spans="1:22" ht="24" customHeight="1" x14ac:dyDescent="0.25">
      <c r="A537" s="21" t="s">
        <v>1428</v>
      </c>
      <c r="B537" s="24" t="s">
        <v>594</v>
      </c>
      <c r="C537" s="2">
        <f t="shared" si="131"/>
        <v>3233377.2</v>
      </c>
      <c r="D537" s="3">
        <f t="shared" si="132"/>
        <v>0</v>
      </c>
      <c r="E537" s="3">
        <v>0</v>
      </c>
      <c r="F537" s="3">
        <v>0</v>
      </c>
      <c r="G537" s="3">
        <v>0</v>
      </c>
      <c r="H537" s="3">
        <v>0</v>
      </c>
      <c r="I537" s="3">
        <v>0</v>
      </c>
      <c r="J537" s="3">
        <v>0</v>
      </c>
      <c r="K537" s="14">
        <v>0</v>
      </c>
      <c r="L537" s="13">
        <v>0</v>
      </c>
      <c r="M537" s="13">
        <v>1014.6</v>
      </c>
      <c r="N537" s="3">
        <v>3233377.2</v>
      </c>
      <c r="O537" s="13">
        <v>0</v>
      </c>
      <c r="P537" s="13">
        <v>0</v>
      </c>
      <c r="Q537" s="13">
        <v>0</v>
      </c>
      <c r="R537" s="3">
        <f t="shared" si="135"/>
        <v>0</v>
      </c>
      <c r="S537" s="13">
        <v>0</v>
      </c>
      <c r="T537" s="13">
        <v>0</v>
      </c>
      <c r="U537" s="13">
        <v>0</v>
      </c>
      <c r="V537" s="5">
        <f t="shared" si="133"/>
        <v>3186.8492016558253</v>
      </c>
    </row>
    <row r="538" spans="1:22" ht="24" customHeight="1" x14ac:dyDescent="0.25">
      <c r="A538" s="21" t="s">
        <v>1429</v>
      </c>
      <c r="B538" s="24" t="s">
        <v>485</v>
      </c>
      <c r="C538" s="2">
        <f t="shared" si="131"/>
        <v>528478.31000000006</v>
      </c>
      <c r="D538" s="3">
        <f t="shared" si="132"/>
        <v>0</v>
      </c>
      <c r="E538" s="3">
        <v>0</v>
      </c>
      <c r="F538" s="3">
        <v>0</v>
      </c>
      <c r="G538" s="3">
        <v>0</v>
      </c>
      <c r="H538" s="3">
        <v>0</v>
      </c>
      <c r="I538" s="3">
        <v>0</v>
      </c>
      <c r="J538" s="3">
        <v>0</v>
      </c>
      <c r="K538" s="4">
        <v>0</v>
      </c>
      <c r="L538" s="3">
        <v>0</v>
      </c>
      <c r="M538" s="3">
        <v>0</v>
      </c>
      <c r="N538" s="3">
        <v>0</v>
      </c>
      <c r="O538" s="3">
        <v>0</v>
      </c>
      <c r="P538" s="3">
        <v>0</v>
      </c>
      <c r="Q538" s="3">
        <v>0</v>
      </c>
      <c r="R538" s="3">
        <v>0</v>
      </c>
      <c r="S538" s="3">
        <v>0</v>
      </c>
      <c r="T538" s="3">
        <v>0</v>
      </c>
      <c r="U538" s="3">
        <v>528478.31000000006</v>
      </c>
      <c r="V538" s="5" t="e">
        <f t="shared" si="133"/>
        <v>#DIV/0!</v>
      </c>
    </row>
    <row r="539" spans="1:22" ht="24" customHeight="1" x14ac:dyDescent="0.25">
      <c r="A539" s="21" t="s">
        <v>1430</v>
      </c>
      <c r="B539" s="24" t="s">
        <v>486</v>
      </c>
      <c r="C539" s="2">
        <f t="shared" si="131"/>
        <v>444234.09</v>
      </c>
      <c r="D539" s="3">
        <f t="shared" si="132"/>
        <v>0</v>
      </c>
      <c r="E539" s="3">
        <v>0</v>
      </c>
      <c r="F539" s="3">
        <v>0</v>
      </c>
      <c r="G539" s="3">
        <v>0</v>
      </c>
      <c r="H539" s="3">
        <v>0</v>
      </c>
      <c r="I539" s="3">
        <v>0</v>
      </c>
      <c r="J539" s="3">
        <v>0</v>
      </c>
      <c r="K539" s="4">
        <v>0</v>
      </c>
      <c r="L539" s="3">
        <v>0</v>
      </c>
      <c r="M539" s="3">
        <v>0</v>
      </c>
      <c r="N539" s="3">
        <v>0</v>
      </c>
      <c r="O539" s="3">
        <v>0</v>
      </c>
      <c r="P539" s="3">
        <v>0</v>
      </c>
      <c r="Q539" s="3">
        <v>0</v>
      </c>
      <c r="R539" s="3">
        <v>0</v>
      </c>
      <c r="S539" s="3">
        <v>0</v>
      </c>
      <c r="T539" s="3">
        <v>0</v>
      </c>
      <c r="U539" s="3">
        <v>444234.09</v>
      </c>
      <c r="V539" s="5" t="e">
        <f t="shared" si="133"/>
        <v>#DIV/0!</v>
      </c>
    </row>
    <row r="540" spans="1:22" ht="24" customHeight="1" x14ac:dyDescent="0.25">
      <c r="A540" s="21" t="s">
        <v>1431</v>
      </c>
      <c r="B540" s="28" t="s">
        <v>859</v>
      </c>
      <c r="C540" s="2">
        <f t="shared" si="131"/>
        <v>309382.96000000002</v>
      </c>
      <c r="D540" s="3">
        <f t="shared" si="132"/>
        <v>0</v>
      </c>
      <c r="E540" s="3">
        <v>0</v>
      </c>
      <c r="F540" s="3">
        <v>0</v>
      </c>
      <c r="G540" s="3">
        <v>0</v>
      </c>
      <c r="H540" s="3">
        <v>0</v>
      </c>
      <c r="I540" s="3">
        <v>0</v>
      </c>
      <c r="J540" s="3">
        <v>0</v>
      </c>
      <c r="K540" s="4">
        <v>0</v>
      </c>
      <c r="L540" s="3">
        <v>0</v>
      </c>
      <c r="M540" s="3">
        <v>0</v>
      </c>
      <c r="N540" s="3">
        <v>0</v>
      </c>
      <c r="O540" s="3">
        <v>0</v>
      </c>
      <c r="P540" s="3">
        <v>0</v>
      </c>
      <c r="Q540" s="3">
        <v>0</v>
      </c>
      <c r="R540" s="3">
        <v>0</v>
      </c>
      <c r="S540" s="3">
        <v>0</v>
      </c>
      <c r="T540" s="3">
        <v>0</v>
      </c>
      <c r="U540" s="3">
        <v>309382.96000000002</v>
      </c>
      <c r="V540" s="5" t="e">
        <f t="shared" si="133"/>
        <v>#DIV/0!</v>
      </c>
    </row>
    <row r="541" spans="1:22" ht="24" customHeight="1" x14ac:dyDescent="0.25">
      <c r="A541" s="21" t="s">
        <v>1432</v>
      </c>
      <c r="B541" s="24" t="s">
        <v>597</v>
      </c>
      <c r="C541" s="2">
        <f t="shared" si="131"/>
        <v>1455300</v>
      </c>
      <c r="D541" s="3">
        <f t="shared" si="132"/>
        <v>0</v>
      </c>
      <c r="E541" s="3">
        <v>0</v>
      </c>
      <c r="F541" s="3">
        <v>0</v>
      </c>
      <c r="G541" s="3">
        <v>0</v>
      </c>
      <c r="H541" s="3">
        <v>0</v>
      </c>
      <c r="I541" s="3">
        <v>0</v>
      </c>
      <c r="J541" s="3">
        <v>0</v>
      </c>
      <c r="K541" s="14">
        <v>0</v>
      </c>
      <c r="L541" s="13">
        <v>0</v>
      </c>
      <c r="M541" s="13">
        <v>264.60000000000002</v>
      </c>
      <c r="N541" s="3">
        <v>1455300</v>
      </c>
      <c r="O541" s="13">
        <v>0</v>
      </c>
      <c r="P541" s="13">
        <v>0</v>
      </c>
      <c r="Q541" s="13">
        <v>0</v>
      </c>
      <c r="R541" s="3">
        <f>Q541*3000</f>
        <v>0</v>
      </c>
      <c r="S541" s="13">
        <v>0</v>
      </c>
      <c r="T541" s="13">
        <v>0</v>
      </c>
      <c r="U541" s="13">
        <v>0</v>
      </c>
      <c r="V541" s="5">
        <f t="shared" si="133"/>
        <v>5499.9999999999991</v>
      </c>
    </row>
    <row r="542" spans="1:22" ht="24" customHeight="1" x14ac:dyDescent="0.25">
      <c r="A542" s="21" t="s">
        <v>1433</v>
      </c>
      <c r="B542" s="24" t="s">
        <v>598</v>
      </c>
      <c r="C542" s="2">
        <f t="shared" si="131"/>
        <v>89215.03</v>
      </c>
      <c r="D542" s="3">
        <f t="shared" si="132"/>
        <v>0</v>
      </c>
      <c r="E542" s="3">
        <v>0</v>
      </c>
      <c r="F542" s="3">
        <v>0</v>
      </c>
      <c r="G542" s="3">
        <v>0</v>
      </c>
      <c r="H542" s="3">
        <v>0</v>
      </c>
      <c r="I542" s="3">
        <v>0</v>
      </c>
      <c r="J542" s="3">
        <v>0</v>
      </c>
      <c r="K542" s="14">
        <v>0</v>
      </c>
      <c r="L542" s="13">
        <v>0</v>
      </c>
      <c r="M542" s="13">
        <v>0</v>
      </c>
      <c r="N542" s="3">
        <f>M542*5500</f>
        <v>0</v>
      </c>
      <c r="O542" s="13">
        <v>0</v>
      </c>
      <c r="P542" s="13">
        <v>0</v>
      </c>
      <c r="Q542" s="13">
        <v>0</v>
      </c>
      <c r="R542" s="3">
        <f>Q542*3000</f>
        <v>0</v>
      </c>
      <c r="S542" s="13">
        <v>0</v>
      </c>
      <c r="T542" s="13">
        <v>0</v>
      </c>
      <c r="U542" s="13">
        <v>89215.03</v>
      </c>
      <c r="V542" s="5" t="e">
        <f t="shared" si="133"/>
        <v>#DIV/0!</v>
      </c>
    </row>
    <row r="543" spans="1:22" ht="24" customHeight="1" x14ac:dyDescent="0.25">
      <c r="A543" s="21" t="s">
        <v>1434</v>
      </c>
      <c r="B543" s="24" t="s">
        <v>599</v>
      </c>
      <c r="C543" s="2">
        <f t="shared" si="131"/>
        <v>88503.16</v>
      </c>
      <c r="D543" s="3">
        <f t="shared" si="132"/>
        <v>0</v>
      </c>
      <c r="E543" s="3">
        <v>0</v>
      </c>
      <c r="F543" s="3">
        <v>0</v>
      </c>
      <c r="G543" s="3">
        <v>0</v>
      </c>
      <c r="H543" s="3">
        <v>0</v>
      </c>
      <c r="I543" s="3">
        <v>0</v>
      </c>
      <c r="J543" s="3">
        <v>0</v>
      </c>
      <c r="K543" s="14">
        <v>0</v>
      </c>
      <c r="L543" s="13">
        <v>0</v>
      </c>
      <c r="M543" s="13">
        <v>0</v>
      </c>
      <c r="N543" s="3">
        <f>M543*5500</f>
        <v>0</v>
      </c>
      <c r="O543" s="13">
        <v>0</v>
      </c>
      <c r="P543" s="13">
        <v>0</v>
      </c>
      <c r="Q543" s="13">
        <v>0</v>
      </c>
      <c r="R543" s="3">
        <f>Q543*3000</f>
        <v>0</v>
      </c>
      <c r="S543" s="13">
        <v>0</v>
      </c>
      <c r="T543" s="13">
        <v>0</v>
      </c>
      <c r="U543" s="13">
        <v>88503.16</v>
      </c>
      <c r="V543" s="5" t="e">
        <f t="shared" si="133"/>
        <v>#DIV/0!</v>
      </c>
    </row>
    <row r="544" spans="1:22" ht="24" customHeight="1" x14ac:dyDescent="0.25">
      <c r="A544" s="21" t="s">
        <v>1435</v>
      </c>
      <c r="B544" s="28" t="s">
        <v>891</v>
      </c>
      <c r="C544" s="2">
        <f t="shared" si="131"/>
        <v>3440516.22</v>
      </c>
      <c r="D544" s="3">
        <f t="shared" si="132"/>
        <v>0</v>
      </c>
      <c r="E544" s="3">
        <v>0</v>
      </c>
      <c r="F544" s="3">
        <v>0</v>
      </c>
      <c r="G544" s="3">
        <v>0</v>
      </c>
      <c r="H544" s="3">
        <v>0</v>
      </c>
      <c r="I544" s="3">
        <v>0</v>
      </c>
      <c r="J544" s="3">
        <v>0</v>
      </c>
      <c r="K544" s="4">
        <v>2</v>
      </c>
      <c r="L544" s="3">
        <v>3440516.22</v>
      </c>
      <c r="M544" s="3">
        <v>0</v>
      </c>
      <c r="N544" s="3">
        <v>0</v>
      </c>
      <c r="O544" s="3">
        <v>0</v>
      </c>
      <c r="P544" s="3">
        <v>0</v>
      </c>
      <c r="Q544" s="3">
        <v>0</v>
      </c>
      <c r="R544" s="3">
        <v>0</v>
      </c>
      <c r="S544" s="3">
        <v>0</v>
      </c>
      <c r="T544" s="3">
        <v>0</v>
      </c>
      <c r="U544" s="3">
        <v>0</v>
      </c>
      <c r="V544" s="5" t="e">
        <f t="shared" si="133"/>
        <v>#DIV/0!</v>
      </c>
    </row>
    <row r="545" spans="1:22" ht="24" customHeight="1" x14ac:dyDescent="0.25">
      <c r="A545" s="21" t="s">
        <v>1436</v>
      </c>
      <c r="B545" s="28" t="s">
        <v>866</v>
      </c>
      <c r="C545" s="2">
        <f t="shared" si="131"/>
        <v>5033631.7799999993</v>
      </c>
      <c r="D545" s="3">
        <f t="shared" si="132"/>
        <v>0</v>
      </c>
      <c r="E545" s="3">
        <v>0</v>
      </c>
      <c r="F545" s="3">
        <v>0</v>
      </c>
      <c r="G545" s="3">
        <v>0</v>
      </c>
      <c r="H545" s="3">
        <v>0</v>
      </c>
      <c r="I545" s="3">
        <v>0</v>
      </c>
      <c r="J545" s="3">
        <v>0</v>
      </c>
      <c r="K545" s="4">
        <v>0</v>
      </c>
      <c r="L545" s="3">
        <v>0</v>
      </c>
      <c r="M545" s="3">
        <v>536</v>
      </c>
      <c r="N545" s="3">
        <v>2096418.04</v>
      </c>
      <c r="O545" s="3">
        <v>0</v>
      </c>
      <c r="P545" s="3">
        <v>0</v>
      </c>
      <c r="Q545" s="3">
        <v>1536</v>
      </c>
      <c r="R545" s="3">
        <v>2884793.56</v>
      </c>
      <c r="S545" s="3">
        <v>52420.18</v>
      </c>
      <c r="T545" s="3">
        <v>0</v>
      </c>
      <c r="U545" s="3">
        <v>0</v>
      </c>
      <c r="V545" s="5">
        <f t="shared" si="133"/>
        <v>3911.2276865671643</v>
      </c>
    </row>
    <row r="546" spans="1:22" ht="24" customHeight="1" x14ac:dyDescent="0.25">
      <c r="A546" s="21" t="s">
        <v>1437</v>
      </c>
      <c r="B546" s="24" t="s">
        <v>842</v>
      </c>
      <c r="C546" s="2">
        <f t="shared" si="131"/>
        <v>19015186.169999998</v>
      </c>
      <c r="D546" s="3">
        <f t="shared" si="132"/>
        <v>8380423.2000000002</v>
      </c>
      <c r="E546" s="3">
        <v>1415827.2</v>
      </c>
      <c r="F546" s="3">
        <v>4542946.8</v>
      </c>
      <c r="G546" s="3">
        <v>607593.6</v>
      </c>
      <c r="H546" s="3">
        <v>1057747.2</v>
      </c>
      <c r="I546" s="3">
        <v>756308.4</v>
      </c>
      <c r="J546" s="3">
        <v>0</v>
      </c>
      <c r="K546" s="14">
        <v>0</v>
      </c>
      <c r="L546" s="13">
        <v>0</v>
      </c>
      <c r="M546" s="13">
        <v>957</v>
      </c>
      <c r="N546" s="3">
        <v>3445304.2</v>
      </c>
      <c r="O546" s="13">
        <v>0</v>
      </c>
      <c r="P546" s="13">
        <v>0</v>
      </c>
      <c r="Q546" s="13">
        <v>2417</v>
      </c>
      <c r="R546" s="3">
        <v>6902212.7999999998</v>
      </c>
      <c r="S546" s="13">
        <v>0</v>
      </c>
      <c r="T546" s="13">
        <v>0</v>
      </c>
      <c r="U546" s="13">
        <v>287245.96999999997</v>
      </c>
      <c r="V546" s="5">
        <f t="shared" si="133"/>
        <v>3600.1088819226752</v>
      </c>
    </row>
    <row r="547" spans="1:22" ht="24" customHeight="1" x14ac:dyDescent="0.25">
      <c r="A547" s="21" t="s">
        <v>1438</v>
      </c>
      <c r="B547" s="28" t="s">
        <v>1200</v>
      </c>
      <c r="C547" s="2">
        <f t="shared" si="131"/>
        <v>405044.7</v>
      </c>
      <c r="D547" s="3">
        <f t="shared" si="132"/>
        <v>0</v>
      </c>
      <c r="E547" s="3">
        <v>0</v>
      </c>
      <c r="F547" s="3">
        <v>0</v>
      </c>
      <c r="G547" s="3">
        <v>0</v>
      </c>
      <c r="H547" s="3">
        <v>0</v>
      </c>
      <c r="I547" s="3">
        <v>0</v>
      </c>
      <c r="J547" s="3">
        <v>0</v>
      </c>
      <c r="K547" s="4">
        <v>0</v>
      </c>
      <c r="L547" s="3">
        <v>0</v>
      </c>
      <c r="M547" s="3">
        <v>0</v>
      </c>
      <c r="N547" s="3">
        <v>0</v>
      </c>
      <c r="O547" s="3">
        <v>0</v>
      </c>
      <c r="P547" s="3">
        <v>0</v>
      </c>
      <c r="Q547" s="3">
        <v>0</v>
      </c>
      <c r="R547" s="3">
        <v>0</v>
      </c>
      <c r="S547" s="3">
        <v>0</v>
      </c>
      <c r="T547" s="3">
        <v>0</v>
      </c>
      <c r="U547" s="3">
        <v>405044.7</v>
      </c>
      <c r="V547" s="5" t="e">
        <f t="shared" si="133"/>
        <v>#DIV/0!</v>
      </c>
    </row>
    <row r="548" spans="1:22" ht="24" customHeight="1" x14ac:dyDescent="0.25">
      <c r="A548" s="21" t="s">
        <v>1439</v>
      </c>
      <c r="B548" s="24" t="s">
        <v>603</v>
      </c>
      <c r="C548" s="2">
        <f t="shared" si="131"/>
        <v>10645250</v>
      </c>
      <c r="D548" s="3">
        <f t="shared" si="132"/>
        <v>0</v>
      </c>
      <c r="E548" s="3">
        <v>0</v>
      </c>
      <c r="F548" s="3">
        <v>0</v>
      </c>
      <c r="G548" s="3">
        <v>0</v>
      </c>
      <c r="H548" s="3">
        <v>0</v>
      </c>
      <c r="I548" s="3">
        <v>0</v>
      </c>
      <c r="J548" s="3">
        <v>0</v>
      </c>
      <c r="K548" s="14">
        <v>0</v>
      </c>
      <c r="L548" s="13">
        <v>0</v>
      </c>
      <c r="M548" s="13">
        <v>1935.5</v>
      </c>
      <c r="N548" s="3">
        <v>10645250</v>
      </c>
      <c r="O548" s="13">
        <v>0</v>
      </c>
      <c r="P548" s="13">
        <v>0</v>
      </c>
      <c r="Q548" s="13">
        <v>0</v>
      </c>
      <c r="R548" s="3">
        <f>Q548*3000</f>
        <v>0</v>
      </c>
      <c r="S548" s="13">
        <v>0</v>
      </c>
      <c r="T548" s="13">
        <v>0</v>
      </c>
      <c r="U548" s="13">
        <v>0</v>
      </c>
      <c r="V548" s="5">
        <f t="shared" si="133"/>
        <v>5500</v>
      </c>
    </row>
    <row r="549" spans="1:22" ht="24" customHeight="1" x14ac:dyDescent="0.25">
      <c r="A549" s="21" t="s">
        <v>1440</v>
      </c>
      <c r="B549" s="24" t="s">
        <v>601</v>
      </c>
      <c r="C549" s="2">
        <f t="shared" si="131"/>
        <v>3241700</v>
      </c>
      <c r="D549" s="3">
        <f t="shared" si="132"/>
        <v>0</v>
      </c>
      <c r="E549" s="3">
        <v>0</v>
      </c>
      <c r="F549" s="3">
        <v>0</v>
      </c>
      <c r="G549" s="3">
        <v>0</v>
      </c>
      <c r="H549" s="3">
        <v>0</v>
      </c>
      <c r="I549" s="3">
        <v>0</v>
      </c>
      <c r="J549" s="3">
        <v>0</v>
      </c>
      <c r="K549" s="14">
        <v>0</v>
      </c>
      <c r="L549" s="13">
        <v>0</v>
      </c>
      <c r="M549" s="13">
        <v>589.4</v>
      </c>
      <c r="N549" s="3">
        <v>3241700</v>
      </c>
      <c r="O549" s="13">
        <v>0</v>
      </c>
      <c r="P549" s="13">
        <v>0</v>
      </c>
      <c r="Q549" s="13">
        <v>0</v>
      </c>
      <c r="R549" s="3">
        <f>Q549*3000</f>
        <v>0</v>
      </c>
      <c r="S549" s="13">
        <v>0</v>
      </c>
      <c r="T549" s="13">
        <v>0</v>
      </c>
      <c r="U549" s="13">
        <v>0</v>
      </c>
      <c r="V549" s="5">
        <f t="shared" si="133"/>
        <v>5500</v>
      </c>
    </row>
    <row r="550" spans="1:22" ht="24" customHeight="1" x14ac:dyDescent="0.25">
      <c r="A550" s="21" t="s">
        <v>1441</v>
      </c>
      <c r="B550" s="24" t="s">
        <v>791</v>
      </c>
      <c r="C550" s="2">
        <f t="shared" si="131"/>
        <v>20745607.530000001</v>
      </c>
      <c r="D550" s="3">
        <f t="shared" si="132"/>
        <v>9802371.0600000005</v>
      </c>
      <c r="E550" s="3">
        <v>1264354.06</v>
      </c>
      <c r="F550" s="3">
        <v>4283020.09</v>
      </c>
      <c r="G550" s="3">
        <v>1131549.02</v>
      </c>
      <c r="H550" s="3">
        <v>1832788.81</v>
      </c>
      <c r="I550" s="3">
        <v>1290659.08</v>
      </c>
      <c r="J550" s="3">
        <f>350*0</f>
        <v>0</v>
      </c>
      <c r="K550" s="4">
        <v>0</v>
      </c>
      <c r="L550" s="3">
        <v>0</v>
      </c>
      <c r="M550" s="13">
        <v>609.98</v>
      </c>
      <c r="N550" s="13">
        <v>1905604.9</v>
      </c>
      <c r="O550" s="3">
        <v>819.8</v>
      </c>
      <c r="P550" s="3">
        <v>881819.15</v>
      </c>
      <c r="Q550" s="3">
        <v>4739.2</v>
      </c>
      <c r="R550" s="3">
        <v>7956812.4199999999</v>
      </c>
      <c r="S550" s="3">
        <v>0</v>
      </c>
      <c r="T550" s="3">
        <v>0</v>
      </c>
      <c r="U550" s="3">
        <v>199000</v>
      </c>
      <c r="V550" s="5">
        <f t="shared" si="133"/>
        <v>3124.0448867175969</v>
      </c>
    </row>
    <row r="551" spans="1:22" ht="24" customHeight="1" x14ac:dyDescent="0.25">
      <c r="A551" s="21" t="s">
        <v>1442</v>
      </c>
      <c r="B551" s="24" t="s">
        <v>604</v>
      </c>
      <c r="C551" s="2">
        <f t="shared" si="131"/>
        <v>2941440</v>
      </c>
      <c r="D551" s="3">
        <f t="shared" si="132"/>
        <v>0</v>
      </c>
      <c r="E551" s="3">
        <v>0</v>
      </c>
      <c r="F551" s="3">
        <v>0</v>
      </c>
      <c r="G551" s="3">
        <v>0</v>
      </c>
      <c r="H551" s="3">
        <v>0</v>
      </c>
      <c r="I551" s="3">
        <v>0</v>
      </c>
      <c r="J551" s="3">
        <v>0</v>
      </c>
      <c r="K551" s="14">
        <v>0</v>
      </c>
      <c r="L551" s="13">
        <v>0</v>
      </c>
      <c r="M551" s="13">
        <v>262.08</v>
      </c>
      <c r="N551" s="3">
        <v>1441440</v>
      </c>
      <c r="O551" s="13">
        <v>0</v>
      </c>
      <c r="P551" s="13">
        <v>0</v>
      </c>
      <c r="Q551" s="13">
        <v>500</v>
      </c>
      <c r="R551" s="3">
        <v>1500000</v>
      </c>
      <c r="S551" s="13">
        <v>0</v>
      </c>
      <c r="T551" s="13">
        <v>0</v>
      </c>
      <c r="U551" s="13">
        <v>0</v>
      </c>
      <c r="V551" s="5">
        <f t="shared" si="133"/>
        <v>5500</v>
      </c>
    </row>
    <row r="552" spans="1:22" ht="24" customHeight="1" x14ac:dyDescent="0.25">
      <c r="A552" s="21" t="s">
        <v>1443</v>
      </c>
      <c r="B552" s="27" t="s">
        <v>605</v>
      </c>
      <c r="C552" s="2">
        <f t="shared" si="131"/>
        <v>1406877.6</v>
      </c>
      <c r="D552" s="3">
        <f t="shared" si="132"/>
        <v>0</v>
      </c>
      <c r="E552" s="3">
        <v>0</v>
      </c>
      <c r="F552" s="3">
        <v>0</v>
      </c>
      <c r="G552" s="3">
        <v>0</v>
      </c>
      <c r="H552" s="3">
        <v>0</v>
      </c>
      <c r="I552" s="3">
        <v>0</v>
      </c>
      <c r="J552" s="3">
        <v>0</v>
      </c>
      <c r="K552" s="14">
        <v>0</v>
      </c>
      <c r="L552" s="13">
        <v>0</v>
      </c>
      <c r="M552" s="13">
        <v>261.97000000000003</v>
      </c>
      <c r="N552" s="3">
        <v>1406877.6</v>
      </c>
      <c r="O552" s="13">
        <v>0</v>
      </c>
      <c r="P552" s="13">
        <v>0</v>
      </c>
      <c r="Q552" s="13">
        <v>0</v>
      </c>
      <c r="R552" s="3">
        <f t="shared" ref="R552:R559" si="136">Q552*3000</f>
        <v>0</v>
      </c>
      <c r="S552" s="13">
        <v>0</v>
      </c>
      <c r="T552" s="13">
        <v>0</v>
      </c>
      <c r="U552" s="13">
        <v>0</v>
      </c>
      <c r="V552" s="5">
        <f t="shared" si="133"/>
        <v>5370.3767606977899</v>
      </c>
    </row>
    <row r="553" spans="1:22" ht="24" customHeight="1" x14ac:dyDescent="0.25">
      <c r="A553" s="21" t="s">
        <v>1444</v>
      </c>
      <c r="B553" s="24" t="s">
        <v>903</v>
      </c>
      <c r="C553" s="2">
        <f t="shared" si="131"/>
        <v>11716137.449999999</v>
      </c>
      <c r="D553" s="3">
        <f t="shared" si="132"/>
        <v>0</v>
      </c>
      <c r="E553" s="3">
        <v>0</v>
      </c>
      <c r="F553" s="3">
        <v>0</v>
      </c>
      <c r="G553" s="3">
        <v>0</v>
      </c>
      <c r="H553" s="3">
        <v>0</v>
      </c>
      <c r="I553" s="3">
        <v>0</v>
      </c>
      <c r="J553" s="3">
        <v>0</v>
      </c>
      <c r="K553" s="14">
        <v>6</v>
      </c>
      <c r="L553" s="13">
        <v>11223000</v>
      </c>
      <c r="M553" s="13">
        <v>0</v>
      </c>
      <c r="N553" s="13">
        <v>0</v>
      </c>
      <c r="O553" s="13">
        <v>0</v>
      </c>
      <c r="P553" s="13">
        <v>0</v>
      </c>
      <c r="Q553" s="13">
        <v>0</v>
      </c>
      <c r="R553" s="3">
        <f t="shared" si="136"/>
        <v>0</v>
      </c>
      <c r="S553" s="13">
        <v>0</v>
      </c>
      <c r="T553" s="13">
        <v>0</v>
      </c>
      <c r="U553" s="13">
        <v>493137.45</v>
      </c>
      <c r="V553" s="5" t="e">
        <f t="shared" si="133"/>
        <v>#DIV/0!</v>
      </c>
    </row>
    <row r="554" spans="1:22" ht="24" customHeight="1" x14ac:dyDescent="0.25">
      <c r="A554" s="21" t="s">
        <v>1445</v>
      </c>
      <c r="B554" s="24" t="s">
        <v>522</v>
      </c>
      <c r="C554" s="2">
        <f t="shared" ref="C554:C617" si="137">D554+L554+N554+P554+R554+S554+T554+U554</f>
        <v>131456.18</v>
      </c>
      <c r="D554" s="3">
        <f t="shared" ref="D554:D617" si="138">SUM(E554:J554)</f>
        <v>0</v>
      </c>
      <c r="E554" s="3">
        <v>0</v>
      </c>
      <c r="F554" s="3">
        <v>0</v>
      </c>
      <c r="G554" s="3">
        <v>0</v>
      </c>
      <c r="H554" s="3">
        <v>0</v>
      </c>
      <c r="I554" s="3">
        <v>0</v>
      </c>
      <c r="J554" s="3">
        <v>0</v>
      </c>
      <c r="K554" s="14">
        <v>0</v>
      </c>
      <c r="L554" s="13">
        <v>0</v>
      </c>
      <c r="M554" s="13">
        <v>0</v>
      </c>
      <c r="N554" s="3">
        <v>0</v>
      </c>
      <c r="O554" s="13">
        <v>0</v>
      </c>
      <c r="P554" s="13">
        <v>0</v>
      </c>
      <c r="Q554" s="13">
        <v>0</v>
      </c>
      <c r="R554" s="3">
        <f t="shared" si="136"/>
        <v>0</v>
      </c>
      <c r="S554" s="13">
        <v>0</v>
      </c>
      <c r="T554" s="13">
        <v>0</v>
      </c>
      <c r="U554" s="13">
        <v>131456.18</v>
      </c>
      <c r="V554" s="5" t="e">
        <f t="shared" ref="V554:V617" si="139">N554/M554</f>
        <v>#DIV/0!</v>
      </c>
    </row>
    <row r="555" spans="1:22" ht="24" customHeight="1" x14ac:dyDescent="0.25">
      <c r="A555" s="21" t="s">
        <v>1446</v>
      </c>
      <c r="B555" s="24" t="s">
        <v>606</v>
      </c>
      <c r="C555" s="2">
        <f t="shared" si="137"/>
        <v>1407450</v>
      </c>
      <c r="D555" s="3">
        <f t="shared" si="138"/>
        <v>0</v>
      </c>
      <c r="E555" s="3">
        <v>0</v>
      </c>
      <c r="F555" s="3">
        <v>0</v>
      </c>
      <c r="G555" s="3">
        <v>0</v>
      </c>
      <c r="H555" s="3">
        <v>0</v>
      </c>
      <c r="I555" s="3">
        <v>0</v>
      </c>
      <c r="J555" s="3">
        <v>0</v>
      </c>
      <c r="K555" s="14">
        <v>0</v>
      </c>
      <c r="L555" s="13">
        <v>0</v>
      </c>
      <c r="M555" s="13">
        <v>225.9</v>
      </c>
      <c r="N555" s="3">
        <v>1407450</v>
      </c>
      <c r="O555" s="13">
        <v>0</v>
      </c>
      <c r="P555" s="13">
        <v>0</v>
      </c>
      <c r="Q555" s="13">
        <v>0</v>
      </c>
      <c r="R555" s="3">
        <f t="shared" si="136"/>
        <v>0</v>
      </c>
      <c r="S555" s="13">
        <v>0</v>
      </c>
      <c r="T555" s="13">
        <v>0</v>
      </c>
      <c r="U555" s="13">
        <v>0</v>
      </c>
      <c r="V555" s="5">
        <f t="shared" si="139"/>
        <v>6230.4116865869855</v>
      </c>
    </row>
    <row r="556" spans="1:22" ht="24" customHeight="1" x14ac:dyDescent="0.25">
      <c r="A556" s="21" t="s">
        <v>1447</v>
      </c>
      <c r="B556" s="27" t="s">
        <v>523</v>
      </c>
      <c r="C556" s="2">
        <f t="shared" si="137"/>
        <v>88717.43</v>
      </c>
      <c r="D556" s="3">
        <f t="shared" si="138"/>
        <v>0</v>
      </c>
      <c r="E556" s="3">
        <v>0</v>
      </c>
      <c r="F556" s="3">
        <v>0</v>
      </c>
      <c r="G556" s="3">
        <v>0</v>
      </c>
      <c r="H556" s="3">
        <v>0</v>
      </c>
      <c r="I556" s="3">
        <v>0</v>
      </c>
      <c r="J556" s="3">
        <v>0</v>
      </c>
      <c r="K556" s="14">
        <v>0</v>
      </c>
      <c r="L556" s="13">
        <v>0</v>
      </c>
      <c r="M556" s="13">
        <v>0</v>
      </c>
      <c r="N556" s="3">
        <f>M556*5500</f>
        <v>0</v>
      </c>
      <c r="O556" s="13">
        <v>0</v>
      </c>
      <c r="P556" s="13">
        <v>0</v>
      </c>
      <c r="Q556" s="13">
        <v>0</v>
      </c>
      <c r="R556" s="3">
        <f t="shared" si="136"/>
        <v>0</v>
      </c>
      <c r="S556" s="13">
        <v>0</v>
      </c>
      <c r="T556" s="13">
        <v>0</v>
      </c>
      <c r="U556" s="13">
        <v>88717.43</v>
      </c>
      <c r="V556" s="5" t="e">
        <f t="shared" si="139"/>
        <v>#DIV/0!</v>
      </c>
    </row>
    <row r="557" spans="1:22" ht="24" customHeight="1" x14ac:dyDescent="0.25">
      <c r="A557" s="21" t="s">
        <v>1448</v>
      </c>
      <c r="B557" s="24" t="s">
        <v>608</v>
      </c>
      <c r="C557" s="2">
        <f t="shared" si="137"/>
        <v>3089034.2</v>
      </c>
      <c r="D557" s="3">
        <f t="shared" si="138"/>
        <v>0</v>
      </c>
      <c r="E557" s="3">
        <v>0</v>
      </c>
      <c r="F557" s="3">
        <v>0</v>
      </c>
      <c r="G557" s="3">
        <v>0</v>
      </c>
      <c r="H557" s="3">
        <v>0</v>
      </c>
      <c r="I557" s="3">
        <v>0</v>
      </c>
      <c r="J557" s="3">
        <v>0</v>
      </c>
      <c r="K557" s="14">
        <v>0</v>
      </c>
      <c r="L557" s="13">
        <v>0</v>
      </c>
      <c r="M557" s="13">
        <v>562.04</v>
      </c>
      <c r="N557" s="3">
        <v>3089034.2</v>
      </c>
      <c r="O557" s="13">
        <v>0</v>
      </c>
      <c r="P557" s="13">
        <v>0</v>
      </c>
      <c r="Q557" s="13">
        <v>0</v>
      </c>
      <c r="R557" s="3">
        <f t="shared" si="136"/>
        <v>0</v>
      </c>
      <c r="S557" s="13">
        <v>0</v>
      </c>
      <c r="T557" s="13">
        <v>0</v>
      </c>
      <c r="U557" s="13">
        <v>0</v>
      </c>
      <c r="V557" s="5">
        <f t="shared" si="139"/>
        <v>5496.1109529570858</v>
      </c>
    </row>
    <row r="558" spans="1:22" ht="24" customHeight="1" x14ac:dyDescent="0.25">
      <c r="A558" s="21" t="s">
        <v>1449</v>
      </c>
      <c r="B558" s="24" t="s">
        <v>524</v>
      </c>
      <c r="C558" s="2">
        <f t="shared" si="137"/>
        <v>190659.06</v>
      </c>
      <c r="D558" s="3">
        <f t="shared" si="138"/>
        <v>0</v>
      </c>
      <c r="E558" s="3">
        <v>0</v>
      </c>
      <c r="F558" s="3">
        <v>0</v>
      </c>
      <c r="G558" s="3">
        <v>0</v>
      </c>
      <c r="H558" s="3">
        <v>0</v>
      </c>
      <c r="I558" s="3">
        <v>0</v>
      </c>
      <c r="J558" s="3">
        <v>0</v>
      </c>
      <c r="K558" s="14">
        <v>0</v>
      </c>
      <c r="L558" s="13">
        <v>0</v>
      </c>
      <c r="M558" s="13">
        <v>0</v>
      </c>
      <c r="N558" s="3">
        <v>0</v>
      </c>
      <c r="O558" s="13">
        <v>0</v>
      </c>
      <c r="P558" s="13">
        <v>0</v>
      </c>
      <c r="Q558" s="13">
        <v>0</v>
      </c>
      <c r="R558" s="3">
        <f t="shared" si="136"/>
        <v>0</v>
      </c>
      <c r="S558" s="13">
        <v>0</v>
      </c>
      <c r="T558" s="13">
        <v>0</v>
      </c>
      <c r="U558" s="13">
        <v>190659.06</v>
      </c>
      <c r="V558" s="5" t="e">
        <f t="shared" si="139"/>
        <v>#DIV/0!</v>
      </c>
    </row>
    <row r="559" spans="1:22" ht="24" customHeight="1" x14ac:dyDescent="0.25">
      <c r="A559" s="21" t="s">
        <v>1450</v>
      </c>
      <c r="B559" s="24" t="s">
        <v>607</v>
      </c>
      <c r="C559" s="2">
        <f t="shared" si="137"/>
        <v>3096500</v>
      </c>
      <c r="D559" s="3">
        <f t="shared" si="138"/>
        <v>0</v>
      </c>
      <c r="E559" s="3">
        <v>0</v>
      </c>
      <c r="F559" s="3">
        <v>0</v>
      </c>
      <c r="G559" s="3">
        <v>0</v>
      </c>
      <c r="H559" s="3">
        <v>0</v>
      </c>
      <c r="I559" s="3">
        <v>0</v>
      </c>
      <c r="J559" s="3">
        <v>0</v>
      </c>
      <c r="K559" s="14">
        <v>0</v>
      </c>
      <c r="L559" s="13">
        <v>0</v>
      </c>
      <c r="M559" s="13">
        <v>563</v>
      </c>
      <c r="N559" s="3">
        <v>3096500</v>
      </c>
      <c r="O559" s="13">
        <v>0</v>
      </c>
      <c r="P559" s="13">
        <v>0</v>
      </c>
      <c r="Q559" s="13">
        <v>0</v>
      </c>
      <c r="R559" s="3">
        <f t="shared" si="136"/>
        <v>0</v>
      </c>
      <c r="S559" s="13">
        <v>0</v>
      </c>
      <c r="T559" s="13">
        <v>0</v>
      </c>
      <c r="U559" s="13">
        <v>0</v>
      </c>
      <c r="V559" s="5">
        <f t="shared" si="139"/>
        <v>5500</v>
      </c>
    </row>
    <row r="560" spans="1:22" ht="24" customHeight="1" x14ac:dyDescent="0.25">
      <c r="A560" s="21" t="s">
        <v>1451</v>
      </c>
      <c r="B560" s="24" t="s">
        <v>609</v>
      </c>
      <c r="C560" s="2">
        <f t="shared" si="137"/>
        <v>6013006</v>
      </c>
      <c r="D560" s="3">
        <f t="shared" si="138"/>
        <v>959459</v>
      </c>
      <c r="E560" s="3">
        <v>444175</v>
      </c>
      <c r="F560" s="3">
        <v>0</v>
      </c>
      <c r="G560" s="3">
        <v>163052</v>
      </c>
      <c r="H560" s="3">
        <v>178118</v>
      </c>
      <c r="I560" s="3">
        <v>174114</v>
      </c>
      <c r="J560" s="3">
        <v>0</v>
      </c>
      <c r="K560" s="14">
        <v>0</v>
      </c>
      <c r="L560" s="13">
        <v>0</v>
      </c>
      <c r="M560" s="13">
        <v>533.70000000000005</v>
      </c>
      <c r="N560" s="3">
        <v>2615250</v>
      </c>
      <c r="O560" s="13">
        <v>0</v>
      </c>
      <c r="P560" s="13">
        <v>0</v>
      </c>
      <c r="Q560" s="13">
        <v>1030.74</v>
      </c>
      <c r="R560" s="3">
        <v>2236273</v>
      </c>
      <c r="S560" s="13">
        <v>0</v>
      </c>
      <c r="T560" s="13">
        <v>0</v>
      </c>
      <c r="U560" s="13">
        <v>202024</v>
      </c>
      <c r="V560" s="5">
        <f t="shared" si="139"/>
        <v>4900.2248454187738</v>
      </c>
    </row>
    <row r="561" spans="1:22" ht="24" customHeight="1" x14ac:dyDescent="0.25">
      <c r="A561" s="21" t="s">
        <v>1452</v>
      </c>
      <c r="B561" s="24" t="s">
        <v>525</v>
      </c>
      <c r="C561" s="2">
        <f t="shared" si="137"/>
        <v>1383804.9</v>
      </c>
      <c r="D561" s="3">
        <f t="shared" si="138"/>
        <v>0</v>
      </c>
      <c r="E561" s="3">
        <v>0</v>
      </c>
      <c r="F561" s="3">
        <v>0</v>
      </c>
      <c r="G561" s="3">
        <v>0</v>
      </c>
      <c r="H561" s="3">
        <v>0</v>
      </c>
      <c r="I561" s="3">
        <v>0</v>
      </c>
      <c r="J561" s="3">
        <v>0</v>
      </c>
      <c r="K561" s="14">
        <v>0</v>
      </c>
      <c r="L561" s="13">
        <v>0</v>
      </c>
      <c r="M561" s="13">
        <v>259</v>
      </c>
      <c r="N561" s="3">
        <v>1383804.9</v>
      </c>
      <c r="O561" s="13">
        <v>0</v>
      </c>
      <c r="P561" s="13">
        <v>0</v>
      </c>
      <c r="Q561" s="13">
        <v>0</v>
      </c>
      <c r="R561" s="3">
        <f t="shared" ref="R561:R568" si="140">Q561*3000</f>
        <v>0</v>
      </c>
      <c r="S561" s="13">
        <v>0</v>
      </c>
      <c r="T561" s="13">
        <v>0</v>
      </c>
      <c r="U561" s="13">
        <v>0</v>
      </c>
      <c r="V561" s="5">
        <f t="shared" si="139"/>
        <v>5342.8760617760618</v>
      </c>
    </row>
    <row r="562" spans="1:22" ht="24" customHeight="1" x14ac:dyDescent="0.25">
      <c r="A562" s="21" t="s">
        <v>1453</v>
      </c>
      <c r="B562" s="24" t="s">
        <v>526</v>
      </c>
      <c r="C562" s="2">
        <f t="shared" si="137"/>
        <v>1437315</v>
      </c>
      <c r="D562" s="3">
        <f t="shared" si="138"/>
        <v>0</v>
      </c>
      <c r="E562" s="3">
        <v>0</v>
      </c>
      <c r="F562" s="3">
        <v>0</v>
      </c>
      <c r="G562" s="3">
        <v>0</v>
      </c>
      <c r="H562" s="3">
        <v>0</v>
      </c>
      <c r="I562" s="3">
        <v>0</v>
      </c>
      <c r="J562" s="3">
        <v>0</v>
      </c>
      <c r="K562" s="14">
        <v>0</v>
      </c>
      <c r="L562" s="13">
        <v>0</v>
      </c>
      <c r="M562" s="13">
        <v>261.33</v>
      </c>
      <c r="N562" s="3">
        <v>1437315</v>
      </c>
      <c r="O562" s="13">
        <v>0</v>
      </c>
      <c r="P562" s="13">
        <v>0</v>
      </c>
      <c r="Q562" s="13">
        <v>0</v>
      </c>
      <c r="R562" s="3">
        <f t="shared" si="140"/>
        <v>0</v>
      </c>
      <c r="S562" s="13">
        <v>0</v>
      </c>
      <c r="T562" s="13">
        <v>0</v>
      </c>
      <c r="U562" s="13">
        <v>0</v>
      </c>
      <c r="V562" s="5">
        <f t="shared" si="139"/>
        <v>5500</v>
      </c>
    </row>
    <row r="563" spans="1:22" ht="24" customHeight="1" x14ac:dyDescent="0.25">
      <c r="A563" s="21" t="s">
        <v>1454</v>
      </c>
      <c r="B563" s="24" t="s">
        <v>610</v>
      </c>
      <c r="C563" s="2">
        <f t="shared" si="137"/>
        <v>1442870</v>
      </c>
      <c r="D563" s="3">
        <f t="shared" si="138"/>
        <v>0</v>
      </c>
      <c r="E563" s="3">
        <v>0</v>
      </c>
      <c r="F563" s="3">
        <v>0</v>
      </c>
      <c r="G563" s="3">
        <v>0</v>
      </c>
      <c r="H563" s="3">
        <v>0</v>
      </c>
      <c r="I563" s="3">
        <v>0</v>
      </c>
      <c r="J563" s="3">
        <v>0</v>
      </c>
      <c r="K563" s="14">
        <v>0</v>
      </c>
      <c r="L563" s="13">
        <v>0</v>
      </c>
      <c r="M563" s="13">
        <v>262.33999999999997</v>
      </c>
      <c r="N563" s="3">
        <v>1442870</v>
      </c>
      <c r="O563" s="13">
        <v>0</v>
      </c>
      <c r="P563" s="13">
        <v>0</v>
      </c>
      <c r="Q563" s="13">
        <v>0</v>
      </c>
      <c r="R563" s="3">
        <f t="shared" si="140"/>
        <v>0</v>
      </c>
      <c r="S563" s="13">
        <v>0</v>
      </c>
      <c r="T563" s="13">
        <v>0</v>
      </c>
      <c r="U563" s="13">
        <v>0</v>
      </c>
      <c r="V563" s="5">
        <f t="shared" si="139"/>
        <v>5500.0000000000009</v>
      </c>
    </row>
    <row r="564" spans="1:22" ht="24" customHeight="1" x14ac:dyDescent="0.25">
      <c r="A564" s="21" t="s">
        <v>1455</v>
      </c>
      <c r="B564" s="24" t="s">
        <v>611</v>
      </c>
      <c r="C564" s="2">
        <f t="shared" si="137"/>
        <v>1410750</v>
      </c>
      <c r="D564" s="3">
        <f t="shared" si="138"/>
        <v>0</v>
      </c>
      <c r="E564" s="3">
        <v>0</v>
      </c>
      <c r="F564" s="3">
        <v>0</v>
      </c>
      <c r="G564" s="3">
        <v>0</v>
      </c>
      <c r="H564" s="3">
        <v>0</v>
      </c>
      <c r="I564" s="3">
        <v>0</v>
      </c>
      <c r="J564" s="3">
        <v>0</v>
      </c>
      <c r="K564" s="14">
        <v>0</v>
      </c>
      <c r="L564" s="13">
        <v>0</v>
      </c>
      <c r="M564" s="13">
        <v>256.5</v>
      </c>
      <c r="N564" s="3">
        <v>1410750</v>
      </c>
      <c r="O564" s="13">
        <v>0</v>
      </c>
      <c r="P564" s="13">
        <v>0</v>
      </c>
      <c r="Q564" s="13">
        <v>0</v>
      </c>
      <c r="R564" s="3">
        <f t="shared" si="140"/>
        <v>0</v>
      </c>
      <c r="S564" s="13">
        <v>0</v>
      </c>
      <c r="T564" s="13">
        <v>0</v>
      </c>
      <c r="U564" s="13">
        <v>0</v>
      </c>
      <c r="V564" s="5">
        <f t="shared" si="139"/>
        <v>5500</v>
      </c>
    </row>
    <row r="565" spans="1:22" ht="24" customHeight="1" x14ac:dyDescent="0.25">
      <c r="A565" s="21" t="s">
        <v>1456</v>
      </c>
      <c r="B565" s="24" t="s">
        <v>612</v>
      </c>
      <c r="C565" s="2">
        <f t="shared" si="137"/>
        <v>95281.24</v>
      </c>
      <c r="D565" s="3">
        <f t="shared" si="138"/>
        <v>0</v>
      </c>
      <c r="E565" s="13">
        <v>0</v>
      </c>
      <c r="F565" s="13">
        <v>0</v>
      </c>
      <c r="G565" s="13">
        <v>0</v>
      </c>
      <c r="H565" s="13">
        <v>0</v>
      </c>
      <c r="I565" s="13">
        <v>0</v>
      </c>
      <c r="J565" s="13">
        <f>350*0</f>
        <v>0</v>
      </c>
      <c r="K565" s="14">
        <v>0</v>
      </c>
      <c r="L565" s="13">
        <v>0</v>
      </c>
      <c r="M565" s="13">
        <v>0</v>
      </c>
      <c r="N565" s="13">
        <v>0</v>
      </c>
      <c r="O565" s="13">
        <v>0</v>
      </c>
      <c r="P565" s="13">
        <v>0</v>
      </c>
      <c r="Q565" s="13">
        <v>0</v>
      </c>
      <c r="R565" s="3">
        <f t="shared" si="140"/>
        <v>0</v>
      </c>
      <c r="S565" s="13">
        <v>0</v>
      </c>
      <c r="T565" s="13">
        <v>0</v>
      </c>
      <c r="U565" s="13">
        <v>95281.24</v>
      </c>
      <c r="V565" s="5" t="e">
        <f t="shared" si="139"/>
        <v>#DIV/0!</v>
      </c>
    </row>
    <row r="566" spans="1:22" ht="25.15" customHeight="1" x14ac:dyDescent="0.25">
      <c r="A566" s="21" t="s">
        <v>1457</v>
      </c>
      <c r="B566" s="24" t="s">
        <v>613</v>
      </c>
      <c r="C566" s="2">
        <f t="shared" si="137"/>
        <v>1464870</v>
      </c>
      <c r="D566" s="3">
        <f t="shared" si="138"/>
        <v>0</v>
      </c>
      <c r="E566" s="3">
        <v>0</v>
      </c>
      <c r="F566" s="3">
        <v>0</v>
      </c>
      <c r="G566" s="3">
        <v>0</v>
      </c>
      <c r="H566" s="3">
        <v>0</v>
      </c>
      <c r="I566" s="3">
        <v>0</v>
      </c>
      <c r="J566" s="3">
        <v>0</v>
      </c>
      <c r="K566" s="14">
        <v>0</v>
      </c>
      <c r="L566" s="13">
        <v>0</v>
      </c>
      <c r="M566" s="13">
        <v>266.33999999999997</v>
      </c>
      <c r="N566" s="3">
        <v>1464870</v>
      </c>
      <c r="O566" s="13">
        <v>0</v>
      </c>
      <c r="P566" s="13">
        <v>0</v>
      </c>
      <c r="Q566" s="13">
        <v>0</v>
      </c>
      <c r="R566" s="3">
        <f t="shared" si="140"/>
        <v>0</v>
      </c>
      <c r="S566" s="13">
        <v>0</v>
      </c>
      <c r="T566" s="13">
        <v>0</v>
      </c>
      <c r="U566" s="13">
        <v>0</v>
      </c>
      <c r="V566" s="5">
        <f t="shared" si="139"/>
        <v>5500.0000000000009</v>
      </c>
    </row>
    <row r="567" spans="1:22" ht="25.15" customHeight="1" x14ac:dyDescent="0.25">
      <c r="A567" s="21" t="s">
        <v>1458</v>
      </c>
      <c r="B567" s="24" t="s">
        <v>614</v>
      </c>
      <c r="C567" s="2">
        <f t="shared" si="137"/>
        <v>1423125</v>
      </c>
      <c r="D567" s="3">
        <f t="shared" si="138"/>
        <v>0</v>
      </c>
      <c r="E567" s="3">
        <v>0</v>
      </c>
      <c r="F567" s="3">
        <v>0</v>
      </c>
      <c r="G567" s="3">
        <v>0</v>
      </c>
      <c r="H567" s="3">
        <v>0</v>
      </c>
      <c r="I567" s="3">
        <v>0</v>
      </c>
      <c r="J567" s="3">
        <v>0</v>
      </c>
      <c r="K567" s="14">
        <v>0</v>
      </c>
      <c r="L567" s="13">
        <v>0</v>
      </c>
      <c r="M567" s="13">
        <v>258.75</v>
      </c>
      <c r="N567" s="3">
        <v>1423125</v>
      </c>
      <c r="O567" s="13">
        <v>0</v>
      </c>
      <c r="P567" s="13">
        <v>0</v>
      </c>
      <c r="Q567" s="13">
        <v>0</v>
      </c>
      <c r="R567" s="3">
        <f t="shared" si="140"/>
        <v>0</v>
      </c>
      <c r="S567" s="13">
        <v>0</v>
      </c>
      <c r="T567" s="13">
        <v>0</v>
      </c>
      <c r="U567" s="13">
        <v>0</v>
      </c>
      <c r="V567" s="5">
        <f t="shared" si="139"/>
        <v>5500</v>
      </c>
    </row>
    <row r="568" spans="1:22" ht="25.15" customHeight="1" x14ac:dyDescent="0.25">
      <c r="A568" s="21" t="s">
        <v>1459</v>
      </c>
      <c r="B568" s="24" t="s">
        <v>615</v>
      </c>
      <c r="C568" s="2">
        <f t="shared" si="137"/>
        <v>1350249.21</v>
      </c>
      <c r="D568" s="3">
        <f t="shared" si="138"/>
        <v>0</v>
      </c>
      <c r="E568" s="3">
        <v>0</v>
      </c>
      <c r="F568" s="3">
        <v>0</v>
      </c>
      <c r="G568" s="3">
        <v>0</v>
      </c>
      <c r="H568" s="3">
        <v>0</v>
      </c>
      <c r="I568" s="3">
        <v>0</v>
      </c>
      <c r="J568" s="3">
        <v>0</v>
      </c>
      <c r="K568" s="14">
        <v>0</v>
      </c>
      <c r="L568" s="13">
        <v>0</v>
      </c>
      <c r="M568" s="13">
        <v>245.5</v>
      </c>
      <c r="N568" s="3">
        <v>1350249.21</v>
      </c>
      <c r="O568" s="13">
        <v>0</v>
      </c>
      <c r="P568" s="13">
        <v>0</v>
      </c>
      <c r="Q568" s="13">
        <v>0</v>
      </c>
      <c r="R568" s="3">
        <f t="shared" si="140"/>
        <v>0</v>
      </c>
      <c r="S568" s="13">
        <v>0</v>
      </c>
      <c r="T568" s="13">
        <v>0</v>
      </c>
      <c r="U568" s="13">
        <v>0</v>
      </c>
      <c r="V568" s="5">
        <f t="shared" si="139"/>
        <v>5499.9967820773927</v>
      </c>
    </row>
    <row r="569" spans="1:22" ht="24" customHeight="1" x14ac:dyDescent="0.25">
      <c r="A569" s="21" t="s">
        <v>1460</v>
      </c>
      <c r="B569" s="28" t="s">
        <v>853</v>
      </c>
      <c r="C569" s="2">
        <f t="shared" si="137"/>
        <v>377276.64</v>
      </c>
      <c r="D569" s="3">
        <f t="shared" si="138"/>
        <v>0</v>
      </c>
      <c r="E569" s="3">
        <v>0</v>
      </c>
      <c r="F569" s="3">
        <v>0</v>
      </c>
      <c r="G569" s="3">
        <v>0</v>
      </c>
      <c r="H569" s="3">
        <v>0</v>
      </c>
      <c r="I569" s="3">
        <v>0</v>
      </c>
      <c r="J569" s="3">
        <v>0</v>
      </c>
      <c r="K569" s="4">
        <v>0</v>
      </c>
      <c r="L569" s="3">
        <v>0</v>
      </c>
      <c r="M569" s="3">
        <v>0</v>
      </c>
      <c r="N569" s="3">
        <v>0</v>
      </c>
      <c r="O569" s="3">
        <v>0</v>
      </c>
      <c r="P569" s="3">
        <v>0</v>
      </c>
      <c r="Q569" s="3">
        <v>0</v>
      </c>
      <c r="R569" s="3">
        <v>0</v>
      </c>
      <c r="S569" s="3">
        <v>0</v>
      </c>
      <c r="T569" s="3">
        <v>0</v>
      </c>
      <c r="U569" s="3">
        <v>377276.64</v>
      </c>
      <c r="V569" s="5" t="e">
        <f t="shared" si="139"/>
        <v>#DIV/0!</v>
      </c>
    </row>
    <row r="570" spans="1:22" ht="24" customHeight="1" x14ac:dyDescent="0.25">
      <c r="A570" s="21" t="s">
        <v>1461</v>
      </c>
      <c r="B570" s="24" t="s">
        <v>617</v>
      </c>
      <c r="C570" s="2">
        <f t="shared" si="137"/>
        <v>1581247.96</v>
      </c>
      <c r="D570" s="3">
        <f t="shared" si="138"/>
        <v>0</v>
      </c>
      <c r="E570" s="3">
        <v>0</v>
      </c>
      <c r="F570" s="3">
        <v>0</v>
      </c>
      <c r="G570" s="3">
        <v>0</v>
      </c>
      <c r="H570" s="3">
        <v>0</v>
      </c>
      <c r="I570" s="3">
        <v>0</v>
      </c>
      <c r="J570" s="3">
        <v>0</v>
      </c>
      <c r="K570" s="14">
        <v>0</v>
      </c>
      <c r="L570" s="13">
        <v>0</v>
      </c>
      <c r="M570" s="13">
        <v>287.5</v>
      </c>
      <c r="N570" s="3">
        <v>1581247.96</v>
      </c>
      <c r="O570" s="13">
        <v>0</v>
      </c>
      <c r="P570" s="13">
        <v>0</v>
      </c>
      <c r="Q570" s="13">
        <v>0</v>
      </c>
      <c r="R570" s="3">
        <f>Q570*3000</f>
        <v>0</v>
      </c>
      <c r="S570" s="13">
        <v>0</v>
      </c>
      <c r="T570" s="13">
        <v>0</v>
      </c>
      <c r="U570" s="13">
        <v>0</v>
      </c>
      <c r="V570" s="5">
        <f t="shared" si="139"/>
        <v>5499.992904347826</v>
      </c>
    </row>
    <row r="571" spans="1:22" ht="24" customHeight="1" x14ac:dyDescent="0.25">
      <c r="A571" s="21" t="s">
        <v>1462</v>
      </c>
      <c r="B571" s="24" t="s">
        <v>527</v>
      </c>
      <c r="C571" s="2">
        <f t="shared" si="137"/>
        <v>1595644.99</v>
      </c>
      <c r="D571" s="3">
        <f t="shared" si="138"/>
        <v>0</v>
      </c>
      <c r="E571" s="3">
        <v>0</v>
      </c>
      <c r="F571" s="3">
        <v>0</v>
      </c>
      <c r="G571" s="3">
        <v>0</v>
      </c>
      <c r="H571" s="3">
        <v>0</v>
      </c>
      <c r="I571" s="3">
        <v>0</v>
      </c>
      <c r="J571" s="3">
        <v>0</v>
      </c>
      <c r="K571" s="14">
        <v>0</v>
      </c>
      <c r="L571" s="13">
        <v>0</v>
      </c>
      <c r="M571" s="13">
        <v>290.2</v>
      </c>
      <c r="N571" s="3">
        <v>1595644.99</v>
      </c>
      <c r="O571" s="13">
        <v>0</v>
      </c>
      <c r="P571" s="13">
        <v>0</v>
      </c>
      <c r="Q571" s="13">
        <v>0</v>
      </c>
      <c r="R571" s="3">
        <f>Q571*3000</f>
        <v>0</v>
      </c>
      <c r="S571" s="13">
        <v>0</v>
      </c>
      <c r="T571" s="13">
        <v>0</v>
      </c>
      <c r="U571" s="13">
        <v>0</v>
      </c>
      <c r="V571" s="5">
        <f t="shared" si="139"/>
        <v>5498.4320813232252</v>
      </c>
    </row>
    <row r="572" spans="1:22" ht="24" customHeight="1" x14ac:dyDescent="0.25">
      <c r="A572" s="21" t="s">
        <v>1463</v>
      </c>
      <c r="B572" s="24" t="s">
        <v>618</v>
      </c>
      <c r="C572" s="2">
        <f t="shared" si="137"/>
        <v>1447600</v>
      </c>
      <c r="D572" s="3">
        <f t="shared" si="138"/>
        <v>0</v>
      </c>
      <c r="E572" s="3">
        <v>0</v>
      </c>
      <c r="F572" s="3">
        <v>0</v>
      </c>
      <c r="G572" s="3">
        <v>0</v>
      </c>
      <c r="H572" s="3">
        <v>0</v>
      </c>
      <c r="I572" s="3">
        <v>0</v>
      </c>
      <c r="J572" s="3">
        <v>0</v>
      </c>
      <c r="K572" s="14">
        <v>0</v>
      </c>
      <c r="L572" s="13">
        <v>0</v>
      </c>
      <c r="M572" s="13">
        <v>263.2</v>
      </c>
      <c r="N572" s="3">
        <v>1447600</v>
      </c>
      <c r="O572" s="13">
        <v>0</v>
      </c>
      <c r="P572" s="13">
        <v>0</v>
      </c>
      <c r="Q572" s="13">
        <v>0</v>
      </c>
      <c r="R572" s="3">
        <f>Q572*3000</f>
        <v>0</v>
      </c>
      <c r="S572" s="13">
        <v>0</v>
      </c>
      <c r="T572" s="13">
        <v>0</v>
      </c>
      <c r="U572" s="13">
        <v>0</v>
      </c>
      <c r="V572" s="5">
        <f t="shared" si="139"/>
        <v>5500</v>
      </c>
    </row>
    <row r="573" spans="1:22" ht="24" customHeight="1" x14ac:dyDescent="0.25">
      <c r="A573" s="21" t="s">
        <v>1464</v>
      </c>
      <c r="B573" s="24" t="s">
        <v>619</v>
      </c>
      <c r="C573" s="2">
        <f t="shared" si="137"/>
        <v>1325296</v>
      </c>
      <c r="D573" s="3">
        <f t="shared" si="138"/>
        <v>0</v>
      </c>
      <c r="E573" s="3">
        <v>0</v>
      </c>
      <c r="F573" s="3">
        <v>0</v>
      </c>
      <c r="G573" s="3">
        <v>0</v>
      </c>
      <c r="H573" s="3">
        <v>0</v>
      </c>
      <c r="I573" s="3">
        <v>0</v>
      </c>
      <c r="J573" s="3">
        <v>0</v>
      </c>
      <c r="K573" s="14">
        <v>0</v>
      </c>
      <c r="L573" s="13">
        <v>0</v>
      </c>
      <c r="M573" s="13">
        <v>241</v>
      </c>
      <c r="N573" s="3">
        <v>1325296</v>
      </c>
      <c r="O573" s="13">
        <v>0</v>
      </c>
      <c r="P573" s="13">
        <v>0</v>
      </c>
      <c r="Q573" s="13">
        <v>0</v>
      </c>
      <c r="R573" s="3">
        <f>Q573*3000</f>
        <v>0</v>
      </c>
      <c r="S573" s="13">
        <v>0</v>
      </c>
      <c r="T573" s="13">
        <v>0</v>
      </c>
      <c r="U573" s="13">
        <v>0</v>
      </c>
      <c r="V573" s="5">
        <f t="shared" si="139"/>
        <v>5499.1535269709548</v>
      </c>
    </row>
    <row r="574" spans="1:22" ht="24" customHeight="1" x14ac:dyDescent="0.25">
      <c r="A574" s="21" t="s">
        <v>1465</v>
      </c>
      <c r="B574" s="24" t="s">
        <v>433</v>
      </c>
      <c r="C574" s="2">
        <f t="shared" si="137"/>
        <v>3207817.2</v>
      </c>
      <c r="D574" s="3">
        <f t="shared" si="138"/>
        <v>0</v>
      </c>
      <c r="E574" s="3">
        <v>0</v>
      </c>
      <c r="F574" s="3">
        <v>0</v>
      </c>
      <c r="G574" s="3">
        <v>0</v>
      </c>
      <c r="H574" s="3">
        <v>0</v>
      </c>
      <c r="I574" s="3">
        <v>0</v>
      </c>
      <c r="J574" s="3">
        <v>0</v>
      </c>
      <c r="K574" s="4">
        <v>0</v>
      </c>
      <c r="L574" s="3">
        <v>0</v>
      </c>
      <c r="M574" s="3">
        <v>745</v>
      </c>
      <c r="N574" s="3">
        <v>3207817.2</v>
      </c>
      <c r="O574" s="3">
        <v>0</v>
      </c>
      <c r="P574" s="3">
        <v>0</v>
      </c>
      <c r="Q574" s="3">
        <v>0</v>
      </c>
      <c r="R574" s="3">
        <v>0</v>
      </c>
      <c r="S574" s="3">
        <v>0</v>
      </c>
      <c r="T574" s="3">
        <v>0</v>
      </c>
      <c r="U574" s="3">
        <v>0</v>
      </c>
      <c r="V574" s="5">
        <f t="shared" si="139"/>
        <v>4305.7948993288592</v>
      </c>
    </row>
    <row r="575" spans="1:22" ht="24" customHeight="1" x14ac:dyDescent="0.25">
      <c r="A575" s="21" t="s">
        <v>1466</v>
      </c>
      <c r="B575" s="28" t="s">
        <v>1201</v>
      </c>
      <c r="C575" s="2">
        <f t="shared" si="137"/>
        <v>334449.2</v>
      </c>
      <c r="D575" s="3">
        <f t="shared" si="138"/>
        <v>0</v>
      </c>
      <c r="E575" s="3">
        <v>0</v>
      </c>
      <c r="F575" s="3">
        <v>0</v>
      </c>
      <c r="G575" s="3">
        <v>0</v>
      </c>
      <c r="H575" s="3">
        <v>0</v>
      </c>
      <c r="I575" s="3">
        <v>0</v>
      </c>
      <c r="J575" s="3">
        <v>0</v>
      </c>
      <c r="K575" s="4">
        <v>0</v>
      </c>
      <c r="L575" s="3">
        <v>0</v>
      </c>
      <c r="M575" s="3">
        <v>0</v>
      </c>
      <c r="N575" s="3">
        <v>0</v>
      </c>
      <c r="O575" s="3">
        <v>0</v>
      </c>
      <c r="P575" s="3">
        <v>0</v>
      </c>
      <c r="Q575" s="3">
        <v>0</v>
      </c>
      <c r="R575" s="3">
        <v>0</v>
      </c>
      <c r="S575" s="3">
        <v>0</v>
      </c>
      <c r="T575" s="3">
        <v>0</v>
      </c>
      <c r="U575" s="3">
        <v>334449.2</v>
      </c>
      <c r="V575" s="5" t="e">
        <f t="shared" si="139"/>
        <v>#DIV/0!</v>
      </c>
    </row>
    <row r="576" spans="1:22" ht="24" customHeight="1" x14ac:dyDescent="0.25">
      <c r="A576" s="21" t="s">
        <v>1467</v>
      </c>
      <c r="B576" s="24" t="s">
        <v>622</v>
      </c>
      <c r="C576" s="2">
        <f t="shared" si="137"/>
        <v>3896200</v>
      </c>
      <c r="D576" s="3">
        <f t="shared" si="138"/>
        <v>0</v>
      </c>
      <c r="E576" s="3">
        <v>0</v>
      </c>
      <c r="F576" s="3">
        <v>0</v>
      </c>
      <c r="G576" s="3">
        <v>0</v>
      </c>
      <c r="H576" s="3">
        <v>0</v>
      </c>
      <c r="I576" s="3">
        <v>0</v>
      </c>
      <c r="J576" s="3">
        <v>0</v>
      </c>
      <c r="K576" s="14">
        <v>0</v>
      </c>
      <c r="L576" s="13">
        <v>0</v>
      </c>
      <c r="M576" s="13">
        <v>708.4</v>
      </c>
      <c r="N576" s="3">
        <f>M576*5500</f>
        <v>3896200</v>
      </c>
      <c r="O576" s="13">
        <v>0</v>
      </c>
      <c r="P576" s="13">
        <v>0</v>
      </c>
      <c r="Q576" s="13">
        <v>0</v>
      </c>
      <c r="R576" s="3">
        <f t="shared" ref="R576:R584" si="141">Q576*3000</f>
        <v>0</v>
      </c>
      <c r="S576" s="13">
        <v>0</v>
      </c>
      <c r="T576" s="13">
        <v>0</v>
      </c>
      <c r="U576" s="13">
        <v>0</v>
      </c>
      <c r="V576" s="5">
        <f t="shared" si="139"/>
        <v>5500</v>
      </c>
    </row>
    <row r="577" spans="1:22" ht="24" customHeight="1" x14ac:dyDescent="0.25">
      <c r="A577" s="21" t="s">
        <v>1468</v>
      </c>
      <c r="B577" s="24" t="s">
        <v>620</v>
      </c>
      <c r="C577" s="2">
        <f t="shared" si="137"/>
        <v>1702800</v>
      </c>
      <c r="D577" s="3">
        <f t="shared" si="138"/>
        <v>0</v>
      </c>
      <c r="E577" s="3">
        <v>0</v>
      </c>
      <c r="F577" s="3">
        <v>0</v>
      </c>
      <c r="G577" s="3">
        <v>0</v>
      </c>
      <c r="H577" s="3">
        <v>0</v>
      </c>
      <c r="I577" s="3">
        <v>0</v>
      </c>
      <c r="J577" s="3">
        <v>0</v>
      </c>
      <c r="K577" s="14">
        <v>0</v>
      </c>
      <c r="L577" s="13">
        <v>0</v>
      </c>
      <c r="M577" s="13">
        <v>309.60000000000002</v>
      </c>
      <c r="N577" s="3">
        <v>1702800</v>
      </c>
      <c r="O577" s="13">
        <v>0</v>
      </c>
      <c r="P577" s="13">
        <v>0</v>
      </c>
      <c r="Q577" s="13">
        <v>0</v>
      </c>
      <c r="R577" s="3">
        <f t="shared" si="141"/>
        <v>0</v>
      </c>
      <c r="S577" s="13">
        <v>0</v>
      </c>
      <c r="T577" s="13">
        <v>0</v>
      </c>
      <c r="U577" s="13">
        <v>0</v>
      </c>
      <c r="V577" s="5">
        <f t="shared" si="139"/>
        <v>5500</v>
      </c>
    </row>
    <row r="578" spans="1:22" ht="24" customHeight="1" x14ac:dyDescent="0.25">
      <c r="A578" s="21" t="s">
        <v>1469</v>
      </c>
      <c r="B578" s="24" t="s">
        <v>621</v>
      </c>
      <c r="C578" s="2">
        <f t="shared" si="137"/>
        <v>2810500</v>
      </c>
      <c r="D578" s="3">
        <f t="shared" si="138"/>
        <v>0</v>
      </c>
      <c r="E578" s="3">
        <v>0</v>
      </c>
      <c r="F578" s="3">
        <v>0</v>
      </c>
      <c r="G578" s="3">
        <v>0</v>
      </c>
      <c r="H578" s="3">
        <v>0</v>
      </c>
      <c r="I578" s="3">
        <v>0</v>
      </c>
      <c r="J578" s="3">
        <v>0</v>
      </c>
      <c r="K578" s="14">
        <v>0</v>
      </c>
      <c r="L578" s="13">
        <v>0</v>
      </c>
      <c r="M578" s="13">
        <v>511</v>
      </c>
      <c r="N578" s="3">
        <v>2810500</v>
      </c>
      <c r="O578" s="13">
        <v>0</v>
      </c>
      <c r="P578" s="13">
        <v>0</v>
      </c>
      <c r="Q578" s="13">
        <v>0</v>
      </c>
      <c r="R578" s="3">
        <f t="shared" si="141"/>
        <v>0</v>
      </c>
      <c r="S578" s="13">
        <v>0</v>
      </c>
      <c r="T578" s="13">
        <v>0</v>
      </c>
      <c r="U578" s="13">
        <v>0</v>
      </c>
      <c r="V578" s="5">
        <f t="shared" si="139"/>
        <v>5500</v>
      </c>
    </row>
    <row r="579" spans="1:22" ht="24" customHeight="1" x14ac:dyDescent="0.25">
      <c r="A579" s="21" t="s">
        <v>1470</v>
      </c>
      <c r="B579" s="24" t="s">
        <v>528</v>
      </c>
      <c r="C579" s="2">
        <f t="shared" si="137"/>
        <v>2205500</v>
      </c>
      <c r="D579" s="3">
        <f t="shared" si="138"/>
        <v>0</v>
      </c>
      <c r="E579" s="3">
        <v>0</v>
      </c>
      <c r="F579" s="3">
        <v>0</v>
      </c>
      <c r="G579" s="3">
        <v>0</v>
      </c>
      <c r="H579" s="3">
        <v>0</v>
      </c>
      <c r="I579" s="3">
        <v>0</v>
      </c>
      <c r="J579" s="3">
        <v>0</v>
      </c>
      <c r="K579" s="14">
        <v>0</v>
      </c>
      <c r="L579" s="13">
        <v>0</v>
      </c>
      <c r="M579" s="13">
        <v>401</v>
      </c>
      <c r="N579" s="3">
        <v>2205500</v>
      </c>
      <c r="O579" s="13">
        <v>0</v>
      </c>
      <c r="P579" s="13">
        <v>0</v>
      </c>
      <c r="Q579" s="13">
        <v>0</v>
      </c>
      <c r="R579" s="3">
        <f t="shared" si="141"/>
        <v>0</v>
      </c>
      <c r="S579" s="13">
        <v>0</v>
      </c>
      <c r="T579" s="13">
        <v>0</v>
      </c>
      <c r="U579" s="13">
        <v>0</v>
      </c>
      <c r="V579" s="5">
        <f t="shared" si="139"/>
        <v>5500</v>
      </c>
    </row>
    <row r="580" spans="1:22" ht="24" customHeight="1" x14ac:dyDescent="0.25">
      <c r="A580" s="21" t="s">
        <v>1471</v>
      </c>
      <c r="B580" s="24" t="s">
        <v>623</v>
      </c>
      <c r="C580" s="2">
        <f t="shared" si="137"/>
        <v>2817356.6</v>
      </c>
      <c r="D580" s="3">
        <f t="shared" si="138"/>
        <v>0</v>
      </c>
      <c r="E580" s="3">
        <v>0</v>
      </c>
      <c r="F580" s="3">
        <v>0</v>
      </c>
      <c r="G580" s="3">
        <v>0</v>
      </c>
      <c r="H580" s="3">
        <v>0</v>
      </c>
      <c r="I580" s="3">
        <v>0</v>
      </c>
      <c r="J580" s="3">
        <v>0</v>
      </c>
      <c r="K580" s="14">
        <v>0</v>
      </c>
      <c r="L580" s="13">
        <v>0</v>
      </c>
      <c r="M580" s="13">
        <v>539.74</v>
      </c>
      <c r="N580" s="3">
        <v>2817356.6</v>
      </c>
      <c r="O580" s="13">
        <v>0</v>
      </c>
      <c r="P580" s="13">
        <v>0</v>
      </c>
      <c r="Q580" s="13">
        <v>0</v>
      </c>
      <c r="R580" s="3">
        <f t="shared" si="141"/>
        <v>0</v>
      </c>
      <c r="S580" s="13">
        <v>0</v>
      </c>
      <c r="T580" s="13">
        <v>0</v>
      </c>
      <c r="U580" s="13">
        <v>0</v>
      </c>
      <c r="V580" s="5">
        <f t="shared" si="139"/>
        <v>5219.8402934746364</v>
      </c>
    </row>
    <row r="581" spans="1:22" ht="24" customHeight="1" x14ac:dyDescent="0.25">
      <c r="A581" s="21" t="s">
        <v>1472</v>
      </c>
      <c r="B581" s="24" t="s">
        <v>624</v>
      </c>
      <c r="C581" s="2">
        <f t="shared" si="137"/>
        <v>132711.07999999999</v>
      </c>
      <c r="D581" s="3">
        <f t="shared" si="138"/>
        <v>0</v>
      </c>
      <c r="E581" s="3">
        <v>0</v>
      </c>
      <c r="F581" s="3">
        <v>0</v>
      </c>
      <c r="G581" s="3">
        <v>0</v>
      </c>
      <c r="H581" s="3">
        <v>0</v>
      </c>
      <c r="I581" s="3">
        <v>0</v>
      </c>
      <c r="J581" s="3">
        <v>0</v>
      </c>
      <c r="K581" s="14">
        <v>0</v>
      </c>
      <c r="L581" s="13">
        <v>0</v>
      </c>
      <c r="M581" s="13">
        <v>0</v>
      </c>
      <c r="N581" s="3">
        <f>M581*5500</f>
        <v>0</v>
      </c>
      <c r="O581" s="13">
        <v>0</v>
      </c>
      <c r="P581" s="13">
        <v>0</v>
      </c>
      <c r="Q581" s="13">
        <v>0</v>
      </c>
      <c r="R581" s="3">
        <f t="shared" si="141"/>
        <v>0</v>
      </c>
      <c r="S581" s="13">
        <v>0</v>
      </c>
      <c r="T581" s="13">
        <v>0</v>
      </c>
      <c r="U581" s="13">
        <v>132711.07999999999</v>
      </c>
      <c r="V581" s="5" t="e">
        <f t="shared" si="139"/>
        <v>#DIV/0!</v>
      </c>
    </row>
    <row r="582" spans="1:22" ht="24" customHeight="1" x14ac:dyDescent="0.25">
      <c r="A582" s="21" t="s">
        <v>1473</v>
      </c>
      <c r="B582" s="24" t="s">
        <v>529</v>
      </c>
      <c r="C582" s="2">
        <f t="shared" si="137"/>
        <v>3288010.0000000005</v>
      </c>
      <c r="D582" s="3">
        <f t="shared" si="138"/>
        <v>0</v>
      </c>
      <c r="E582" s="3">
        <v>0</v>
      </c>
      <c r="F582" s="3">
        <v>0</v>
      </c>
      <c r="G582" s="3">
        <v>0</v>
      </c>
      <c r="H582" s="3">
        <v>0</v>
      </c>
      <c r="I582" s="3">
        <v>0</v>
      </c>
      <c r="J582" s="3">
        <v>0</v>
      </c>
      <c r="K582" s="14">
        <v>0</v>
      </c>
      <c r="L582" s="13">
        <v>0</v>
      </c>
      <c r="M582" s="13">
        <v>597.82000000000005</v>
      </c>
      <c r="N582" s="3">
        <f>M582*5500</f>
        <v>3288010.0000000005</v>
      </c>
      <c r="O582" s="13">
        <v>0</v>
      </c>
      <c r="P582" s="13">
        <v>0</v>
      </c>
      <c r="Q582" s="13">
        <v>0</v>
      </c>
      <c r="R582" s="3">
        <f t="shared" si="141"/>
        <v>0</v>
      </c>
      <c r="S582" s="13">
        <v>0</v>
      </c>
      <c r="T582" s="13">
        <v>0</v>
      </c>
      <c r="U582" s="13">
        <v>0</v>
      </c>
      <c r="V582" s="5">
        <f t="shared" si="139"/>
        <v>5500</v>
      </c>
    </row>
    <row r="583" spans="1:22" ht="24" customHeight="1" x14ac:dyDescent="0.25">
      <c r="A583" s="21" t="s">
        <v>1474</v>
      </c>
      <c r="B583" s="27" t="s">
        <v>530</v>
      </c>
      <c r="C583" s="2">
        <f t="shared" si="137"/>
        <v>3995087.78</v>
      </c>
      <c r="D583" s="3">
        <f t="shared" si="138"/>
        <v>0</v>
      </c>
      <c r="E583" s="3">
        <v>0</v>
      </c>
      <c r="F583" s="3">
        <v>0</v>
      </c>
      <c r="G583" s="3">
        <v>0</v>
      </c>
      <c r="H583" s="3">
        <v>0</v>
      </c>
      <c r="I583" s="3">
        <v>0</v>
      </c>
      <c r="J583" s="3">
        <v>0</v>
      </c>
      <c r="K583" s="14">
        <v>0</v>
      </c>
      <c r="L583" s="13">
        <v>0</v>
      </c>
      <c r="M583" s="13">
        <v>783.4</v>
      </c>
      <c r="N583" s="3">
        <v>3995087.78</v>
      </c>
      <c r="O583" s="13">
        <v>0</v>
      </c>
      <c r="P583" s="13">
        <v>0</v>
      </c>
      <c r="Q583" s="13">
        <v>0</v>
      </c>
      <c r="R583" s="3">
        <f t="shared" si="141"/>
        <v>0</v>
      </c>
      <c r="S583" s="13">
        <v>0</v>
      </c>
      <c r="T583" s="13">
        <v>0</v>
      </c>
      <c r="U583" s="13">
        <v>0</v>
      </c>
      <c r="V583" s="5">
        <f t="shared" si="139"/>
        <v>5099.6780444217511</v>
      </c>
    </row>
    <row r="584" spans="1:22" ht="24" customHeight="1" x14ac:dyDescent="0.25">
      <c r="A584" s="21" t="s">
        <v>1475</v>
      </c>
      <c r="B584" s="27" t="s">
        <v>531</v>
      </c>
      <c r="C584" s="2">
        <f t="shared" si="137"/>
        <v>4172139.48</v>
      </c>
      <c r="D584" s="3">
        <f t="shared" si="138"/>
        <v>0</v>
      </c>
      <c r="E584" s="3">
        <v>0</v>
      </c>
      <c r="F584" s="3">
        <v>0</v>
      </c>
      <c r="G584" s="3">
        <v>0</v>
      </c>
      <c r="H584" s="3">
        <v>0</v>
      </c>
      <c r="I584" s="3">
        <v>0</v>
      </c>
      <c r="J584" s="3">
        <v>0</v>
      </c>
      <c r="K584" s="14">
        <v>0</v>
      </c>
      <c r="L584" s="13">
        <v>0</v>
      </c>
      <c r="M584" s="13">
        <v>758.87</v>
      </c>
      <c r="N584" s="3">
        <v>4172139.48</v>
      </c>
      <c r="O584" s="13">
        <v>0</v>
      </c>
      <c r="P584" s="13">
        <v>0</v>
      </c>
      <c r="Q584" s="13">
        <v>0</v>
      </c>
      <c r="R584" s="3">
        <f t="shared" si="141"/>
        <v>0</v>
      </c>
      <c r="S584" s="13">
        <v>0</v>
      </c>
      <c r="T584" s="13">
        <v>0</v>
      </c>
      <c r="U584" s="13">
        <v>0</v>
      </c>
      <c r="V584" s="5">
        <f t="shared" si="139"/>
        <v>5497.8316180637003</v>
      </c>
    </row>
    <row r="585" spans="1:22" ht="24" customHeight="1" x14ac:dyDescent="0.25">
      <c r="A585" s="21" t="s">
        <v>1476</v>
      </c>
      <c r="B585" s="28" t="s">
        <v>862</v>
      </c>
      <c r="C585" s="2">
        <f t="shared" si="137"/>
        <v>826594.88</v>
      </c>
      <c r="D585" s="3">
        <f t="shared" si="138"/>
        <v>0</v>
      </c>
      <c r="E585" s="3">
        <v>0</v>
      </c>
      <c r="F585" s="3">
        <v>0</v>
      </c>
      <c r="G585" s="3">
        <v>0</v>
      </c>
      <c r="H585" s="3">
        <v>0</v>
      </c>
      <c r="I585" s="3">
        <v>0</v>
      </c>
      <c r="J585" s="3">
        <v>0</v>
      </c>
      <c r="K585" s="4">
        <v>0</v>
      </c>
      <c r="L585" s="3">
        <v>0</v>
      </c>
      <c r="M585" s="3">
        <v>0</v>
      </c>
      <c r="N585" s="3">
        <v>0</v>
      </c>
      <c r="O585" s="3">
        <v>0</v>
      </c>
      <c r="P585" s="3">
        <v>0</v>
      </c>
      <c r="Q585" s="3">
        <v>0</v>
      </c>
      <c r="R585" s="3">
        <v>0</v>
      </c>
      <c r="S585" s="3">
        <v>0</v>
      </c>
      <c r="T585" s="3">
        <v>0</v>
      </c>
      <c r="U585" s="3">
        <v>826594.88</v>
      </c>
      <c r="V585" s="5" t="e">
        <f t="shared" si="139"/>
        <v>#DIV/0!</v>
      </c>
    </row>
    <row r="586" spans="1:22" ht="24" customHeight="1" x14ac:dyDescent="0.25">
      <c r="A586" s="21" t="s">
        <v>1477</v>
      </c>
      <c r="B586" s="24" t="s">
        <v>365</v>
      </c>
      <c r="C586" s="2">
        <f t="shared" si="137"/>
        <v>1004444.74</v>
      </c>
      <c r="D586" s="3">
        <f t="shared" si="138"/>
        <v>0</v>
      </c>
      <c r="E586" s="3">
        <v>0</v>
      </c>
      <c r="F586" s="3">
        <v>0</v>
      </c>
      <c r="G586" s="3">
        <v>0</v>
      </c>
      <c r="H586" s="3">
        <v>0</v>
      </c>
      <c r="I586" s="3">
        <v>0</v>
      </c>
      <c r="J586" s="3">
        <f>350*0</f>
        <v>0</v>
      </c>
      <c r="K586" s="4">
        <v>0</v>
      </c>
      <c r="L586" s="3">
        <v>0</v>
      </c>
      <c r="M586" s="3">
        <v>0</v>
      </c>
      <c r="N586" s="3">
        <v>0</v>
      </c>
      <c r="O586" s="3">
        <v>0</v>
      </c>
      <c r="P586" s="3">
        <v>0</v>
      </c>
      <c r="Q586" s="3">
        <v>0</v>
      </c>
      <c r="R586" s="3">
        <v>0</v>
      </c>
      <c r="S586" s="3">
        <v>0</v>
      </c>
      <c r="T586" s="3">
        <v>0</v>
      </c>
      <c r="U586" s="3">
        <v>1004444.74</v>
      </c>
      <c r="V586" s="5" t="e">
        <f t="shared" si="139"/>
        <v>#DIV/0!</v>
      </c>
    </row>
    <row r="587" spans="1:22" ht="24" customHeight="1" x14ac:dyDescent="0.25">
      <c r="A587" s="21" t="s">
        <v>1478</v>
      </c>
      <c r="B587" s="28" t="s">
        <v>1202</v>
      </c>
      <c r="C587" s="2">
        <f t="shared" si="137"/>
        <v>699625.2</v>
      </c>
      <c r="D587" s="3">
        <f t="shared" si="138"/>
        <v>0</v>
      </c>
      <c r="E587" s="3">
        <v>0</v>
      </c>
      <c r="F587" s="3">
        <v>0</v>
      </c>
      <c r="G587" s="3">
        <v>0</v>
      </c>
      <c r="H587" s="3">
        <v>0</v>
      </c>
      <c r="I587" s="3">
        <v>0</v>
      </c>
      <c r="J587" s="3">
        <v>0</v>
      </c>
      <c r="K587" s="4">
        <v>0</v>
      </c>
      <c r="L587" s="3">
        <v>0</v>
      </c>
      <c r="M587" s="3">
        <v>0</v>
      </c>
      <c r="N587" s="3">
        <v>0</v>
      </c>
      <c r="O587" s="3">
        <v>0</v>
      </c>
      <c r="P587" s="3">
        <v>0</v>
      </c>
      <c r="Q587" s="3">
        <v>0</v>
      </c>
      <c r="R587" s="3">
        <v>0</v>
      </c>
      <c r="S587" s="3">
        <v>0</v>
      </c>
      <c r="T587" s="3">
        <v>0</v>
      </c>
      <c r="U587" s="3">
        <v>699625.2</v>
      </c>
      <c r="V587" s="5" t="e">
        <f t="shared" si="139"/>
        <v>#DIV/0!</v>
      </c>
    </row>
    <row r="588" spans="1:22" ht="24" customHeight="1" x14ac:dyDescent="0.25">
      <c r="A588" s="21" t="s">
        <v>1479</v>
      </c>
      <c r="B588" s="24" t="s">
        <v>383</v>
      </c>
      <c r="C588" s="2">
        <f t="shared" si="137"/>
        <v>651201.6</v>
      </c>
      <c r="D588" s="3">
        <f t="shared" si="138"/>
        <v>651201.6</v>
      </c>
      <c r="E588" s="3">
        <v>150174</v>
      </c>
      <c r="F588" s="3">
        <v>384060</v>
      </c>
      <c r="G588" s="3">
        <v>42307.199999999997</v>
      </c>
      <c r="H588" s="3">
        <v>0</v>
      </c>
      <c r="I588" s="3">
        <v>74660.399999999994</v>
      </c>
      <c r="J588" s="3">
        <f>350*0</f>
        <v>0</v>
      </c>
      <c r="K588" s="4">
        <v>0</v>
      </c>
      <c r="L588" s="3">
        <v>0</v>
      </c>
      <c r="M588" s="3">
        <v>0</v>
      </c>
      <c r="N588" s="3">
        <v>0</v>
      </c>
      <c r="O588" s="3">
        <v>0</v>
      </c>
      <c r="P588" s="3">
        <v>0</v>
      </c>
      <c r="Q588" s="3">
        <v>0</v>
      </c>
      <c r="R588" s="3">
        <v>0</v>
      </c>
      <c r="S588" s="3">
        <v>0</v>
      </c>
      <c r="T588" s="3">
        <v>0</v>
      </c>
      <c r="U588" s="3">
        <v>0</v>
      </c>
      <c r="V588" s="5" t="e">
        <f t="shared" si="139"/>
        <v>#DIV/0!</v>
      </c>
    </row>
    <row r="589" spans="1:22" ht="24" customHeight="1" x14ac:dyDescent="0.25">
      <c r="A589" s="21" t="s">
        <v>1480</v>
      </c>
      <c r="B589" s="24" t="s">
        <v>532</v>
      </c>
      <c r="C589" s="2">
        <f t="shared" si="137"/>
        <v>8278334.7200000007</v>
      </c>
      <c r="D589" s="3">
        <f t="shared" si="138"/>
        <v>0</v>
      </c>
      <c r="E589" s="3">
        <v>0</v>
      </c>
      <c r="F589" s="3">
        <v>0</v>
      </c>
      <c r="G589" s="3">
        <v>0</v>
      </c>
      <c r="H589" s="3">
        <v>0</v>
      </c>
      <c r="I589" s="3">
        <v>0</v>
      </c>
      <c r="J589" s="3">
        <v>0</v>
      </c>
      <c r="K589" s="14">
        <v>0</v>
      </c>
      <c r="L589" s="13">
        <v>0</v>
      </c>
      <c r="M589" s="13">
        <v>0</v>
      </c>
      <c r="N589" s="13">
        <v>0</v>
      </c>
      <c r="O589" s="13">
        <v>0</v>
      </c>
      <c r="P589" s="13">
        <v>0</v>
      </c>
      <c r="Q589" s="13">
        <v>2940</v>
      </c>
      <c r="R589" s="3">
        <v>7975676.4000000004</v>
      </c>
      <c r="S589" s="13">
        <v>0</v>
      </c>
      <c r="T589" s="13">
        <v>0</v>
      </c>
      <c r="U589" s="13">
        <v>302658.32</v>
      </c>
      <c r="V589" s="5" t="e">
        <f t="shared" si="139"/>
        <v>#DIV/0!</v>
      </c>
    </row>
    <row r="590" spans="1:22" ht="24" customHeight="1" x14ac:dyDescent="0.25">
      <c r="A590" s="21" t="s">
        <v>1481</v>
      </c>
      <c r="B590" s="24" t="s">
        <v>436</v>
      </c>
      <c r="C590" s="2">
        <f t="shared" si="137"/>
        <v>750416.4</v>
      </c>
      <c r="D590" s="3">
        <f t="shared" si="138"/>
        <v>750416.4</v>
      </c>
      <c r="E590" s="3">
        <v>750416.4</v>
      </c>
      <c r="F590" s="3">
        <v>0</v>
      </c>
      <c r="G590" s="3">
        <v>0</v>
      </c>
      <c r="H590" s="3">
        <v>0</v>
      </c>
      <c r="I590" s="3">
        <v>0</v>
      </c>
      <c r="J590" s="3">
        <f>350*0</f>
        <v>0</v>
      </c>
      <c r="K590" s="4">
        <v>0</v>
      </c>
      <c r="L590" s="3">
        <v>0</v>
      </c>
      <c r="M590" s="3">
        <v>0</v>
      </c>
      <c r="N590" s="3">
        <v>0</v>
      </c>
      <c r="O590" s="3">
        <v>0</v>
      </c>
      <c r="P590" s="3">
        <v>0</v>
      </c>
      <c r="Q590" s="3">
        <v>0</v>
      </c>
      <c r="R590" s="3">
        <v>0</v>
      </c>
      <c r="S590" s="3">
        <v>0</v>
      </c>
      <c r="T590" s="3">
        <v>0</v>
      </c>
      <c r="U590" s="3">
        <v>0</v>
      </c>
      <c r="V590" s="5" t="e">
        <f t="shared" si="139"/>
        <v>#DIV/0!</v>
      </c>
    </row>
    <row r="591" spans="1:22" ht="24" customHeight="1" x14ac:dyDescent="0.25">
      <c r="A591" s="21" t="s">
        <v>1482</v>
      </c>
      <c r="B591" s="24" t="s">
        <v>359</v>
      </c>
      <c r="C591" s="2">
        <f t="shared" si="137"/>
        <v>424722.41</v>
      </c>
      <c r="D591" s="3">
        <f t="shared" si="138"/>
        <v>0</v>
      </c>
      <c r="E591" s="3">
        <v>0</v>
      </c>
      <c r="F591" s="3">
        <v>0</v>
      </c>
      <c r="G591" s="3">
        <v>0</v>
      </c>
      <c r="H591" s="3">
        <v>0</v>
      </c>
      <c r="I591" s="3">
        <v>0</v>
      </c>
      <c r="J591" s="3">
        <v>0</v>
      </c>
      <c r="K591" s="4">
        <v>0</v>
      </c>
      <c r="L591" s="3">
        <v>0</v>
      </c>
      <c r="M591" s="3">
        <v>0</v>
      </c>
      <c r="N591" s="3">
        <v>0</v>
      </c>
      <c r="O591" s="3">
        <v>0</v>
      </c>
      <c r="P591" s="3">
        <v>0</v>
      </c>
      <c r="Q591" s="3">
        <v>0</v>
      </c>
      <c r="R591" s="3">
        <v>0</v>
      </c>
      <c r="S591" s="3">
        <v>0</v>
      </c>
      <c r="T591" s="3">
        <v>0</v>
      </c>
      <c r="U591" s="3">
        <v>424722.41</v>
      </c>
      <c r="V591" s="5" t="e">
        <f t="shared" si="139"/>
        <v>#DIV/0!</v>
      </c>
    </row>
    <row r="592" spans="1:22" ht="24" customHeight="1" x14ac:dyDescent="0.25">
      <c r="A592" s="21" t="s">
        <v>1483</v>
      </c>
      <c r="B592" s="27" t="s">
        <v>625</v>
      </c>
      <c r="C592" s="2">
        <f t="shared" si="137"/>
        <v>4639697.1399999997</v>
      </c>
      <c r="D592" s="3">
        <f t="shared" si="138"/>
        <v>0</v>
      </c>
      <c r="E592" s="3">
        <v>0</v>
      </c>
      <c r="F592" s="3">
        <v>0</v>
      </c>
      <c r="G592" s="3">
        <v>0</v>
      </c>
      <c r="H592" s="3">
        <v>0</v>
      </c>
      <c r="I592" s="3">
        <v>0</v>
      </c>
      <c r="J592" s="3">
        <v>0</v>
      </c>
      <c r="K592" s="14">
        <v>0</v>
      </c>
      <c r="L592" s="13">
        <v>0</v>
      </c>
      <c r="M592" s="13">
        <v>972</v>
      </c>
      <c r="N592" s="3">
        <v>4639697.1399999997</v>
      </c>
      <c r="O592" s="13">
        <v>0</v>
      </c>
      <c r="P592" s="13">
        <v>0</v>
      </c>
      <c r="Q592" s="13">
        <v>0</v>
      </c>
      <c r="R592" s="3">
        <f t="shared" ref="R592:R600" si="142">Q592*3000</f>
        <v>0</v>
      </c>
      <c r="S592" s="13">
        <v>0</v>
      </c>
      <c r="T592" s="13">
        <v>0</v>
      </c>
      <c r="U592" s="13">
        <v>0</v>
      </c>
      <c r="V592" s="5">
        <f t="shared" si="139"/>
        <v>4773.3509670781887</v>
      </c>
    </row>
    <row r="593" spans="1:22" ht="24" customHeight="1" x14ac:dyDescent="0.25">
      <c r="A593" s="21" t="s">
        <v>1484</v>
      </c>
      <c r="B593" s="24" t="s">
        <v>448</v>
      </c>
      <c r="C593" s="2">
        <f t="shared" si="137"/>
        <v>1897256</v>
      </c>
      <c r="D593" s="3">
        <f t="shared" si="138"/>
        <v>0</v>
      </c>
      <c r="E593" s="3">
        <v>0</v>
      </c>
      <c r="F593" s="3">
        <v>0</v>
      </c>
      <c r="G593" s="3">
        <v>0</v>
      </c>
      <c r="H593" s="3">
        <v>0</v>
      </c>
      <c r="I593" s="3">
        <v>0</v>
      </c>
      <c r="J593" s="3">
        <v>0</v>
      </c>
      <c r="K593" s="4">
        <v>0</v>
      </c>
      <c r="L593" s="3">
        <v>0</v>
      </c>
      <c r="M593" s="3">
        <v>382</v>
      </c>
      <c r="N593" s="3">
        <v>1897256</v>
      </c>
      <c r="O593" s="3">
        <v>0</v>
      </c>
      <c r="P593" s="3">
        <v>0</v>
      </c>
      <c r="Q593" s="3">
        <v>0</v>
      </c>
      <c r="R593" s="3">
        <f t="shared" si="142"/>
        <v>0</v>
      </c>
      <c r="S593" s="3">
        <v>0</v>
      </c>
      <c r="T593" s="13">
        <v>0</v>
      </c>
      <c r="U593" s="3">
        <v>0</v>
      </c>
      <c r="V593" s="5">
        <f t="shared" si="139"/>
        <v>4966.6387434554972</v>
      </c>
    </row>
    <row r="594" spans="1:22" ht="24" customHeight="1" x14ac:dyDescent="0.25">
      <c r="A594" s="21" t="s">
        <v>1485</v>
      </c>
      <c r="B594" s="24" t="s">
        <v>627</v>
      </c>
      <c r="C594" s="2">
        <f t="shared" si="137"/>
        <v>158458.43</v>
      </c>
      <c r="D594" s="3">
        <f t="shared" si="138"/>
        <v>0</v>
      </c>
      <c r="E594" s="3">
        <v>0</v>
      </c>
      <c r="F594" s="3">
        <v>0</v>
      </c>
      <c r="G594" s="3">
        <v>0</v>
      </c>
      <c r="H594" s="3">
        <v>0</v>
      </c>
      <c r="I594" s="3">
        <v>0</v>
      </c>
      <c r="J594" s="3">
        <v>0</v>
      </c>
      <c r="K594" s="14">
        <v>0</v>
      </c>
      <c r="L594" s="13">
        <v>0</v>
      </c>
      <c r="M594" s="13">
        <v>0</v>
      </c>
      <c r="N594" s="13">
        <v>0</v>
      </c>
      <c r="O594" s="13">
        <v>0</v>
      </c>
      <c r="P594" s="13">
        <v>0</v>
      </c>
      <c r="Q594" s="13">
        <v>0</v>
      </c>
      <c r="R594" s="3">
        <f t="shared" si="142"/>
        <v>0</v>
      </c>
      <c r="S594" s="13">
        <v>0</v>
      </c>
      <c r="T594" s="13">
        <v>0</v>
      </c>
      <c r="U594" s="13">
        <v>158458.43</v>
      </c>
      <c r="V594" s="5" t="e">
        <f t="shared" si="139"/>
        <v>#DIV/0!</v>
      </c>
    </row>
    <row r="595" spans="1:22" ht="24" customHeight="1" x14ac:dyDescent="0.25">
      <c r="A595" s="21" t="s">
        <v>1486</v>
      </c>
      <c r="B595" s="24" t="s">
        <v>533</v>
      </c>
      <c r="C595" s="2">
        <f t="shared" si="137"/>
        <v>212386.04</v>
      </c>
      <c r="D595" s="3">
        <f t="shared" si="138"/>
        <v>0</v>
      </c>
      <c r="E595" s="3">
        <v>0</v>
      </c>
      <c r="F595" s="3">
        <v>0</v>
      </c>
      <c r="G595" s="3">
        <v>0</v>
      </c>
      <c r="H595" s="3">
        <v>0</v>
      </c>
      <c r="I595" s="3">
        <v>0</v>
      </c>
      <c r="J595" s="3">
        <v>0</v>
      </c>
      <c r="K595" s="14">
        <v>0</v>
      </c>
      <c r="L595" s="13">
        <v>0</v>
      </c>
      <c r="M595" s="13">
        <v>0</v>
      </c>
      <c r="N595" s="13">
        <v>0</v>
      </c>
      <c r="O595" s="13">
        <v>0</v>
      </c>
      <c r="P595" s="13">
        <v>0</v>
      </c>
      <c r="Q595" s="13">
        <v>0</v>
      </c>
      <c r="R595" s="3">
        <f t="shared" si="142"/>
        <v>0</v>
      </c>
      <c r="S595" s="13">
        <v>0</v>
      </c>
      <c r="T595" s="13">
        <v>0</v>
      </c>
      <c r="U595" s="13">
        <v>212386.04</v>
      </c>
      <c r="V595" s="5" t="e">
        <f t="shared" si="139"/>
        <v>#DIV/0!</v>
      </c>
    </row>
    <row r="596" spans="1:22" ht="24" customHeight="1" x14ac:dyDescent="0.25">
      <c r="A596" s="21" t="s">
        <v>1487</v>
      </c>
      <c r="B596" s="24" t="s">
        <v>628</v>
      </c>
      <c r="C596" s="2">
        <f t="shared" si="137"/>
        <v>160243.18</v>
      </c>
      <c r="D596" s="3">
        <f t="shared" si="138"/>
        <v>0</v>
      </c>
      <c r="E596" s="3">
        <v>0</v>
      </c>
      <c r="F596" s="3">
        <v>0</v>
      </c>
      <c r="G596" s="3">
        <v>0</v>
      </c>
      <c r="H596" s="3">
        <v>0</v>
      </c>
      <c r="I596" s="3">
        <v>0</v>
      </c>
      <c r="J596" s="3">
        <v>0</v>
      </c>
      <c r="K596" s="14">
        <v>0</v>
      </c>
      <c r="L596" s="13">
        <v>0</v>
      </c>
      <c r="M596" s="13">
        <v>0</v>
      </c>
      <c r="N596" s="13">
        <v>0</v>
      </c>
      <c r="O596" s="13">
        <v>0</v>
      </c>
      <c r="P596" s="13">
        <v>0</v>
      </c>
      <c r="Q596" s="13">
        <v>0</v>
      </c>
      <c r="R596" s="3">
        <f t="shared" si="142"/>
        <v>0</v>
      </c>
      <c r="S596" s="13">
        <v>0</v>
      </c>
      <c r="T596" s="13">
        <v>0</v>
      </c>
      <c r="U596" s="13">
        <v>160243.18</v>
      </c>
      <c r="V596" s="5" t="e">
        <f t="shared" si="139"/>
        <v>#DIV/0!</v>
      </c>
    </row>
    <row r="597" spans="1:22" ht="24" customHeight="1" x14ac:dyDescent="0.25">
      <c r="A597" s="21" t="s">
        <v>1488</v>
      </c>
      <c r="B597" s="24" t="s">
        <v>629</v>
      </c>
      <c r="C597" s="2">
        <f t="shared" si="137"/>
        <v>1083335.45</v>
      </c>
      <c r="D597" s="3">
        <f t="shared" si="138"/>
        <v>923560.8</v>
      </c>
      <c r="E597" s="3">
        <v>0</v>
      </c>
      <c r="F597" s="3">
        <v>755986.8</v>
      </c>
      <c r="G597" s="3">
        <v>94737.600000000006</v>
      </c>
      <c r="H597" s="3">
        <v>0</v>
      </c>
      <c r="I597" s="3">
        <v>72836.399999999994</v>
      </c>
      <c r="J597" s="3">
        <v>0</v>
      </c>
      <c r="K597" s="14">
        <v>0</v>
      </c>
      <c r="L597" s="13">
        <v>0</v>
      </c>
      <c r="M597" s="13">
        <v>0</v>
      </c>
      <c r="N597" s="13">
        <v>0</v>
      </c>
      <c r="O597" s="13">
        <v>0</v>
      </c>
      <c r="P597" s="13">
        <v>0</v>
      </c>
      <c r="Q597" s="13">
        <v>0</v>
      </c>
      <c r="R597" s="3">
        <f t="shared" si="142"/>
        <v>0</v>
      </c>
      <c r="S597" s="13">
        <v>0</v>
      </c>
      <c r="T597" s="13">
        <v>0</v>
      </c>
      <c r="U597" s="13">
        <v>159774.65</v>
      </c>
      <c r="V597" s="5" t="e">
        <f t="shared" si="139"/>
        <v>#DIV/0!</v>
      </c>
    </row>
    <row r="598" spans="1:22" ht="24" customHeight="1" x14ac:dyDescent="0.25">
      <c r="A598" s="21" t="s">
        <v>1489</v>
      </c>
      <c r="B598" s="24" t="s">
        <v>534</v>
      </c>
      <c r="C598" s="2">
        <f t="shared" si="137"/>
        <v>87269.8</v>
      </c>
      <c r="D598" s="3">
        <f t="shared" si="138"/>
        <v>0</v>
      </c>
      <c r="E598" s="3">
        <v>0</v>
      </c>
      <c r="F598" s="3">
        <v>0</v>
      </c>
      <c r="G598" s="3">
        <v>0</v>
      </c>
      <c r="H598" s="3">
        <v>0</v>
      </c>
      <c r="I598" s="3">
        <v>0</v>
      </c>
      <c r="J598" s="3">
        <v>0</v>
      </c>
      <c r="K598" s="14">
        <v>0</v>
      </c>
      <c r="L598" s="13">
        <v>0</v>
      </c>
      <c r="M598" s="13">
        <v>0</v>
      </c>
      <c r="N598" s="3">
        <f>M598*5500</f>
        <v>0</v>
      </c>
      <c r="O598" s="13">
        <v>0</v>
      </c>
      <c r="P598" s="13">
        <v>0</v>
      </c>
      <c r="Q598" s="13">
        <v>0</v>
      </c>
      <c r="R598" s="3">
        <f t="shared" si="142"/>
        <v>0</v>
      </c>
      <c r="S598" s="13">
        <v>0</v>
      </c>
      <c r="T598" s="13">
        <v>0</v>
      </c>
      <c r="U598" s="13">
        <v>87269.8</v>
      </c>
      <c r="V598" s="5" t="e">
        <f t="shared" si="139"/>
        <v>#DIV/0!</v>
      </c>
    </row>
    <row r="599" spans="1:22" ht="24" customHeight="1" x14ac:dyDescent="0.25">
      <c r="A599" s="21" t="s">
        <v>1490</v>
      </c>
      <c r="B599" s="24" t="s">
        <v>630</v>
      </c>
      <c r="C599" s="2">
        <f t="shared" si="137"/>
        <v>1394305.44</v>
      </c>
      <c r="D599" s="3">
        <f t="shared" si="138"/>
        <v>0</v>
      </c>
      <c r="E599" s="3">
        <v>0</v>
      </c>
      <c r="F599" s="3">
        <v>0</v>
      </c>
      <c r="G599" s="3">
        <v>0</v>
      </c>
      <c r="H599" s="3">
        <v>0</v>
      </c>
      <c r="I599" s="3">
        <v>0</v>
      </c>
      <c r="J599" s="3">
        <v>0</v>
      </c>
      <c r="K599" s="14">
        <v>0</v>
      </c>
      <c r="L599" s="13">
        <v>0</v>
      </c>
      <c r="M599" s="13">
        <v>255.11</v>
      </c>
      <c r="N599" s="3">
        <v>1394305.44</v>
      </c>
      <c r="O599" s="13">
        <v>0</v>
      </c>
      <c r="P599" s="13">
        <v>0</v>
      </c>
      <c r="Q599" s="13">
        <v>0</v>
      </c>
      <c r="R599" s="3">
        <f t="shared" si="142"/>
        <v>0</v>
      </c>
      <c r="S599" s="13">
        <v>0</v>
      </c>
      <c r="T599" s="13">
        <v>0</v>
      </c>
      <c r="U599" s="13">
        <v>0</v>
      </c>
      <c r="V599" s="5">
        <f t="shared" si="139"/>
        <v>5465.5068009878087</v>
      </c>
    </row>
    <row r="600" spans="1:22" ht="24" customHeight="1" x14ac:dyDescent="0.25">
      <c r="A600" s="21" t="s">
        <v>1491</v>
      </c>
      <c r="B600" s="24" t="s">
        <v>535</v>
      </c>
      <c r="C600" s="2">
        <f t="shared" si="137"/>
        <v>1768084.63</v>
      </c>
      <c r="D600" s="3">
        <f t="shared" si="138"/>
        <v>0</v>
      </c>
      <c r="E600" s="3">
        <v>0</v>
      </c>
      <c r="F600" s="3">
        <v>0</v>
      </c>
      <c r="G600" s="3">
        <v>0</v>
      </c>
      <c r="H600" s="3">
        <v>0</v>
      </c>
      <c r="I600" s="3">
        <v>0</v>
      </c>
      <c r="J600" s="3">
        <v>0</v>
      </c>
      <c r="K600" s="14">
        <v>0</v>
      </c>
      <c r="L600" s="13">
        <v>0</v>
      </c>
      <c r="M600" s="13">
        <v>321.47000000000003</v>
      </c>
      <c r="N600" s="3">
        <v>1768084.63</v>
      </c>
      <c r="O600" s="13">
        <v>0</v>
      </c>
      <c r="P600" s="13">
        <v>0</v>
      </c>
      <c r="Q600" s="13">
        <v>0</v>
      </c>
      <c r="R600" s="3">
        <f t="shared" si="142"/>
        <v>0</v>
      </c>
      <c r="S600" s="13">
        <v>0</v>
      </c>
      <c r="T600" s="13">
        <v>0</v>
      </c>
      <c r="U600" s="13">
        <v>0</v>
      </c>
      <c r="V600" s="5">
        <f t="shared" si="139"/>
        <v>5499.9988490372343</v>
      </c>
    </row>
    <row r="601" spans="1:22" ht="24" customHeight="1" x14ac:dyDescent="0.25">
      <c r="A601" s="21" t="s">
        <v>1492</v>
      </c>
      <c r="B601" s="24" t="s">
        <v>438</v>
      </c>
      <c r="C601" s="2">
        <f t="shared" si="137"/>
        <v>3897065.38</v>
      </c>
      <c r="D601" s="3">
        <f t="shared" si="138"/>
        <v>0</v>
      </c>
      <c r="E601" s="3">
        <v>0</v>
      </c>
      <c r="F601" s="3">
        <v>0</v>
      </c>
      <c r="G601" s="3">
        <v>0</v>
      </c>
      <c r="H601" s="3">
        <v>0</v>
      </c>
      <c r="I601" s="3">
        <v>0</v>
      </c>
      <c r="J601" s="3">
        <v>0</v>
      </c>
      <c r="K601" s="4">
        <v>0</v>
      </c>
      <c r="L601" s="3">
        <v>0</v>
      </c>
      <c r="M601" s="3">
        <v>853.34</v>
      </c>
      <c r="N601" s="3">
        <v>3897065.38</v>
      </c>
      <c r="O601" s="3">
        <v>0</v>
      </c>
      <c r="P601" s="3">
        <v>0</v>
      </c>
      <c r="Q601" s="3">
        <v>0</v>
      </c>
      <c r="R601" s="3">
        <v>0</v>
      </c>
      <c r="S601" s="3">
        <v>0</v>
      </c>
      <c r="T601" s="3">
        <v>0</v>
      </c>
      <c r="U601" s="3">
        <v>0</v>
      </c>
      <c r="V601" s="5">
        <f t="shared" si="139"/>
        <v>4566.8378137670798</v>
      </c>
    </row>
    <row r="602" spans="1:22" ht="24" customHeight="1" x14ac:dyDescent="0.25">
      <c r="A602" s="21" t="s">
        <v>1493</v>
      </c>
      <c r="B602" s="24" t="s">
        <v>632</v>
      </c>
      <c r="C602" s="2">
        <f t="shared" si="137"/>
        <v>2279200</v>
      </c>
      <c r="D602" s="3">
        <f t="shared" si="138"/>
        <v>0</v>
      </c>
      <c r="E602" s="3">
        <v>0</v>
      </c>
      <c r="F602" s="3">
        <v>0</v>
      </c>
      <c r="G602" s="3">
        <v>0</v>
      </c>
      <c r="H602" s="3">
        <v>0</v>
      </c>
      <c r="I602" s="3">
        <v>0</v>
      </c>
      <c r="J602" s="3">
        <v>0</v>
      </c>
      <c r="K602" s="14">
        <v>0</v>
      </c>
      <c r="L602" s="13">
        <v>0</v>
      </c>
      <c r="M602" s="13">
        <v>414.4</v>
      </c>
      <c r="N602" s="3">
        <v>2279200</v>
      </c>
      <c r="O602" s="13">
        <v>0</v>
      </c>
      <c r="P602" s="13">
        <v>0</v>
      </c>
      <c r="Q602" s="13">
        <v>0</v>
      </c>
      <c r="R602" s="3">
        <f>Q602*3000</f>
        <v>0</v>
      </c>
      <c r="S602" s="13">
        <v>0</v>
      </c>
      <c r="T602" s="13">
        <v>0</v>
      </c>
      <c r="U602" s="13">
        <v>0</v>
      </c>
      <c r="V602" s="5">
        <f t="shared" si="139"/>
        <v>5500</v>
      </c>
    </row>
    <row r="603" spans="1:22" ht="24" customHeight="1" x14ac:dyDescent="0.25">
      <c r="A603" s="21" t="s">
        <v>1494</v>
      </c>
      <c r="B603" s="28" t="s">
        <v>882</v>
      </c>
      <c r="C603" s="2">
        <f t="shared" si="137"/>
        <v>2310657</v>
      </c>
      <c r="D603" s="3">
        <f t="shared" si="138"/>
        <v>0</v>
      </c>
      <c r="E603" s="3">
        <v>0</v>
      </c>
      <c r="F603" s="3">
        <v>0</v>
      </c>
      <c r="G603" s="3">
        <v>0</v>
      </c>
      <c r="H603" s="3">
        <v>0</v>
      </c>
      <c r="I603" s="3">
        <v>0</v>
      </c>
      <c r="J603" s="3">
        <v>0</v>
      </c>
      <c r="K603" s="4">
        <v>0</v>
      </c>
      <c r="L603" s="3">
        <v>0</v>
      </c>
      <c r="M603" s="3">
        <v>461.3</v>
      </c>
      <c r="N603" s="3">
        <v>2310657</v>
      </c>
      <c r="O603" s="3">
        <v>0</v>
      </c>
      <c r="P603" s="3">
        <v>0</v>
      </c>
      <c r="Q603" s="3">
        <v>0</v>
      </c>
      <c r="R603" s="3">
        <v>0</v>
      </c>
      <c r="S603" s="3">
        <v>0</v>
      </c>
      <c r="T603" s="3">
        <v>0</v>
      </c>
      <c r="U603" s="3">
        <v>0</v>
      </c>
      <c r="V603" s="5">
        <f t="shared" si="139"/>
        <v>5009.0114892694555</v>
      </c>
    </row>
    <row r="604" spans="1:22" ht="24" customHeight="1" x14ac:dyDescent="0.25">
      <c r="A604" s="21" t="s">
        <v>1495</v>
      </c>
      <c r="B604" s="24" t="s">
        <v>409</v>
      </c>
      <c r="C604" s="2">
        <f t="shared" si="137"/>
        <v>5722137.5499999998</v>
      </c>
      <c r="D604" s="3">
        <f t="shared" si="138"/>
        <v>2008053.29</v>
      </c>
      <c r="E604" s="3">
        <v>547907.69999999995</v>
      </c>
      <c r="F604" s="3">
        <v>1284033.57</v>
      </c>
      <c r="G604" s="3">
        <v>81922.33</v>
      </c>
      <c r="H604" s="3">
        <v>0</v>
      </c>
      <c r="I604" s="3">
        <v>94189.69</v>
      </c>
      <c r="J604" s="3">
        <f>350*0</f>
        <v>0</v>
      </c>
      <c r="K604" s="4">
        <v>0</v>
      </c>
      <c r="L604" s="3">
        <v>0</v>
      </c>
      <c r="M604" s="3">
        <v>0</v>
      </c>
      <c r="N604" s="3">
        <v>0</v>
      </c>
      <c r="O604" s="3">
        <v>0</v>
      </c>
      <c r="P604" s="3">
        <v>0</v>
      </c>
      <c r="Q604" s="3">
        <v>1462.5</v>
      </c>
      <c r="R604" s="3">
        <v>3515084.26</v>
      </c>
      <c r="S604" s="3">
        <v>0</v>
      </c>
      <c r="T604" s="3">
        <v>0</v>
      </c>
      <c r="U604" s="3">
        <v>199000</v>
      </c>
      <c r="V604" s="5" t="e">
        <f t="shared" si="139"/>
        <v>#DIV/0!</v>
      </c>
    </row>
    <row r="605" spans="1:22" ht="24" customHeight="1" x14ac:dyDescent="0.25">
      <c r="A605" s="21" t="s">
        <v>1496</v>
      </c>
      <c r="B605" s="24" t="s">
        <v>636</v>
      </c>
      <c r="C605" s="2">
        <f t="shared" si="137"/>
        <v>1341562.31</v>
      </c>
      <c r="D605" s="3">
        <f t="shared" si="138"/>
        <v>0</v>
      </c>
      <c r="E605" s="3">
        <v>0</v>
      </c>
      <c r="F605" s="3">
        <v>0</v>
      </c>
      <c r="G605" s="3">
        <v>0</v>
      </c>
      <c r="H605" s="3">
        <v>0</v>
      </c>
      <c r="I605" s="3">
        <v>0</v>
      </c>
      <c r="J605" s="3">
        <v>0</v>
      </c>
      <c r="K605" s="14">
        <v>0</v>
      </c>
      <c r="L605" s="13">
        <v>0</v>
      </c>
      <c r="M605" s="13">
        <v>254.8</v>
      </c>
      <c r="N605" s="3">
        <v>1341562.31</v>
      </c>
      <c r="O605" s="13">
        <v>0</v>
      </c>
      <c r="P605" s="13">
        <v>0</v>
      </c>
      <c r="Q605" s="13">
        <v>0</v>
      </c>
      <c r="R605" s="3">
        <f t="shared" ref="R605:R626" si="143">Q605*3000</f>
        <v>0</v>
      </c>
      <c r="S605" s="13">
        <v>0</v>
      </c>
      <c r="T605" s="13">
        <v>0</v>
      </c>
      <c r="U605" s="13">
        <v>0</v>
      </c>
      <c r="V605" s="5">
        <f t="shared" si="139"/>
        <v>5265.1582025117741</v>
      </c>
    </row>
    <row r="606" spans="1:22" ht="24" customHeight="1" x14ac:dyDescent="0.25">
      <c r="A606" s="21" t="s">
        <v>1497</v>
      </c>
      <c r="B606" s="24" t="s">
        <v>633</v>
      </c>
      <c r="C606" s="2">
        <f t="shared" si="137"/>
        <v>84898.94</v>
      </c>
      <c r="D606" s="3">
        <f t="shared" si="138"/>
        <v>0</v>
      </c>
      <c r="E606" s="3">
        <v>0</v>
      </c>
      <c r="F606" s="3">
        <v>0</v>
      </c>
      <c r="G606" s="3">
        <v>0</v>
      </c>
      <c r="H606" s="3">
        <v>0</v>
      </c>
      <c r="I606" s="3">
        <v>0</v>
      </c>
      <c r="J606" s="3">
        <v>0</v>
      </c>
      <c r="K606" s="14">
        <v>0</v>
      </c>
      <c r="L606" s="13">
        <v>0</v>
      </c>
      <c r="M606" s="13">
        <v>0</v>
      </c>
      <c r="N606" s="3">
        <v>0</v>
      </c>
      <c r="O606" s="13">
        <v>0</v>
      </c>
      <c r="P606" s="13">
        <v>0</v>
      </c>
      <c r="Q606" s="13">
        <v>0</v>
      </c>
      <c r="R606" s="3">
        <f t="shared" si="143"/>
        <v>0</v>
      </c>
      <c r="S606" s="13">
        <v>0</v>
      </c>
      <c r="T606" s="13">
        <v>0</v>
      </c>
      <c r="U606" s="13">
        <v>84898.94</v>
      </c>
      <c r="V606" s="5" t="e">
        <f t="shared" si="139"/>
        <v>#DIV/0!</v>
      </c>
    </row>
    <row r="607" spans="1:22" ht="24" customHeight="1" x14ac:dyDescent="0.25">
      <c r="A607" s="21" t="s">
        <v>1498</v>
      </c>
      <c r="B607" s="24" t="s">
        <v>634</v>
      </c>
      <c r="C607" s="2">
        <f t="shared" si="137"/>
        <v>1392424</v>
      </c>
      <c r="D607" s="3">
        <f t="shared" si="138"/>
        <v>0</v>
      </c>
      <c r="E607" s="3">
        <v>0</v>
      </c>
      <c r="F607" s="3">
        <v>0</v>
      </c>
      <c r="G607" s="3">
        <v>0</v>
      </c>
      <c r="H607" s="3">
        <v>0</v>
      </c>
      <c r="I607" s="3">
        <v>0</v>
      </c>
      <c r="J607" s="3">
        <v>0</v>
      </c>
      <c r="K607" s="14">
        <v>0</v>
      </c>
      <c r="L607" s="13">
        <v>0</v>
      </c>
      <c r="M607" s="13">
        <v>258.5</v>
      </c>
      <c r="N607" s="3">
        <v>1392424</v>
      </c>
      <c r="O607" s="13">
        <v>0</v>
      </c>
      <c r="P607" s="13">
        <v>0</v>
      </c>
      <c r="Q607" s="13">
        <v>0</v>
      </c>
      <c r="R607" s="3">
        <f t="shared" si="143"/>
        <v>0</v>
      </c>
      <c r="S607" s="13">
        <v>0</v>
      </c>
      <c r="T607" s="13">
        <v>0</v>
      </c>
      <c r="U607" s="13">
        <v>0</v>
      </c>
      <c r="V607" s="5">
        <f t="shared" si="139"/>
        <v>5386.5531914893618</v>
      </c>
    </row>
    <row r="608" spans="1:22" ht="24" customHeight="1" x14ac:dyDescent="0.25">
      <c r="A608" s="21" t="s">
        <v>1499</v>
      </c>
      <c r="B608" s="24" t="s">
        <v>635</v>
      </c>
      <c r="C608" s="2">
        <f t="shared" si="137"/>
        <v>1377172.24</v>
      </c>
      <c r="D608" s="3">
        <f t="shared" si="138"/>
        <v>0</v>
      </c>
      <c r="E608" s="3">
        <v>0</v>
      </c>
      <c r="F608" s="3">
        <v>0</v>
      </c>
      <c r="G608" s="3">
        <v>0</v>
      </c>
      <c r="H608" s="3">
        <v>0</v>
      </c>
      <c r="I608" s="3">
        <v>0</v>
      </c>
      <c r="J608" s="3">
        <v>0</v>
      </c>
      <c r="K608" s="14">
        <v>0</v>
      </c>
      <c r="L608" s="13">
        <v>0</v>
      </c>
      <c r="M608" s="13">
        <v>258</v>
      </c>
      <c r="N608" s="3">
        <v>1377172.24</v>
      </c>
      <c r="O608" s="13">
        <v>0</v>
      </c>
      <c r="P608" s="13">
        <v>0</v>
      </c>
      <c r="Q608" s="13">
        <v>0</v>
      </c>
      <c r="R608" s="3">
        <f t="shared" si="143"/>
        <v>0</v>
      </c>
      <c r="S608" s="13">
        <v>0</v>
      </c>
      <c r="T608" s="13">
        <v>0</v>
      </c>
      <c r="U608" s="13">
        <v>0</v>
      </c>
      <c r="V608" s="5">
        <f t="shared" si="139"/>
        <v>5337.876899224806</v>
      </c>
    </row>
    <row r="609" spans="1:22" ht="24" customHeight="1" x14ac:dyDescent="0.25">
      <c r="A609" s="21" t="s">
        <v>1500</v>
      </c>
      <c r="B609" s="24" t="s">
        <v>544</v>
      </c>
      <c r="C609" s="2">
        <f t="shared" si="137"/>
        <v>2038405</v>
      </c>
      <c r="D609" s="3">
        <f t="shared" si="138"/>
        <v>0</v>
      </c>
      <c r="E609" s="3">
        <v>0</v>
      </c>
      <c r="F609" s="3">
        <v>0</v>
      </c>
      <c r="G609" s="3">
        <v>0</v>
      </c>
      <c r="H609" s="3">
        <v>0</v>
      </c>
      <c r="I609" s="3">
        <v>0</v>
      </c>
      <c r="J609" s="3">
        <v>0</v>
      </c>
      <c r="K609" s="14">
        <v>0</v>
      </c>
      <c r="L609" s="13">
        <v>0</v>
      </c>
      <c r="M609" s="13">
        <v>374.56</v>
      </c>
      <c r="N609" s="3">
        <v>2038405</v>
      </c>
      <c r="O609" s="13">
        <v>0</v>
      </c>
      <c r="P609" s="13">
        <v>0</v>
      </c>
      <c r="Q609" s="13">
        <v>0</v>
      </c>
      <c r="R609" s="3">
        <f t="shared" si="143"/>
        <v>0</v>
      </c>
      <c r="S609" s="13">
        <v>0</v>
      </c>
      <c r="T609" s="13">
        <v>0</v>
      </c>
      <c r="U609" s="13">
        <v>0</v>
      </c>
      <c r="V609" s="5">
        <f t="shared" si="139"/>
        <v>5442.1321016659549</v>
      </c>
    </row>
    <row r="610" spans="1:22" ht="24" customHeight="1" x14ac:dyDescent="0.25">
      <c r="A610" s="21" t="s">
        <v>1501</v>
      </c>
      <c r="B610" s="24" t="s">
        <v>545</v>
      </c>
      <c r="C610" s="2">
        <f t="shared" si="137"/>
        <v>2076196</v>
      </c>
      <c r="D610" s="3">
        <f t="shared" si="138"/>
        <v>0</v>
      </c>
      <c r="E610" s="3">
        <v>0</v>
      </c>
      <c r="F610" s="3">
        <v>0</v>
      </c>
      <c r="G610" s="3">
        <v>0</v>
      </c>
      <c r="H610" s="3">
        <v>0</v>
      </c>
      <c r="I610" s="3">
        <v>0</v>
      </c>
      <c r="J610" s="3">
        <v>0</v>
      </c>
      <c r="K610" s="14">
        <v>0</v>
      </c>
      <c r="L610" s="13">
        <v>0</v>
      </c>
      <c r="M610" s="13">
        <v>377.63</v>
      </c>
      <c r="N610" s="3">
        <v>2076196</v>
      </c>
      <c r="O610" s="13">
        <v>0</v>
      </c>
      <c r="P610" s="13">
        <v>0</v>
      </c>
      <c r="Q610" s="13">
        <v>0</v>
      </c>
      <c r="R610" s="3">
        <f t="shared" si="143"/>
        <v>0</v>
      </c>
      <c r="S610" s="13">
        <v>0</v>
      </c>
      <c r="T610" s="13">
        <v>0</v>
      </c>
      <c r="U610" s="13">
        <v>0</v>
      </c>
      <c r="V610" s="5">
        <f t="shared" si="139"/>
        <v>5497.9636151788791</v>
      </c>
    </row>
    <row r="611" spans="1:22" ht="24" customHeight="1" x14ac:dyDescent="0.25">
      <c r="A611" s="21" t="s">
        <v>1502</v>
      </c>
      <c r="B611" s="24" t="s">
        <v>537</v>
      </c>
      <c r="C611" s="2">
        <f t="shared" si="137"/>
        <v>2326115</v>
      </c>
      <c r="D611" s="3">
        <f t="shared" si="138"/>
        <v>0</v>
      </c>
      <c r="E611" s="3">
        <v>0</v>
      </c>
      <c r="F611" s="3">
        <v>0</v>
      </c>
      <c r="G611" s="3">
        <v>0</v>
      </c>
      <c r="H611" s="3">
        <v>0</v>
      </c>
      <c r="I611" s="3">
        <v>0</v>
      </c>
      <c r="J611" s="3">
        <v>0</v>
      </c>
      <c r="K611" s="14">
        <v>0</v>
      </c>
      <c r="L611" s="13">
        <v>0</v>
      </c>
      <c r="M611" s="13">
        <v>434.8</v>
      </c>
      <c r="N611" s="3">
        <v>2326115</v>
      </c>
      <c r="O611" s="13">
        <v>0</v>
      </c>
      <c r="P611" s="13">
        <v>0</v>
      </c>
      <c r="Q611" s="13">
        <v>0</v>
      </c>
      <c r="R611" s="3">
        <f t="shared" si="143"/>
        <v>0</v>
      </c>
      <c r="S611" s="13">
        <v>0</v>
      </c>
      <c r="T611" s="13">
        <v>0</v>
      </c>
      <c r="U611" s="13">
        <v>0</v>
      </c>
      <c r="V611" s="5">
        <f t="shared" si="139"/>
        <v>5349.8505059797608</v>
      </c>
    </row>
    <row r="612" spans="1:22" ht="24" customHeight="1" x14ac:dyDescent="0.25">
      <c r="A612" s="21" t="s">
        <v>1503</v>
      </c>
      <c r="B612" s="24" t="s">
        <v>637</v>
      </c>
      <c r="C612" s="2">
        <f t="shared" si="137"/>
        <v>84299.839999999997</v>
      </c>
      <c r="D612" s="3">
        <f t="shared" si="138"/>
        <v>0</v>
      </c>
      <c r="E612" s="3">
        <v>0</v>
      </c>
      <c r="F612" s="3">
        <v>0</v>
      </c>
      <c r="G612" s="3">
        <v>0</v>
      </c>
      <c r="H612" s="3">
        <v>0</v>
      </c>
      <c r="I612" s="3">
        <v>0</v>
      </c>
      <c r="J612" s="3">
        <v>0</v>
      </c>
      <c r="K612" s="14">
        <v>0</v>
      </c>
      <c r="L612" s="13">
        <v>0</v>
      </c>
      <c r="M612" s="13">
        <v>0</v>
      </c>
      <c r="N612" s="3">
        <f>M612*5500</f>
        <v>0</v>
      </c>
      <c r="O612" s="13">
        <v>0</v>
      </c>
      <c r="P612" s="13">
        <v>0</v>
      </c>
      <c r="Q612" s="13">
        <v>0</v>
      </c>
      <c r="R612" s="3">
        <f t="shared" si="143"/>
        <v>0</v>
      </c>
      <c r="S612" s="13">
        <v>0</v>
      </c>
      <c r="T612" s="13">
        <v>0</v>
      </c>
      <c r="U612" s="13">
        <v>84299.839999999997</v>
      </c>
      <c r="V612" s="5" t="e">
        <f t="shared" si="139"/>
        <v>#DIV/0!</v>
      </c>
    </row>
    <row r="613" spans="1:22" ht="24" customHeight="1" x14ac:dyDescent="0.25">
      <c r="A613" s="21" t="s">
        <v>1504</v>
      </c>
      <c r="B613" s="24" t="s">
        <v>638</v>
      </c>
      <c r="C613" s="2">
        <f t="shared" si="137"/>
        <v>82469.55</v>
      </c>
      <c r="D613" s="3">
        <f t="shared" si="138"/>
        <v>0</v>
      </c>
      <c r="E613" s="3">
        <v>0</v>
      </c>
      <c r="F613" s="3">
        <v>0</v>
      </c>
      <c r="G613" s="3">
        <v>0</v>
      </c>
      <c r="H613" s="3">
        <v>0</v>
      </c>
      <c r="I613" s="3">
        <v>0</v>
      </c>
      <c r="J613" s="3">
        <v>0</v>
      </c>
      <c r="K613" s="14">
        <v>0</v>
      </c>
      <c r="L613" s="13">
        <v>0</v>
      </c>
      <c r="M613" s="13">
        <v>0</v>
      </c>
      <c r="N613" s="3">
        <f>M613*5500</f>
        <v>0</v>
      </c>
      <c r="O613" s="13">
        <v>0</v>
      </c>
      <c r="P613" s="13">
        <v>0</v>
      </c>
      <c r="Q613" s="13">
        <v>0</v>
      </c>
      <c r="R613" s="3">
        <f t="shared" si="143"/>
        <v>0</v>
      </c>
      <c r="S613" s="13">
        <v>0</v>
      </c>
      <c r="T613" s="13">
        <v>0</v>
      </c>
      <c r="U613" s="13">
        <v>82469.55</v>
      </c>
      <c r="V613" s="5" t="e">
        <f t="shared" si="139"/>
        <v>#DIV/0!</v>
      </c>
    </row>
    <row r="614" spans="1:22" ht="24" customHeight="1" x14ac:dyDescent="0.25">
      <c r="A614" s="21" t="s">
        <v>1505</v>
      </c>
      <c r="B614" s="24" t="s">
        <v>639</v>
      </c>
      <c r="C614" s="2">
        <f t="shared" si="137"/>
        <v>83697.460000000006</v>
      </c>
      <c r="D614" s="3">
        <f t="shared" si="138"/>
        <v>0</v>
      </c>
      <c r="E614" s="3">
        <v>0</v>
      </c>
      <c r="F614" s="3">
        <v>0</v>
      </c>
      <c r="G614" s="3">
        <v>0</v>
      </c>
      <c r="H614" s="3">
        <v>0</v>
      </c>
      <c r="I614" s="3">
        <v>0</v>
      </c>
      <c r="J614" s="3">
        <v>0</v>
      </c>
      <c r="K614" s="14">
        <v>0</v>
      </c>
      <c r="L614" s="13">
        <v>0</v>
      </c>
      <c r="M614" s="13">
        <v>0</v>
      </c>
      <c r="N614" s="3">
        <f>M614*5500</f>
        <v>0</v>
      </c>
      <c r="O614" s="13">
        <v>0</v>
      </c>
      <c r="P614" s="13">
        <v>0</v>
      </c>
      <c r="Q614" s="13">
        <v>0</v>
      </c>
      <c r="R614" s="3">
        <f t="shared" si="143"/>
        <v>0</v>
      </c>
      <c r="S614" s="13">
        <v>0</v>
      </c>
      <c r="T614" s="13">
        <v>0</v>
      </c>
      <c r="U614" s="13">
        <v>83697.460000000006</v>
      </c>
      <c r="V614" s="5" t="e">
        <f t="shared" si="139"/>
        <v>#DIV/0!</v>
      </c>
    </row>
    <row r="615" spans="1:22" ht="24" customHeight="1" x14ac:dyDescent="0.25">
      <c r="A615" s="21" t="s">
        <v>1506</v>
      </c>
      <c r="B615" s="24" t="s">
        <v>640</v>
      </c>
      <c r="C615" s="2">
        <f t="shared" si="137"/>
        <v>1805462.52</v>
      </c>
      <c r="D615" s="3">
        <f t="shared" si="138"/>
        <v>0</v>
      </c>
      <c r="E615" s="3">
        <v>0</v>
      </c>
      <c r="F615" s="3">
        <v>0</v>
      </c>
      <c r="G615" s="3">
        <v>0</v>
      </c>
      <c r="H615" s="3">
        <v>0</v>
      </c>
      <c r="I615" s="3">
        <v>0</v>
      </c>
      <c r="J615" s="3">
        <v>0</v>
      </c>
      <c r="K615" s="14">
        <v>0</v>
      </c>
      <c r="L615" s="13">
        <v>0</v>
      </c>
      <c r="M615" s="13">
        <v>399</v>
      </c>
      <c r="N615" s="3">
        <v>1805462.52</v>
      </c>
      <c r="O615" s="13">
        <v>0</v>
      </c>
      <c r="P615" s="13">
        <v>0</v>
      </c>
      <c r="Q615" s="13">
        <v>0</v>
      </c>
      <c r="R615" s="3">
        <f t="shared" si="143"/>
        <v>0</v>
      </c>
      <c r="S615" s="13">
        <v>0</v>
      </c>
      <c r="T615" s="13">
        <v>0</v>
      </c>
      <c r="U615" s="13">
        <v>0</v>
      </c>
      <c r="V615" s="5">
        <f t="shared" si="139"/>
        <v>4524.968721804511</v>
      </c>
    </row>
    <row r="616" spans="1:22" ht="24" customHeight="1" x14ac:dyDescent="0.25">
      <c r="A616" s="21" t="s">
        <v>1507</v>
      </c>
      <c r="B616" s="24" t="s">
        <v>538</v>
      </c>
      <c r="C616" s="2">
        <f t="shared" si="137"/>
        <v>1149196.3999999999</v>
      </c>
      <c r="D616" s="3">
        <f t="shared" si="138"/>
        <v>0</v>
      </c>
      <c r="E616" s="3">
        <v>0</v>
      </c>
      <c r="F616" s="3">
        <v>0</v>
      </c>
      <c r="G616" s="3">
        <v>0</v>
      </c>
      <c r="H616" s="3">
        <v>0</v>
      </c>
      <c r="I616" s="3">
        <v>0</v>
      </c>
      <c r="J616" s="3">
        <v>0</v>
      </c>
      <c r="K616" s="14">
        <v>0</v>
      </c>
      <c r="L616" s="13">
        <v>0</v>
      </c>
      <c r="M616" s="13">
        <v>245.22</v>
      </c>
      <c r="N616" s="3">
        <v>1149196.3999999999</v>
      </c>
      <c r="O616" s="13">
        <v>0</v>
      </c>
      <c r="P616" s="13">
        <v>0</v>
      </c>
      <c r="Q616" s="13">
        <v>0</v>
      </c>
      <c r="R616" s="3">
        <f t="shared" si="143"/>
        <v>0</v>
      </c>
      <c r="S616" s="13">
        <v>0</v>
      </c>
      <c r="T616" s="13">
        <v>0</v>
      </c>
      <c r="U616" s="13">
        <v>0</v>
      </c>
      <c r="V616" s="5">
        <f t="shared" si="139"/>
        <v>4686.3893646521483</v>
      </c>
    </row>
    <row r="617" spans="1:22" ht="24" customHeight="1" x14ac:dyDescent="0.25">
      <c r="A617" s="21" t="s">
        <v>1508</v>
      </c>
      <c r="B617" s="24" t="s">
        <v>539</v>
      </c>
      <c r="C617" s="2">
        <f t="shared" si="137"/>
        <v>1221124.1200000001</v>
      </c>
      <c r="D617" s="3">
        <f t="shared" si="138"/>
        <v>0</v>
      </c>
      <c r="E617" s="3">
        <v>0</v>
      </c>
      <c r="F617" s="3">
        <v>0</v>
      </c>
      <c r="G617" s="3">
        <v>0</v>
      </c>
      <c r="H617" s="3">
        <v>0</v>
      </c>
      <c r="I617" s="3">
        <v>0</v>
      </c>
      <c r="J617" s="3">
        <v>0</v>
      </c>
      <c r="K617" s="14">
        <v>0</v>
      </c>
      <c r="L617" s="13">
        <v>0</v>
      </c>
      <c r="M617" s="13">
        <v>243</v>
      </c>
      <c r="N617" s="3">
        <v>1221124.1200000001</v>
      </c>
      <c r="O617" s="13">
        <v>0</v>
      </c>
      <c r="P617" s="13">
        <v>0</v>
      </c>
      <c r="Q617" s="13">
        <v>0</v>
      </c>
      <c r="R617" s="3">
        <f t="shared" si="143"/>
        <v>0</v>
      </c>
      <c r="S617" s="13">
        <v>0</v>
      </c>
      <c r="T617" s="13">
        <v>0</v>
      </c>
      <c r="U617" s="13">
        <v>0</v>
      </c>
      <c r="V617" s="5">
        <f t="shared" si="139"/>
        <v>5025.2021399176956</v>
      </c>
    </row>
    <row r="618" spans="1:22" ht="24" customHeight="1" x14ac:dyDescent="0.25">
      <c r="A618" s="21" t="s">
        <v>1509</v>
      </c>
      <c r="B618" s="24" t="s">
        <v>540</v>
      </c>
      <c r="C618" s="2">
        <f t="shared" ref="C618:C626" si="144">D618+L618+N618+P618+R618+S618+T618+U618</f>
        <v>1247989</v>
      </c>
      <c r="D618" s="3">
        <f t="shared" ref="D618:D626" si="145">SUM(E618:J618)</f>
        <v>0</v>
      </c>
      <c r="E618" s="3">
        <v>0</v>
      </c>
      <c r="F618" s="3">
        <v>0</v>
      </c>
      <c r="G618" s="3">
        <v>0</v>
      </c>
      <c r="H618" s="3">
        <v>0</v>
      </c>
      <c r="I618" s="3">
        <v>0</v>
      </c>
      <c r="J618" s="3">
        <v>0</v>
      </c>
      <c r="K618" s="14">
        <v>0</v>
      </c>
      <c r="L618" s="13">
        <v>0</v>
      </c>
      <c r="M618" s="13">
        <v>226.92</v>
      </c>
      <c r="N618" s="3">
        <v>1247989</v>
      </c>
      <c r="O618" s="13">
        <v>0</v>
      </c>
      <c r="P618" s="13">
        <v>0</v>
      </c>
      <c r="Q618" s="13">
        <v>0</v>
      </c>
      <c r="R618" s="3">
        <f t="shared" si="143"/>
        <v>0</v>
      </c>
      <c r="S618" s="13">
        <v>0</v>
      </c>
      <c r="T618" s="13">
        <v>0</v>
      </c>
      <c r="U618" s="13">
        <v>0</v>
      </c>
      <c r="V618" s="5">
        <f t="shared" ref="V618:V626" si="146">N618/M618</f>
        <v>5499.6871144015513</v>
      </c>
    </row>
    <row r="619" spans="1:22" ht="24" customHeight="1" x14ac:dyDescent="0.25">
      <c r="A619" s="21" t="s">
        <v>1510</v>
      </c>
      <c r="B619" s="24" t="s">
        <v>541</v>
      </c>
      <c r="C619" s="2">
        <f t="shared" si="144"/>
        <v>1332902.3999999999</v>
      </c>
      <c r="D619" s="3">
        <f t="shared" si="145"/>
        <v>0</v>
      </c>
      <c r="E619" s="3">
        <v>0</v>
      </c>
      <c r="F619" s="3">
        <v>0</v>
      </c>
      <c r="G619" s="3">
        <v>0</v>
      </c>
      <c r="H619" s="3">
        <v>0</v>
      </c>
      <c r="I619" s="3">
        <v>0</v>
      </c>
      <c r="J619" s="3">
        <v>0</v>
      </c>
      <c r="K619" s="14">
        <v>0</v>
      </c>
      <c r="L619" s="13">
        <v>0</v>
      </c>
      <c r="M619" s="13">
        <v>242.88</v>
      </c>
      <c r="N619" s="3">
        <v>1332902.3999999999</v>
      </c>
      <c r="O619" s="13">
        <v>0</v>
      </c>
      <c r="P619" s="13">
        <v>0</v>
      </c>
      <c r="Q619" s="13">
        <v>0</v>
      </c>
      <c r="R619" s="3">
        <f t="shared" si="143"/>
        <v>0</v>
      </c>
      <c r="S619" s="13">
        <v>0</v>
      </c>
      <c r="T619" s="13">
        <v>0</v>
      </c>
      <c r="U619" s="13">
        <v>0</v>
      </c>
      <c r="V619" s="5">
        <f t="shared" si="146"/>
        <v>5487.905138339921</v>
      </c>
    </row>
    <row r="620" spans="1:22" ht="24" customHeight="1" x14ac:dyDescent="0.25">
      <c r="A620" s="21" t="s">
        <v>1511</v>
      </c>
      <c r="B620" s="24" t="s">
        <v>542</v>
      </c>
      <c r="C620" s="2">
        <f t="shared" si="144"/>
        <v>1366174.4</v>
      </c>
      <c r="D620" s="3">
        <f t="shared" si="145"/>
        <v>0</v>
      </c>
      <c r="E620" s="3">
        <v>0</v>
      </c>
      <c r="F620" s="3">
        <v>0</v>
      </c>
      <c r="G620" s="3">
        <v>0</v>
      </c>
      <c r="H620" s="3">
        <v>0</v>
      </c>
      <c r="I620" s="3">
        <v>0</v>
      </c>
      <c r="J620" s="3">
        <v>0</v>
      </c>
      <c r="K620" s="14">
        <v>0</v>
      </c>
      <c r="L620" s="13">
        <v>0</v>
      </c>
      <c r="M620" s="13">
        <v>252.01</v>
      </c>
      <c r="N620" s="3">
        <v>1366174.4</v>
      </c>
      <c r="O620" s="13">
        <v>0</v>
      </c>
      <c r="P620" s="13">
        <v>0</v>
      </c>
      <c r="Q620" s="13">
        <v>0</v>
      </c>
      <c r="R620" s="3">
        <f t="shared" si="143"/>
        <v>0</v>
      </c>
      <c r="S620" s="13">
        <v>0</v>
      </c>
      <c r="T620" s="13">
        <v>0</v>
      </c>
      <c r="U620" s="13">
        <v>0</v>
      </c>
      <c r="V620" s="5">
        <f t="shared" si="146"/>
        <v>5421.1118606404507</v>
      </c>
    </row>
    <row r="621" spans="1:22" ht="24" customHeight="1" x14ac:dyDescent="0.25">
      <c r="A621" s="21" t="s">
        <v>1512</v>
      </c>
      <c r="B621" s="24" t="s">
        <v>543</v>
      </c>
      <c r="C621" s="2">
        <f t="shared" si="144"/>
        <v>1283749.17</v>
      </c>
      <c r="D621" s="3">
        <f t="shared" si="145"/>
        <v>0</v>
      </c>
      <c r="E621" s="3">
        <v>0</v>
      </c>
      <c r="F621" s="3">
        <v>0</v>
      </c>
      <c r="G621" s="3">
        <v>0</v>
      </c>
      <c r="H621" s="3">
        <v>0</v>
      </c>
      <c r="I621" s="3">
        <v>0</v>
      </c>
      <c r="J621" s="3">
        <v>0</v>
      </c>
      <c r="K621" s="14">
        <v>0</v>
      </c>
      <c r="L621" s="13">
        <v>0</v>
      </c>
      <c r="M621" s="13">
        <v>254.27</v>
      </c>
      <c r="N621" s="3">
        <v>1283749.17</v>
      </c>
      <c r="O621" s="13">
        <v>0</v>
      </c>
      <c r="P621" s="13">
        <v>0</v>
      </c>
      <c r="Q621" s="13">
        <v>0</v>
      </c>
      <c r="R621" s="3">
        <f t="shared" si="143"/>
        <v>0</v>
      </c>
      <c r="S621" s="13">
        <v>0</v>
      </c>
      <c r="T621" s="13">
        <v>0</v>
      </c>
      <c r="U621" s="13">
        <v>0</v>
      </c>
      <c r="V621" s="5">
        <f t="shared" si="146"/>
        <v>5048.763794391788</v>
      </c>
    </row>
    <row r="622" spans="1:22" ht="24" customHeight="1" x14ac:dyDescent="0.25">
      <c r="A622" s="21" t="s">
        <v>1513</v>
      </c>
      <c r="B622" s="24" t="s">
        <v>546</v>
      </c>
      <c r="C622" s="2">
        <f t="shared" si="144"/>
        <v>1481150</v>
      </c>
      <c r="D622" s="3">
        <f t="shared" si="145"/>
        <v>0</v>
      </c>
      <c r="E622" s="3">
        <v>0</v>
      </c>
      <c r="F622" s="3">
        <v>0</v>
      </c>
      <c r="G622" s="3">
        <v>0</v>
      </c>
      <c r="H622" s="3">
        <v>0</v>
      </c>
      <c r="I622" s="3">
        <v>0</v>
      </c>
      <c r="J622" s="3">
        <v>0</v>
      </c>
      <c r="K622" s="14">
        <v>0</v>
      </c>
      <c r="L622" s="13">
        <v>0</v>
      </c>
      <c r="M622" s="13">
        <v>269.3</v>
      </c>
      <c r="N622" s="3">
        <v>1481150</v>
      </c>
      <c r="O622" s="13">
        <v>0</v>
      </c>
      <c r="P622" s="13">
        <v>0</v>
      </c>
      <c r="Q622" s="13">
        <v>0</v>
      </c>
      <c r="R622" s="3">
        <f t="shared" si="143"/>
        <v>0</v>
      </c>
      <c r="S622" s="13">
        <v>0</v>
      </c>
      <c r="T622" s="13">
        <v>0</v>
      </c>
      <c r="U622" s="13">
        <v>0</v>
      </c>
      <c r="V622" s="5">
        <f t="shared" si="146"/>
        <v>5500</v>
      </c>
    </row>
    <row r="623" spans="1:22" ht="24" customHeight="1" x14ac:dyDescent="0.25">
      <c r="A623" s="21" t="s">
        <v>1514</v>
      </c>
      <c r="B623" s="24" t="s">
        <v>547</v>
      </c>
      <c r="C623" s="2">
        <f t="shared" si="144"/>
        <v>1481150</v>
      </c>
      <c r="D623" s="3">
        <f t="shared" si="145"/>
        <v>0</v>
      </c>
      <c r="E623" s="3">
        <v>0</v>
      </c>
      <c r="F623" s="3">
        <v>0</v>
      </c>
      <c r="G623" s="3">
        <v>0</v>
      </c>
      <c r="H623" s="3">
        <v>0</v>
      </c>
      <c r="I623" s="3">
        <v>0</v>
      </c>
      <c r="J623" s="3">
        <v>0</v>
      </c>
      <c r="K623" s="14">
        <v>0</v>
      </c>
      <c r="L623" s="13">
        <v>0</v>
      </c>
      <c r="M623" s="13">
        <v>269.3</v>
      </c>
      <c r="N623" s="3">
        <v>1481150</v>
      </c>
      <c r="O623" s="13">
        <v>0</v>
      </c>
      <c r="P623" s="13">
        <v>0</v>
      </c>
      <c r="Q623" s="13">
        <v>0</v>
      </c>
      <c r="R623" s="3">
        <f t="shared" si="143"/>
        <v>0</v>
      </c>
      <c r="S623" s="13">
        <v>0</v>
      </c>
      <c r="T623" s="13">
        <v>0</v>
      </c>
      <c r="U623" s="13">
        <v>0</v>
      </c>
      <c r="V623" s="5">
        <f t="shared" si="146"/>
        <v>5500</v>
      </c>
    </row>
    <row r="624" spans="1:22" ht="25.15" customHeight="1" x14ac:dyDescent="0.25">
      <c r="A624" s="21" t="s">
        <v>1515</v>
      </c>
      <c r="B624" s="24" t="s">
        <v>548</v>
      </c>
      <c r="C624" s="2">
        <f t="shared" si="144"/>
        <v>108614.95</v>
      </c>
      <c r="D624" s="3">
        <f t="shared" si="145"/>
        <v>0</v>
      </c>
      <c r="E624" s="3">
        <v>0</v>
      </c>
      <c r="F624" s="3">
        <v>0</v>
      </c>
      <c r="G624" s="3">
        <v>0</v>
      </c>
      <c r="H624" s="3">
        <v>0</v>
      </c>
      <c r="I624" s="3">
        <v>0</v>
      </c>
      <c r="J624" s="3">
        <v>0</v>
      </c>
      <c r="K624" s="14">
        <v>0</v>
      </c>
      <c r="L624" s="13">
        <v>0</v>
      </c>
      <c r="M624" s="13">
        <v>0</v>
      </c>
      <c r="N624" s="3">
        <f>M624*5500</f>
        <v>0</v>
      </c>
      <c r="O624" s="13">
        <v>0</v>
      </c>
      <c r="P624" s="13">
        <v>0</v>
      </c>
      <c r="Q624" s="13">
        <v>0</v>
      </c>
      <c r="R624" s="3">
        <f t="shared" si="143"/>
        <v>0</v>
      </c>
      <c r="S624" s="13">
        <v>0</v>
      </c>
      <c r="T624" s="13">
        <v>0</v>
      </c>
      <c r="U624" s="13">
        <v>108614.95</v>
      </c>
      <c r="V624" s="5" t="e">
        <f t="shared" si="146"/>
        <v>#DIV/0!</v>
      </c>
    </row>
    <row r="625" spans="1:22" ht="25.15" customHeight="1" x14ac:dyDescent="0.25">
      <c r="A625" s="21" t="s">
        <v>1516</v>
      </c>
      <c r="B625" s="24" t="s">
        <v>549</v>
      </c>
      <c r="C625" s="2">
        <f t="shared" si="144"/>
        <v>2207036.4</v>
      </c>
      <c r="D625" s="3">
        <f t="shared" si="145"/>
        <v>0</v>
      </c>
      <c r="E625" s="3">
        <v>0</v>
      </c>
      <c r="F625" s="3">
        <v>0</v>
      </c>
      <c r="G625" s="3">
        <v>0</v>
      </c>
      <c r="H625" s="3">
        <v>0</v>
      </c>
      <c r="I625" s="3">
        <v>0</v>
      </c>
      <c r="J625" s="3">
        <v>0</v>
      </c>
      <c r="K625" s="14">
        <v>0</v>
      </c>
      <c r="L625" s="13">
        <v>0</v>
      </c>
      <c r="M625" s="13">
        <v>427.81</v>
      </c>
      <c r="N625" s="3">
        <v>2207036.4</v>
      </c>
      <c r="O625" s="13">
        <v>0</v>
      </c>
      <c r="P625" s="13">
        <v>0</v>
      </c>
      <c r="Q625" s="13">
        <v>0</v>
      </c>
      <c r="R625" s="3">
        <f t="shared" si="143"/>
        <v>0</v>
      </c>
      <c r="S625" s="13">
        <v>0</v>
      </c>
      <c r="T625" s="13">
        <v>0</v>
      </c>
      <c r="U625" s="13">
        <v>0</v>
      </c>
      <c r="V625" s="5">
        <f t="shared" si="146"/>
        <v>5158.9172763610013</v>
      </c>
    </row>
    <row r="626" spans="1:22" ht="25.15" customHeight="1" x14ac:dyDescent="0.25">
      <c r="A626" s="21" t="s">
        <v>1517</v>
      </c>
      <c r="B626" s="24" t="s">
        <v>550</v>
      </c>
      <c r="C626" s="2">
        <f t="shared" si="144"/>
        <v>2305975.2000000002</v>
      </c>
      <c r="D626" s="3">
        <f t="shared" si="145"/>
        <v>0</v>
      </c>
      <c r="E626" s="3">
        <v>0</v>
      </c>
      <c r="F626" s="3">
        <v>0</v>
      </c>
      <c r="G626" s="3">
        <v>0</v>
      </c>
      <c r="H626" s="3">
        <v>0</v>
      </c>
      <c r="I626" s="3">
        <v>0</v>
      </c>
      <c r="J626" s="3">
        <v>0</v>
      </c>
      <c r="K626" s="14">
        <v>0</v>
      </c>
      <c r="L626" s="13">
        <v>0</v>
      </c>
      <c r="M626" s="13">
        <v>435.4</v>
      </c>
      <c r="N626" s="3">
        <v>2305975.2000000002</v>
      </c>
      <c r="O626" s="13">
        <v>0</v>
      </c>
      <c r="P626" s="13">
        <v>0</v>
      </c>
      <c r="Q626" s="13">
        <v>0</v>
      </c>
      <c r="R626" s="3">
        <f t="shared" si="143"/>
        <v>0</v>
      </c>
      <c r="S626" s="13">
        <v>0</v>
      </c>
      <c r="T626" s="13">
        <v>0</v>
      </c>
      <c r="U626" s="13">
        <v>0</v>
      </c>
      <c r="V626" s="5">
        <f t="shared" si="146"/>
        <v>5296.2223242994951</v>
      </c>
    </row>
    <row r="627" spans="1:22" ht="45" customHeight="1" x14ac:dyDescent="0.25">
      <c r="A627" s="51" t="s">
        <v>266</v>
      </c>
      <c r="B627" s="51"/>
      <c r="C627" s="2">
        <f t="shared" ref="C627:U627" si="147">SUM(C628:C629)</f>
        <v>7196671.2599999998</v>
      </c>
      <c r="D627" s="2">
        <f t="shared" si="147"/>
        <v>0</v>
      </c>
      <c r="E627" s="2">
        <f t="shared" si="147"/>
        <v>0</v>
      </c>
      <c r="F627" s="2">
        <f t="shared" si="147"/>
        <v>0</v>
      </c>
      <c r="G627" s="2">
        <f t="shared" si="147"/>
        <v>0</v>
      </c>
      <c r="H627" s="2">
        <f t="shared" si="147"/>
        <v>0</v>
      </c>
      <c r="I627" s="2">
        <f t="shared" si="147"/>
        <v>0</v>
      </c>
      <c r="J627" s="2">
        <f t="shared" si="147"/>
        <v>0</v>
      </c>
      <c r="K627" s="18">
        <f t="shared" si="147"/>
        <v>0</v>
      </c>
      <c r="L627" s="2">
        <f t="shared" si="147"/>
        <v>0</v>
      </c>
      <c r="M627" s="2">
        <f t="shared" si="147"/>
        <v>780.3599999999999</v>
      </c>
      <c r="N627" s="2">
        <f t="shared" si="147"/>
        <v>3994802.4</v>
      </c>
      <c r="O627" s="2">
        <f t="shared" si="147"/>
        <v>0</v>
      </c>
      <c r="P627" s="2">
        <f t="shared" si="147"/>
        <v>0</v>
      </c>
      <c r="Q627" s="2">
        <f t="shared" si="147"/>
        <v>1148.27</v>
      </c>
      <c r="R627" s="2">
        <f t="shared" si="147"/>
        <v>3146931.6</v>
      </c>
      <c r="S627" s="2">
        <f t="shared" si="147"/>
        <v>0</v>
      </c>
      <c r="T627" s="2">
        <f t="shared" si="147"/>
        <v>0</v>
      </c>
      <c r="U627" s="2">
        <f t="shared" si="147"/>
        <v>54937.259999999995</v>
      </c>
    </row>
    <row r="628" spans="1:22" ht="25.15" customHeight="1" x14ac:dyDescent="0.25">
      <c r="A628" s="21" t="s">
        <v>1518</v>
      </c>
      <c r="B628" s="24" t="s">
        <v>267</v>
      </c>
      <c r="C628" s="2">
        <f>D628+L628+N628+P628+R628+S628+T628+U628</f>
        <v>3542138.12</v>
      </c>
      <c r="D628" s="3">
        <f>SUM(E628:J628)</f>
        <v>0</v>
      </c>
      <c r="E628" s="3">
        <v>0</v>
      </c>
      <c r="F628" s="3">
        <v>0</v>
      </c>
      <c r="G628" s="3">
        <v>0</v>
      </c>
      <c r="H628" s="3">
        <v>0</v>
      </c>
      <c r="I628" s="3">
        <v>0</v>
      </c>
      <c r="J628" s="3">
        <v>0</v>
      </c>
      <c r="K628" s="4">
        <v>0</v>
      </c>
      <c r="L628" s="3">
        <v>0</v>
      </c>
      <c r="M628" s="3">
        <v>393.4</v>
      </c>
      <c r="N628" s="3">
        <v>1975447.2</v>
      </c>
      <c r="O628" s="13">
        <v>0</v>
      </c>
      <c r="P628" s="13">
        <v>0</v>
      </c>
      <c r="Q628" s="3">
        <v>577.71</v>
      </c>
      <c r="R628" s="3">
        <v>1539204</v>
      </c>
      <c r="S628" s="3">
        <v>0</v>
      </c>
      <c r="T628" s="3">
        <v>0</v>
      </c>
      <c r="U628" s="3">
        <v>27486.92</v>
      </c>
      <c r="V628" s="5">
        <f>N628/M628</f>
        <v>5021.4722928317233</v>
      </c>
    </row>
    <row r="629" spans="1:22" ht="25.15" customHeight="1" x14ac:dyDescent="0.25">
      <c r="A629" s="21" t="s">
        <v>1519</v>
      </c>
      <c r="B629" s="24" t="s">
        <v>268</v>
      </c>
      <c r="C629" s="2">
        <f>D629+L629+N629+P629+R629+S629+T629+U629</f>
        <v>3654533.1399999997</v>
      </c>
      <c r="D629" s="3">
        <f>SUM(E629:J629)</f>
        <v>0</v>
      </c>
      <c r="E629" s="3">
        <v>0</v>
      </c>
      <c r="F629" s="3">
        <v>0</v>
      </c>
      <c r="G629" s="3">
        <v>0</v>
      </c>
      <c r="H629" s="3">
        <v>0</v>
      </c>
      <c r="I629" s="3">
        <v>0</v>
      </c>
      <c r="J629" s="3">
        <v>0</v>
      </c>
      <c r="K629" s="4">
        <v>0</v>
      </c>
      <c r="L629" s="3">
        <v>0</v>
      </c>
      <c r="M629" s="3">
        <v>386.96</v>
      </c>
      <c r="N629" s="3">
        <v>2019355.2</v>
      </c>
      <c r="O629" s="13">
        <v>0</v>
      </c>
      <c r="P629" s="13">
        <v>0</v>
      </c>
      <c r="Q629" s="3">
        <v>570.55999999999995</v>
      </c>
      <c r="R629" s="3">
        <v>1607727.6</v>
      </c>
      <c r="S629" s="3">
        <v>0</v>
      </c>
      <c r="T629" s="3">
        <v>0</v>
      </c>
      <c r="U629" s="3">
        <v>27450.34</v>
      </c>
      <c r="V629" s="5">
        <f>N629/M629</f>
        <v>5218.5114740541658</v>
      </c>
    </row>
    <row r="630" spans="1:22" ht="45" customHeight="1" x14ac:dyDescent="0.25">
      <c r="A630" s="51" t="s">
        <v>911</v>
      </c>
      <c r="B630" s="51"/>
      <c r="C630" s="2">
        <f t="shared" ref="C630:U630" si="148">SUM(C631)</f>
        <v>3692623.6</v>
      </c>
      <c r="D630" s="2">
        <f t="shared" si="148"/>
        <v>1005841.2</v>
      </c>
      <c r="E630" s="2">
        <f t="shared" si="148"/>
        <v>223650</v>
      </c>
      <c r="F630" s="2">
        <f t="shared" si="148"/>
        <v>670950</v>
      </c>
      <c r="G630" s="2">
        <f t="shared" si="148"/>
        <v>43770.6</v>
      </c>
      <c r="H630" s="2">
        <f t="shared" si="148"/>
        <v>0</v>
      </c>
      <c r="I630" s="2">
        <f t="shared" si="148"/>
        <v>67470.600000000006</v>
      </c>
      <c r="J630" s="2">
        <f t="shared" si="148"/>
        <v>0</v>
      </c>
      <c r="K630" s="18">
        <f t="shared" si="148"/>
        <v>0</v>
      </c>
      <c r="L630" s="2">
        <f t="shared" si="148"/>
        <v>0</v>
      </c>
      <c r="M630" s="2">
        <f t="shared" si="148"/>
        <v>312.7</v>
      </c>
      <c r="N630" s="2">
        <f t="shared" si="148"/>
        <v>1029731.4</v>
      </c>
      <c r="O630" s="2">
        <f t="shared" si="148"/>
        <v>0</v>
      </c>
      <c r="P630" s="2">
        <f t="shared" si="148"/>
        <v>0</v>
      </c>
      <c r="Q630" s="2">
        <f t="shared" si="148"/>
        <v>642</v>
      </c>
      <c r="R630" s="2">
        <f t="shared" si="148"/>
        <v>1557051</v>
      </c>
      <c r="S630" s="2">
        <f t="shared" si="148"/>
        <v>0</v>
      </c>
      <c r="T630" s="2">
        <f t="shared" si="148"/>
        <v>0</v>
      </c>
      <c r="U630" s="2">
        <f t="shared" si="148"/>
        <v>100000</v>
      </c>
    </row>
    <row r="631" spans="1:22" ht="27" customHeight="1" x14ac:dyDescent="0.25">
      <c r="A631" s="21" t="s">
        <v>1520</v>
      </c>
      <c r="B631" s="24" t="s">
        <v>912</v>
      </c>
      <c r="C631" s="2">
        <f>D631+L631+N631+P631+R631+S631+T631+U631</f>
        <v>3692623.6</v>
      </c>
      <c r="D631" s="3">
        <f>SUM(E631:J631)</f>
        <v>1005841.2</v>
      </c>
      <c r="E631" s="3">
        <f>350*639</f>
        <v>223650</v>
      </c>
      <c r="F631" s="3">
        <f>1050*639</f>
        <v>670950</v>
      </c>
      <c r="G631" s="3">
        <v>43770.6</v>
      </c>
      <c r="H631" s="3">
        <v>0</v>
      </c>
      <c r="I631" s="3">
        <v>67470.600000000006</v>
      </c>
      <c r="J631" s="3">
        <v>0</v>
      </c>
      <c r="K631" s="4">
        <v>0</v>
      </c>
      <c r="L631" s="3">
        <v>0</v>
      </c>
      <c r="M631" s="3">
        <v>312.7</v>
      </c>
      <c r="N631" s="3">
        <v>1029731.4</v>
      </c>
      <c r="O631" s="13">
        <v>0</v>
      </c>
      <c r="P631" s="13">
        <v>0</v>
      </c>
      <c r="Q631" s="3">
        <v>642</v>
      </c>
      <c r="R631" s="3">
        <v>1557051</v>
      </c>
      <c r="S631" s="3">
        <v>0</v>
      </c>
      <c r="T631" s="3">
        <v>0</v>
      </c>
      <c r="U631" s="3">
        <v>100000</v>
      </c>
      <c r="V631" s="5">
        <f>N631/M631</f>
        <v>3293.032938919092</v>
      </c>
    </row>
    <row r="632" spans="1:22" ht="46.15" customHeight="1" x14ac:dyDescent="0.25">
      <c r="A632" s="51" t="s">
        <v>269</v>
      </c>
      <c r="B632" s="51"/>
      <c r="C632" s="2">
        <f t="shared" ref="C632:U632" si="149">SUM(C633:C634)</f>
        <v>7269961.7799999993</v>
      </c>
      <c r="D632" s="2">
        <f t="shared" si="149"/>
        <v>297080</v>
      </c>
      <c r="E632" s="2">
        <f t="shared" si="149"/>
        <v>297080</v>
      </c>
      <c r="F632" s="2">
        <f t="shared" si="149"/>
        <v>0</v>
      </c>
      <c r="G632" s="2">
        <f t="shared" si="149"/>
        <v>0</v>
      </c>
      <c r="H632" s="2">
        <f t="shared" si="149"/>
        <v>0</v>
      </c>
      <c r="I632" s="2">
        <f t="shared" si="149"/>
        <v>0</v>
      </c>
      <c r="J632" s="2">
        <f t="shared" si="149"/>
        <v>0</v>
      </c>
      <c r="K632" s="18">
        <f t="shared" si="149"/>
        <v>0</v>
      </c>
      <c r="L632" s="2">
        <f t="shared" si="149"/>
        <v>0</v>
      </c>
      <c r="M632" s="2">
        <f t="shared" si="149"/>
        <v>686.8</v>
      </c>
      <c r="N632" s="2">
        <f t="shared" si="149"/>
        <v>3777400</v>
      </c>
      <c r="O632" s="2">
        <f t="shared" si="149"/>
        <v>0</v>
      </c>
      <c r="P632" s="2">
        <f t="shared" si="149"/>
        <v>0</v>
      </c>
      <c r="Q632" s="2">
        <f t="shared" si="149"/>
        <v>1054.5</v>
      </c>
      <c r="R632" s="2">
        <f t="shared" si="149"/>
        <v>3043500</v>
      </c>
      <c r="S632" s="2">
        <f t="shared" si="149"/>
        <v>0</v>
      </c>
      <c r="T632" s="2">
        <f t="shared" si="149"/>
        <v>0</v>
      </c>
      <c r="U632" s="2">
        <f t="shared" si="149"/>
        <v>151981.78</v>
      </c>
    </row>
    <row r="633" spans="1:22" ht="27" customHeight="1" x14ac:dyDescent="0.25">
      <c r="A633" s="21" t="s">
        <v>1521</v>
      </c>
      <c r="B633" s="24" t="s">
        <v>272</v>
      </c>
      <c r="C633" s="2">
        <f>D633+L633+N633+P633+R633+S633+T633+U633</f>
        <v>2964601.78</v>
      </c>
      <c r="D633" s="3">
        <f>SUM(E633:J633)</f>
        <v>116970</v>
      </c>
      <c r="E633" s="3">
        <f>350*334.2</f>
        <v>116970</v>
      </c>
      <c r="F633" s="3">
        <v>0</v>
      </c>
      <c r="G633" s="3">
        <v>0</v>
      </c>
      <c r="H633" s="3">
        <v>0</v>
      </c>
      <c r="I633" s="3">
        <v>0</v>
      </c>
      <c r="J633" s="3">
        <v>0</v>
      </c>
      <c r="K633" s="4">
        <v>0</v>
      </c>
      <c r="L633" s="3">
        <v>0</v>
      </c>
      <c r="M633" s="3">
        <v>268.3</v>
      </c>
      <c r="N633" s="3">
        <v>1475650</v>
      </c>
      <c r="O633" s="3">
        <v>0</v>
      </c>
      <c r="P633" s="3">
        <v>0</v>
      </c>
      <c r="Q633" s="3">
        <v>480</v>
      </c>
      <c r="R633" s="3">
        <v>1320000</v>
      </c>
      <c r="S633" s="3">
        <v>0</v>
      </c>
      <c r="T633" s="3">
        <v>0</v>
      </c>
      <c r="U633" s="3">
        <v>51981.78</v>
      </c>
      <c r="V633" s="5">
        <f>N633/M633</f>
        <v>5500</v>
      </c>
    </row>
    <row r="634" spans="1:22" ht="27" customHeight="1" x14ac:dyDescent="0.25">
      <c r="A634" s="21" t="s">
        <v>1522</v>
      </c>
      <c r="B634" s="24" t="s">
        <v>273</v>
      </c>
      <c r="C634" s="2">
        <f>D634+L634+N634+P634+R634+S634+T634+U634</f>
        <v>4305360</v>
      </c>
      <c r="D634" s="3">
        <f>SUM(E634:J634)</f>
        <v>180110</v>
      </c>
      <c r="E634" s="3">
        <f>350*514.6</f>
        <v>180110</v>
      </c>
      <c r="F634" s="3">
        <v>0</v>
      </c>
      <c r="G634" s="3">
        <v>0</v>
      </c>
      <c r="H634" s="3">
        <v>0</v>
      </c>
      <c r="I634" s="3">
        <v>0</v>
      </c>
      <c r="J634" s="3">
        <v>0</v>
      </c>
      <c r="K634" s="4">
        <v>0</v>
      </c>
      <c r="L634" s="3">
        <v>0</v>
      </c>
      <c r="M634" s="3">
        <v>418.5</v>
      </c>
      <c r="N634" s="3">
        <v>2301750</v>
      </c>
      <c r="O634" s="3">
        <v>0</v>
      </c>
      <c r="P634" s="3">
        <v>0</v>
      </c>
      <c r="Q634" s="3">
        <v>574.5</v>
      </c>
      <c r="R634" s="3">
        <v>1723500</v>
      </c>
      <c r="S634" s="3">
        <v>0</v>
      </c>
      <c r="T634" s="3">
        <v>0</v>
      </c>
      <c r="U634" s="3">
        <v>100000</v>
      </c>
      <c r="V634" s="5">
        <f>N634/M634</f>
        <v>5500</v>
      </c>
    </row>
    <row r="635" spans="1:22" ht="46.15" customHeight="1" x14ac:dyDescent="0.25">
      <c r="A635" s="51" t="s">
        <v>274</v>
      </c>
      <c r="B635" s="51"/>
      <c r="C635" s="2">
        <f t="shared" ref="C635:U635" si="150">SUM(C636:C644)</f>
        <v>18230771.170000002</v>
      </c>
      <c r="D635" s="2">
        <f t="shared" si="150"/>
        <v>892956.8</v>
      </c>
      <c r="E635" s="2">
        <f t="shared" si="150"/>
        <v>545139.19999999995</v>
      </c>
      <c r="F635" s="2">
        <f t="shared" si="150"/>
        <v>347817.6</v>
      </c>
      <c r="G635" s="2">
        <f t="shared" si="150"/>
        <v>0</v>
      </c>
      <c r="H635" s="2">
        <f t="shared" si="150"/>
        <v>0</v>
      </c>
      <c r="I635" s="2">
        <f t="shared" si="150"/>
        <v>0</v>
      </c>
      <c r="J635" s="2">
        <f t="shared" si="150"/>
        <v>0</v>
      </c>
      <c r="K635" s="18">
        <f t="shared" si="150"/>
        <v>0</v>
      </c>
      <c r="L635" s="2">
        <f t="shared" si="150"/>
        <v>0</v>
      </c>
      <c r="M635" s="2">
        <f t="shared" si="150"/>
        <v>2121.3700000000003</v>
      </c>
      <c r="N635" s="2">
        <f t="shared" si="150"/>
        <v>10511789.57</v>
      </c>
      <c r="O635" s="2">
        <f t="shared" si="150"/>
        <v>0</v>
      </c>
      <c r="P635" s="2">
        <f t="shared" si="150"/>
        <v>0</v>
      </c>
      <c r="Q635" s="2">
        <f t="shared" si="150"/>
        <v>2194.44</v>
      </c>
      <c r="R635" s="2">
        <f t="shared" si="150"/>
        <v>6416203.2000000002</v>
      </c>
      <c r="S635" s="2">
        <f t="shared" si="150"/>
        <v>0</v>
      </c>
      <c r="T635" s="2">
        <f t="shared" si="150"/>
        <v>0</v>
      </c>
      <c r="U635" s="2">
        <f t="shared" si="150"/>
        <v>409821.6</v>
      </c>
    </row>
    <row r="636" spans="1:22" ht="27" customHeight="1" x14ac:dyDescent="0.25">
      <c r="A636" s="21" t="s">
        <v>1523</v>
      </c>
      <c r="B636" s="24" t="s">
        <v>275</v>
      </c>
      <c r="C636" s="2">
        <f t="shared" ref="C636:C644" si="151">D636+L636+N636+P636+R636+S636+T636+U636</f>
        <v>1766970.54</v>
      </c>
      <c r="D636" s="3">
        <f t="shared" ref="D636:D644" si="152">SUM(E636:J636)</f>
        <v>0</v>
      </c>
      <c r="E636" s="3">
        <v>0</v>
      </c>
      <c r="F636" s="3">
        <v>0</v>
      </c>
      <c r="G636" s="3">
        <v>0</v>
      </c>
      <c r="H636" s="3">
        <v>0</v>
      </c>
      <c r="I636" s="3">
        <v>0</v>
      </c>
      <c r="J636" s="3">
        <v>0</v>
      </c>
      <c r="K636" s="4">
        <v>0</v>
      </c>
      <c r="L636" s="3">
        <v>0</v>
      </c>
      <c r="M636" s="3">
        <v>365.11</v>
      </c>
      <c r="N636" s="3">
        <v>1766970.54</v>
      </c>
      <c r="O636" s="3">
        <v>0</v>
      </c>
      <c r="P636" s="3">
        <v>0</v>
      </c>
      <c r="Q636" s="3">
        <v>0</v>
      </c>
      <c r="R636" s="3">
        <f>Q636*3000</f>
        <v>0</v>
      </c>
      <c r="S636" s="3">
        <v>0</v>
      </c>
      <c r="T636" s="3">
        <v>0</v>
      </c>
      <c r="U636" s="3">
        <v>0</v>
      </c>
      <c r="V636" s="5">
        <f t="shared" ref="V636:V644" si="153">N636/M636</f>
        <v>4839.556681548027</v>
      </c>
    </row>
    <row r="637" spans="1:22" ht="27" customHeight="1" x14ac:dyDescent="0.25">
      <c r="A637" s="21" t="s">
        <v>1524</v>
      </c>
      <c r="B637" s="24" t="s">
        <v>276</v>
      </c>
      <c r="C637" s="2">
        <f t="shared" si="151"/>
        <v>1828658.93</v>
      </c>
      <c r="D637" s="3">
        <f t="shared" si="152"/>
        <v>0</v>
      </c>
      <c r="E637" s="3">
        <v>0</v>
      </c>
      <c r="F637" s="3">
        <v>0</v>
      </c>
      <c r="G637" s="3">
        <v>0</v>
      </c>
      <c r="H637" s="3">
        <v>0</v>
      </c>
      <c r="I637" s="3">
        <v>0</v>
      </c>
      <c r="J637" s="3">
        <v>0</v>
      </c>
      <c r="K637" s="4">
        <v>0</v>
      </c>
      <c r="L637" s="3">
        <v>0</v>
      </c>
      <c r="M637" s="3">
        <v>374.08</v>
      </c>
      <c r="N637" s="3">
        <v>1828658.93</v>
      </c>
      <c r="O637" s="3">
        <v>0</v>
      </c>
      <c r="P637" s="3">
        <v>0</v>
      </c>
      <c r="Q637" s="3">
        <v>0</v>
      </c>
      <c r="R637" s="3">
        <f>Q637*3000</f>
        <v>0</v>
      </c>
      <c r="S637" s="3">
        <v>0</v>
      </c>
      <c r="T637" s="3">
        <v>0</v>
      </c>
      <c r="U637" s="3">
        <v>0</v>
      </c>
      <c r="V637" s="5">
        <f t="shared" si="153"/>
        <v>4888.4167290419164</v>
      </c>
    </row>
    <row r="638" spans="1:22" ht="27" customHeight="1" x14ac:dyDescent="0.25">
      <c r="A638" s="21" t="s">
        <v>1525</v>
      </c>
      <c r="B638" s="24" t="s">
        <v>280</v>
      </c>
      <c r="C638" s="2">
        <f t="shared" si="151"/>
        <v>50765.18</v>
      </c>
      <c r="D638" s="3">
        <f t="shared" si="152"/>
        <v>0</v>
      </c>
      <c r="E638" s="3">
        <v>0</v>
      </c>
      <c r="F638" s="3">
        <v>0</v>
      </c>
      <c r="G638" s="3">
        <v>0</v>
      </c>
      <c r="H638" s="3">
        <v>0</v>
      </c>
      <c r="I638" s="3">
        <v>0</v>
      </c>
      <c r="J638" s="3">
        <v>0</v>
      </c>
      <c r="K638" s="4">
        <v>0</v>
      </c>
      <c r="L638" s="3">
        <v>0</v>
      </c>
      <c r="M638" s="3">
        <v>0</v>
      </c>
      <c r="N638" s="3">
        <v>0</v>
      </c>
      <c r="O638" s="3">
        <v>0</v>
      </c>
      <c r="P638" s="3">
        <v>0</v>
      </c>
      <c r="Q638" s="3">
        <v>0</v>
      </c>
      <c r="R638" s="3">
        <v>0</v>
      </c>
      <c r="S638" s="3">
        <v>0</v>
      </c>
      <c r="T638" s="3">
        <v>0</v>
      </c>
      <c r="U638" s="3">
        <v>50765.18</v>
      </c>
      <c r="V638" s="5" t="e">
        <f t="shared" si="153"/>
        <v>#DIV/0!</v>
      </c>
    </row>
    <row r="639" spans="1:22" ht="27" customHeight="1" x14ac:dyDescent="0.25">
      <c r="A639" s="21" t="s">
        <v>1526</v>
      </c>
      <c r="B639" s="24" t="s">
        <v>281</v>
      </c>
      <c r="C639" s="2">
        <f t="shared" si="151"/>
        <v>3752911.46</v>
      </c>
      <c r="D639" s="3">
        <f t="shared" si="152"/>
        <v>0</v>
      </c>
      <c r="E639" s="3">
        <v>0</v>
      </c>
      <c r="F639" s="3">
        <v>0</v>
      </c>
      <c r="G639" s="3">
        <v>0</v>
      </c>
      <c r="H639" s="3">
        <f>400*0</f>
        <v>0</v>
      </c>
      <c r="I639" s="3">
        <v>0</v>
      </c>
      <c r="J639" s="3">
        <v>0</v>
      </c>
      <c r="K639" s="4">
        <v>0</v>
      </c>
      <c r="L639" s="3">
        <v>0</v>
      </c>
      <c r="M639" s="3">
        <v>381</v>
      </c>
      <c r="N639" s="3">
        <v>2063895.6</v>
      </c>
      <c r="O639" s="3">
        <v>0</v>
      </c>
      <c r="P639" s="3">
        <v>0</v>
      </c>
      <c r="Q639" s="3">
        <v>520.12</v>
      </c>
      <c r="R639" s="3">
        <v>1558579.2</v>
      </c>
      <c r="S639" s="3">
        <v>0</v>
      </c>
      <c r="T639" s="3">
        <v>0</v>
      </c>
      <c r="U639" s="3">
        <v>130436.66</v>
      </c>
      <c r="V639" s="5">
        <f t="shared" si="153"/>
        <v>5417.0488188976378</v>
      </c>
    </row>
    <row r="640" spans="1:22" ht="27" customHeight="1" x14ac:dyDescent="0.25">
      <c r="A640" s="21" t="s">
        <v>1527</v>
      </c>
      <c r="B640" s="24" t="s">
        <v>282</v>
      </c>
      <c r="C640" s="2">
        <f t="shared" si="151"/>
        <v>1982366</v>
      </c>
      <c r="D640" s="3">
        <f t="shared" si="152"/>
        <v>0</v>
      </c>
      <c r="E640" s="3">
        <v>0</v>
      </c>
      <c r="F640" s="3">
        <v>0</v>
      </c>
      <c r="G640" s="3">
        <v>0</v>
      </c>
      <c r="H640" s="3">
        <v>0</v>
      </c>
      <c r="I640" s="3">
        <v>0</v>
      </c>
      <c r="J640" s="3">
        <v>0</v>
      </c>
      <c r="K640" s="4">
        <v>0</v>
      </c>
      <c r="L640" s="3">
        <v>0</v>
      </c>
      <c r="M640" s="3">
        <v>379.98</v>
      </c>
      <c r="N640" s="3">
        <v>1982366</v>
      </c>
      <c r="O640" s="3">
        <v>0</v>
      </c>
      <c r="P640" s="3">
        <v>0</v>
      </c>
      <c r="Q640" s="3">
        <v>0</v>
      </c>
      <c r="R640" s="3">
        <f>Q640*3000</f>
        <v>0</v>
      </c>
      <c r="S640" s="3">
        <v>0</v>
      </c>
      <c r="T640" s="3">
        <v>0</v>
      </c>
      <c r="U640" s="3">
        <v>0</v>
      </c>
      <c r="V640" s="5">
        <f t="shared" si="153"/>
        <v>5217.0272119585243</v>
      </c>
    </row>
    <row r="641" spans="1:22" ht="27" customHeight="1" x14ac:dyDescent="0.25">
      <c r="A641" s="21" t="s">
        <v>1528</v>
      </c>
      <c r="B641" s="24" t="s">
        <v>283</v>
      </c>
      <c r="C641" s="2">
        <f t="shared" si="151"/>
        <v>3756358.76</v>
      </c>
      <c r="D641" s="3">
        <f t="shared" si="152"/>
        <v>523692.6</v>
      </c>
      <c r="E641" s="3">
        <f>350*502.5</f>
        <v>175875</v>
      </c>
      <c r="F641" s="3">
        <v>347817.6</v>
      </c>
      <c r="G641" s="3">
        <v>0</v>
      </c>
      <c r="H641" s="3">
        <f>400*0</f>
        <v>0</v>
      </c>
      <c r="I641" s="3">
        <v>0</v>
      </c>
      <c r="J641" s="3">
        <v>0</v>
      </c>
      <c r="K641" s="4">
        <v>0</v>
      </c>
      <c r="L641" s="3">
        <v>0</v>
      </c>
      <c r="M641" s="3">
        <v>367.9</v>
      </c>
      <c r="N641" s="3">
        <v>1686638.4</v>
      </c>
      <c r="O641" s="3">
        <v>0</v>
      </c>
      <c r="P641" s="3">
        <v>0</v>
      </c>
      <c r="Q641" s="3">
        <v>506.32</v>
      </c>
      <c r="R641" s="3">
        <v>1416624</v>
      </c>
      <c r="S641" s="3">
        <v>0</v>
      </c>
      <c r="T641" s="3">
        <v>0</v>
      </c>
      <c r="U641" s="3">
        <v>129403.76</v>
      </c>
      <c r="V641" s="5">
        <f t="shared" si="153"/>
        <v>4584.5023104104375</v>
      </c>
    </row>
    <row r="642" spans="1:22" ht="27" customHeight="1" x14ac:dyDescent="0.25">
      <c r="A642" s="21" t="s">
        <v>1529</v>
      </c>
      <c r="B642" s="24" t="s">
        <v>284</v>
      </c>
      <c r="C642" s="2">
        <f t="shared" si="151"/>
        <v>1985045.6199999999</v>
      </c>
      <c r="D642" s="3">
        <f t="shared" si="152"/>
        <v>183436.4</v>
      </c>
      <c r="E642" s="3">
        <v>183436.4</v>
      </c>
      <c r="F642" s="3">
        <v>0</v>
      </c>
      <c r="G642" s="3">
        <v>0</v>
      </c>
      <c r="H642" s="3">
        <f>400*0</f>
        <v>0</v>
      </c>
      <c r="I642" s="3">
        <v>0</v>
      </c>
      <c r="J642" s="3">
        <v>0</v>
      </c>
      <c r="K642" s="4">
        <v>0</v>
      </c>
      <c r="L642" s="3">
        <v>0</v>
      </c>
      <c r="M642" s="3">
        <v>0</v>
      </c>
      <c r="N642" s="3">
        <v>0</v>
      </c>
      <c r="O642" s="3">
        <v>0</v>
      </c>
      <c r="P642" s="3">
        <v>0</v>
      </c>
      <c r="Q642" s="3">
        <v>584</v>
      </c>
      <c r="R642" s="3">
        <v>1752000</v>
      </c>
      <c r="S642" s="3">
        <v>0</v>
      </c>
      <c r="T642" s="3">
        <v>0</v>
      </c>
      <c r="U642" s="3">
        <v>49609.22</v>
      </c>
      <c r="V642" s="5" t="e">
        <f t="shared" si="153"/>
        <v>#DIV/0!</v>
      </c>
    </row>
    <row r="643" spans="1:22" ht="27" customHeight="1" x14ac:dyDescent="0.25">
      <c r="A643" s="21" t="s">
        <v>1530</v>
      </c>
      <c r="B643" s="24" t="s">
        <v>286</v>
      </c>
      <c r="C643" s="2">
        <f t="shared" si="151"/>
        <v>1924434.58</v>
      </c>
      <c r="D643" s="3">
        <f t="shared" si="152"/>
        <v>185827.8</v>
      </c>
      <c r="E643" s="3">
        <v>185827.8</v>
      </c>
      <c r="F643" s="3">
        <v>0</v>
      </c>
      <c r="G643" s="3">
        <v>0</v>
      </c>
      <c r="H643" s="3">
        <v>0</v>
      </c>
      <c r="I643" s="3">
        <v>0</v>
      </c>
      <c r="J643" s="3">
        <v>0</v>
      </c>
      <c r="K643" s="4">
        <v>0</v>
      </c>
      <c r="L643" s="3">
        <v>0</v>
      </c>
      <c r="M643" s="3">
        <v>0</v>
      </c>
      <c r="N643" s="3">
        <v>0</v>
      </c>
      <c r="O643" s="3">
        <v>0</v>
      </c>
      <c r="P643" s="3">
        <v>0</v>
      </c>
      <c r="Q643" s="3">
        <v>584</v>
      </c>
      <c r="R643" s="3">
        <v>1689000</v>
      </c>
      <c r="S643" s="3">
        <v>0</v>
      </c>
      <c r="T643" s="3">
        <v>0</v>
      </c>
      <c r="U643" s="3">
        <v>49606.78</v>
      </c>
      <c r="V643" s="5" t="e">
        <f t="shared" si="153"/>
        <v>#DIV/0!</v>
      </c>
    </row>
    <row r="644" spans="1:22" ht="27" customHeight="1" x14ac:dyDescent="0.25">
      <c r="A644" s="21" t="s">
        <v>1531</v>
      </c>
      <c r="B644" s="24" t="s">
        <v>285</v>
      </c>
      <c r="C644" s="2">
        <f t="shared" si="151"/>
        <v>1183260.1000000001</v>
      </c>
      <c r="D644" s="3">
        <f t="shared" si="152"/>
        <v>0</v>
      </c>
      <c r="E644" s="3">
        <v>0</v>
      </c>
      <c r="F644" s="3">
        <v>0</v>
      </c>
      <c r="G644" s="3">
        <v>0</v>
      </c>
      <c r="H644" s="3">
        <v>0</v>
      </c>
      <c r="I644" s="3">
        <v>0</v>
      </c>
      <c r="J644" s="3">
        <v>0</v>
      </c>
      <c r="K644" s="4">
        <v>0</v>
      </c>
      <c r="L644" s="3">
        <v>0</v>
      </c>
      <c r="M644" s="3">
        <v>253.3</v>
      </c>
      <c r="N644" s="3">
        <v>1183260.1000000001</v>
      </c>
      <c r="O644" s="3">
        <v>0</v>
      </c>
      <c r="P644" s="3">
        <v>0</v>
      </c>
      <c r="Q644" s="3">
        <v>0</v>
      </c>
      <c r="R644" s="3">
        <f>Q644*3000</f>
        <v>0</v>
      </c>
      <c r="S644" s="3">
        <v>0</v>
      </c>
      <c r="T644" s="3">
        <v>0</v>
      </c>
      <c r="U644" s="3">
        <v>0</v>
      </c>
      <c r="V644" s="5">
        <f t="shared" si="153"/>
        <v>4671.3782076589023</v>
      </c>
    </row>
    <row r="645" spans="1:22" ht="45" customHeight="1" x14ac:dyDescent="0.25">
      <c r="A645" s="54" t="s">
        <v>297</v>
      </c>
      <c r="B645" s="55"/>
      <c r="C645" s="2">
        <f>SUM(C646)</f>
        <v>2061214.01</v>
      </c>
      <c r="D645" s="2">
        <f t="shared" ref="D645:U645" si="154">SUM(D646:D646)</f>
        <v>0</v>
      </c>
      <c r="E645" s="2">
        <f t="shared" si="154"/>
        <v>0</v>
      </c>
      <c r="F645" s="2">
        <f t="shared" si="154"/>
        <v>0</v>
      </c>
      <c r="G645" s="2">
        <f t="shared" si="154"/>
        <v>0</v>
      </c>
      <c r="H645" s="2">
        <f t="shared" si="154"/>
        <v>0</v>
      </c>
      <c r="I645" s="2">
        <f t="shared" si="154"/>
        <v>0</v>
      </c>
      <c r="J645" s="2">
        <f t="shared" si="154"/>
        <v>0</v>
      </c>
      <c r="K645" s="18">
        <f t="shared" si="154"/>
        <v>0</v>
      </c>
      <c r="L645" s="2">
        <f t="shared" si="154"/>
        <v>0</v>
      </c>
      <c r="M645" s="2">
        <f t="shared" si="154"/>
        <v>198.82</v>
      </c>
      <c r="N645" s="2">
        <f t="shared" si="154"/>
        <v>1093510</v>
      </c>
      <c r="O645" s="2">
        <f t="shared" si="154"/>
        <v>0</v>
      </c>
      <c r="P645" s="2">
        <f t="shared" si="154"/>
        <v>0</v>
      </c>
      <c r="Q645" s="2">
        <f t="shared" si="154"/>
        <v>306</v>
      </c>
      <c r="R645" s="2">
        <f t="shared" si="154"/>
        <v>918000</v>
      </c>
      <c r="S645" s="2">
        <f t="shared" si="154"/>
        <v>0</v>
      </c>
      <c r="T645" s="2">
        <f t="shared" si="154"/>
        <v>0</v>
      </c>
      <c r="U645" s="2">
        <f t="shared" si="154"/>
        <v>49704.01</v>
      </c>
    </row>
    <row r="646" spans="1:22" ht="25.15" customHeight="1" x14ac:dyDescent="0.25">
      <c r="A646" s="15" t="s">
        <v>1532</v>
      </c>
      <c r="B646" s="24" t="s">
        <v>299</v>
      </c>
      <c r="C646" s="2">
        <f>D646+L646+N646+P646+R646+S646+T646+U646</f>
        <v>2061214.01</v>
      </c>
      <c r="D646" s="3">
        <f>SUM(E646:J646)</f>
        <v>0</v>
      </c>
      <c r="E646" s="13">
        <v>0</v>
      </c>
      <c r="F646" s="13">
        <v>0</v>
      </c>
      <c r="G646" s="13">
        <v>0</v>
      </c>
      <c r="H646" s="13">
        <v>0</v>
      </c>
      <c r="I646" s="13">
        <v>0</v>
      </c>
      <c r="J646" s="13">
        <v>0</v>
      </c>
      <c r="K646" s="14">
        <v>0</v>
      </c>
      <c r="L646" s="13">
        <v>0</v>
      </c>
      <c r="M646" s="13">
        <v>198.82</v>
      </c>
      <c r="N646" s="3">
        <v>1093510</v>
      </c>
      <c r="O646" s="13">
        <v>0</v>
      </c>
      <c r="P646" s="13">
        <v>0</v>
      </c>
      <c r="Q646" s="13">
        <v>306</v>
      </c>
      <c r="R646" s="3">
        <v>918000</v>
      </c>
      <c r="S646" s="13">
        <v>0</v>
      </c>
      <c r="T646" s="13">
        <v>0</v>
      </c>
      <c r="U646" s="3">
        <v>49704.01</v>
      </c>
      <c r="V646" s="5">
        <f>N646/M646</f>
        <v>5500</v>
      </c>
    </row>
    <row r="647" spans="1:22" ht="45" customHeight="1" x14ac:dyDescent="0.25">
      <c r="A647" s="51" t="s">
        <v>309</v>
      </c>
      <c r="B647" s="51"/>
      <c r="C647" s="2">
        <f t="shared" ref="C647:U647" si="155">SUM(C648:C650)</f>
        <v>11345698.74</v>
      </c>
      <c r="D647" s="2">
        <f t="shared" si="155"/>
        <v>275796</v>
      </c>
      <c r="E647" s="2">
        <f t="shared" si="155"/>
        <v>275796</v>
      </c>
      <c r="F647" s="2">
        <f t="shared" si="155"/>
        <v>0</v>
      </c>
      <c r="G647" s="2">
        <f t="shared" si="155"/>
        <v>0</v>
      </c>
      <c r="H647" s="2">
        <f t="shared" si="155"/>
        <v>0</v>
      </c>
      <c r="I647" s="2">
        <f t="shared" si="155"/>
        <v>0</v>
      </c>
      <c r="J647" s="2">
        <f t="shared" si="155"/>
        <v>0</v>
      </c>
      <c r="K647" s="18">
        <f t="shared" si="155"/>
        <v>0</v>
      </c>
      <c r="L647" s="2">
        <f t="shared" si="155"/>
        <v>0</v>
      </c>
      <c r="M647" s="2">
        <f t="shared" si="155"/>
        <v>1633.31</v>
      </c>
      <c r="N647" s="2">
        <f t="shared" si="155"/>
        <v>8891853</v>
      </c>
      <c r="O647" s="2">
        <f t="shared" si="155"/>
        <v>0</v>
      </c>
      <c r="P647" s="2">
        <f t="shared" si="155"/>
        <v>0</v>
      </c>
      <c r="Q647" s="2">
        <f t="shared" si="155"/>
        <v>716.78</v>
      </c>
      <c r="R647" s="2">
        <f t="shared" si="155"/>
        <v>2123192.4</v>
      </c>
      <c r="S647" s="2">
        <f t="shared" si="155"/>
        <v>0</v>
      </c>
      <c r="T647" s="2">
        <f t="shared" si="155"/>
        <v>0</v>
      </c>
      <c r="U647" s="2">
        <f t="shared" si="155"/>
        <v>54857.34</v>
      </c>
    </row>
    <row r="648" spans="1:22" ht="25.15" customHeight="1" x14ac:dyDescent="0.25">
      <c r="A648" s="21" t="s">
        <v>1533</v>
      </c>
      <c r="B648" s="24" t="s">
        <v>310</v>
      </c>
      <c r="C648" s="2">
        <f>D648+L648+N648+P648+R648+S648+T648+U648</f>
        <v>6058050.7400000002</v>
      </c>
      <c r="D648" s="3">
        <f>SUM(E648:J648)</f>
        <v>275796</v>
      </c>
      <c r="E648" s="3">
        <v>275796</v>
      </c>
      <c r="F648" s="3">
        <v>0</v>
      </c>
      <c r="G648" s="3">
        <f>350*0</f>
        <v>0</v>
      </c>
      <c r="H648" s="3">
        <f>400*0</f>
        <v>0</v>
      </c>
      <c r="I648" s="3">
        <f>250*0</f>
        <v>0</v>
      </c>
      <c r="J648" s="3">
        <v>0</v>
      </c>
      <c r="K648" s="4">
        <v>0</v>
      </c>
      <c r="L648" s="3">
        <v>0</v>
      </c>
      <c r="M648" s="3">
        <v>655.30999999999995</v>
      </c>
      <c r="N648" s="3">
        <v>3604205</v>
      </c>
      <c r="O648" s="3">
        <v>0</v>
      </c>
      <c r="P648" s="3">
        <v>0</v>
      </c>
      <c r="Q648" s="3">
        <v>716.78</v>
      </c>
      <c r="R648" s="3">
        <v>2123192.4</v>
      </c>
      <c r="S648" s="3">
        <v>0</v>
      </c>
      <c r="T648" s="3">
        <v>0</v>
      </c>
      <c r="U648" s="3">
        <v>54857.34</v>
      </c>
      <c r="V648" s="5">
        <f>N648/M648</f>
        <v>5500.0000000000009</v>
      </c>
    </row>
    <row r="649" spans="1:22" ht="25.15" customHeight="1" x14ac:dyDescent="0.25">
      <c r="A649" s="21" t="s">
        <v>1534</v>
      </c>
      <c r="B649" s="24" t="s">
        <v>806</v>
      </c>
      <c r="C649" s="2">
        <f>D649+L649+N649+P649+R649+S649+T649+U649</f>
        <v>3390200</v>
      </c>
      <c r="D649" s="3">
        <f>SUM(E649:J649)</f>
        <v>0</v>
      </c>
      <c r="E649" s="3">
        <v>0</v>
      </c>
      <c r="F649" s="3">
        <v>0</v>
      </c>
      <c r="G649" s="3">
        <v>0</v>
      </c>
      <c r="H649" s="3">
        <v>0</v>
      </c>
      <c r="I649" s="3">
        <v>0</v>
      </c>
      <c r="J649" s="3">
        <v>0</v>
      </c>
      <c r="K649" s="4">
        <v>0</v>
      </c>
      <c r="L649" s="3">
        <v>0</v>
      </c>
      <c r="M649" s="3">
        <v>616.4</v>
      </c>
      <c r="N649" s="3">
        <v>3390200</v>
      </c>
      <c r="O649" s="3">
        <v>0</v>
      </c>
      <c r="P649" s="3">
        <v>0</v>
      </c>
      <c r="Q649" s="3">
        <v>0</v>
      </c>
      <c r="R649" s="3">
        <f>Q649*3000</f>
        <v>0</v>
      </c>
      <c r="S649" s="3">
        <v>0</v>
      </c>
      <c r="T649" s="3">
        <v>0</v>
      </c>
      <c r="U649" s="3">
        <v>0</v>
      </c>
      <c r="V649" s="5">
        <f>N649/M649</f>
        <v>5500</v>
      </c>
    </row>
    <row r="650" spans="1:22" ht="25.15" customHeight="1" x14ac:dyDescent="0.25">
      <c r="A650" s="21" t="s">
        <v>1535</v>
      </c>
      <c r="B650" s="24" t="s">
        <v>311</v>
      </c>
      <c r="C650" s="2">
        <f>D650+L650+N650+P650+R650+S650+T650+U650</f>
        <v>1897448</v>
      </c>
      <c r="D650" s="3">
        <f>SUM(E650:J650)</f>
        <v>0</v>
      </c>
      <c r="E650" s="3">
        <v>0</v>
      </c>
      <c r="F650" s="3">
        <v>0</v>
      </c>
      <c r="G650" s="3">
        <v>0</v>
      </c>
      <c r="H650" s="3">
        <v>0</v>
      </c>
      <c r="I650" s="3">
        <v>0</v>
      </c>
      <c r="J650" s="3">
        <v>0</v>
      </c>
      <c r="K650" s="4">
        <v>0</v>
      </c>
      <c r="L650" s="3">
        <v>0</v>
      </c>
      <c r="M650" s="3">
        <v>361.6</v>
      </c>
      <c r="N650" s="3">
        <v>1897448</v>
      </c>
      <c r="O650" s="3">
        <v>0</v>
      </c>
      <c r="P650" s="3">
        <v>0</v>
      </c>
      <c r="Q650" s="3">
        <v>0</v>
      </c>
      <c r="R650" s="3">
        <f>Q650*3000</f>
        <v>0</v>
      </c>
      <c r="S650" s="3">
        <v>0</v>
      </c>
      <c r="T650" s="3">
        <v>0</v>
      </c>
      <c r="U650" s="3">
        <v>0</v>
      </c>
      <c r="V650" s="5">
        <f>N650/M650</f>
        <v>5247.3672566371679</v>
      </c>
    </row>
    <row r="651" spans="1:22" ht="40.15" customHeight="1" x14ac:dyDescent="0.25">
      <c r="A651" s="51" t="s">
        <v>313</v>
      </c>
      <c r="B651" s="51"/>
      <c r="C651" s="2">
        <f t="shared" ref="C651:U651" si="156">SUM(C652)</f>
        <v>135975.51999999999</v>
      </c>
      <c r="D651" s="2">
        <f t="shared" si="156"/>
        <v>0</v>
      </c>
      <c r="E651" s="2">
        <f t="shared" si="156"/>
        <v>0</v>
      </c>
      <c r="F651" s="2">
        <f t="shared" si="156"/>
        <v>0</v>
      </c>
      <c r="G651" s="2">
        <f t="shared" si="156"/>
        <v>0</v>
      </c>
      <c r="H651" s="2">
        <f t="shared" si="156"/>
        <v>0</v>
      </c>
      <c r="I651" s="2">
        <f t="shared" si="156"/>
        <v>0</v>
      </c>
      <c r="J651" s="2">
        <f t="shared" si="156"/>
        <v>0</v>
      </c>
      <c r="K651" s="18">
        <f t="shared" si="156"/>
        <v>0</v>
      </c>
      <c r="L651" s="2">
        <f t="shared" si="156"/>
        <v>0</v>
      </c>
      <c r="M651" s="2">
        <f t="shared" si="156"/>
        <v>0</v>
      </c>
      <c r="N651" s="2">
        <f t="shared" si="156"/>
        <v>0</v>
      </c>
      <c r="O651" s="2">
        <f t="shared" si="156"/>
        <v>0</v>
      </c>
      <c r="P651" s="2">
        <f t="shared" si="156"/>
        <v>0</v>
      </c>
      <c r="Q651" s="2">
        <f t="shared" si="156"/>
        <v>0</v>
      </c>
      <c r="R651" s="2">
        <f t="shared" si="156"/>
        <v>0</v>
      </c>
      <c r="S651" s="2">
        <f t="shared" si="156"/>
        <v>0</v>
      </c>
      <c r="T651" s="2">
        <f t="shared" si="156"/>
        <v>0</v>
      </c>
      <c r="U651" s="2">
        <f t="shared" si="156"/>
        <v>135975.51999999999</v>
      </c>
    </row>
    <row r="652" spans="1:22" ht="25.15" customHeight="1" x14ac:dyDescent="0.25">
      <c r="A652" s="21" t="s">
        <v>1536</v>
      </c>
      <c r="B652" s="1" t="s">
        <v>314</v>
      </c>
      <c r="C652" s="2">
        <f>D652+L652+N652+P652+R652+S652+T652+U652</f>
        <v>135975.51999999999</v>
      </c>
      <c r="D652" s="3">
        <f>SUM(E652:J652)</f>
        <v>0</v>
      </c>
      <c r="E652" s="3">
        <v>0</v>
      </c>
      <c r="F652" s="3">
        <v>0</v>
      </c>
      <c r="G652" s="3">
        <v>0</v>
      </c>
      <c r="H652" s="3">
        <v>0</v>
      </c>
      <c r="I652" s="3">
        <v>0</v>
      </c>
      <c r="J652" s="3">
        <v>0</v>
      </c>
      <c r="K652" s="4">
        <v>0</v>
      </c>
      <c r="L652" s="3">
        <v>0</v>
      </c>
      <c r="M652" s="3">
        <v>0</v>
      </c>
      <c r="N652" s="3">
        <f>M652*5500</f>
        <v>0</v>
      </c>
      <c r="O652" s="3">
        <v>0</v>
      </c>
      <c r="P652" s="3">
        <v>0</v>
      </c>
      <c r="Q652" s="3">
        <v>0</v>
      </c>
      <c r="R652" s="3">
        <f>Q652*3000</f>
        <v>0</v>
      </c>
      <c r="S652" s="3">
        <v>0</v>
      </c>
      <c r="T652" s="3">
        <v>0</v>
      </c>
      <c r="U652" s="3">
        <v>135975.51999999999</v>
      </c>
      <c r="V652" s="5" t="e">
        <f>N652/M652</f>
        <v>#DIV/0!</v>
      </c>
    </row>
    <row r="653" spans="1:22" ht="35.1" customHeight="1" x14ac:dyDescent="0.25">
      <c r="A653" s="51" t="s">
        <v>316</v>
      </c>
      <c r="B653" s="51"/>
      <c r="C653" s="2">
        <f t="shared" ref="C653:U653" si="157">SUM(C654)</f>
        <v>3360251.39</v>
      </c>
      <c r="D653" s="2">
        <f t="shared" si="157"/>
        <v>210542.89</v>
      </c>
      <c r="E653" s="2">
        <f t="shared" si="157"/>
        <v>210542.89</v>
      </c>
      <c r="F653" s="2">
        <f t="shared" si="157"/>
        <v>0</v>
      </c>
      <c r="G653" s="2">
        <f t="shared" si="157"/>
        <v>0</v>
      </c>
      <c r="H653" s="2">
        <f t="shared" si="157"/>
        <v>0</v>
      </c>
      <c r="I653" s="2">
        <f t="shared" si="157"/>
        <v>0</v>
      </c>
      <c r="J653" s="2">
        <f t="shared" si="157"/>
        <v>0</v>
      </c>
      <c r="K653" s="18">
        <f t="shared" si="157"/>
        <v>0</v>
      </c>
      <c r="L653" s="2">
        <f t="shared" si="157"/>
        <v>0</v>
      </c>
      <c r="M653" s="2">
        <f t="shared" si="157"/>
        <v>372</v>
      </c>
      <c r="N653" s="2">
        <f t="shared" si="157"/>
        <v>1857992.69</v>
      </c>
      <c r="O653" s="2">
        <f t="shared" si="157"/>
        <v>0</v>
      </c>
      <c r="P653" s="2">
        <f t="shared" si="157"/>
        <v>0</v>
      </c>
      <c r="Q653" s="2">
        <f t="shared" si="157"/>
        <v>449.2</v>
      </c>
      <c r="R653" s="2">
        <f t="shared" si="157"/>
        <v>1170166</v>
      </c>
      <c r="S653" s="2">
        <f t="shared" si="157"/>
        <v>0</v>
      </c>
      <c r="T653" s="2">
        <f t="shared" si="157"/>
        <v>0</v>
      </c>
      <c r="U653" s="2">
        <f t="shared" si="157"/>
        <v>121549.81</v>
      </c>
      <c r="V653" s="20">
        <f>C653</f>
        <v>3360251.39</v>
      </c>
    </row>
    <row r="654" spans="1:22" ht="24" customHeight="1" x14ac:dyDescent="0.25">
      <c r="A654" s="15" t="s">
        <v>1537</v>
      </c>
      <c r="B654" s="24" t="s">
        <v>317</v>
      </c>
      <c r="C654" s="2">
        <f>D654+L654+N654+P654+R654+S654+T654+U654</f>
        <v>3360251.39</v>
      </c>
      <c r="D654" s="3">
        <f>SUM(E654:J654)</f>
        <v>210542.89</v>
      </c>
      <c r="E654" s="3">
        <v>210542.89</v>
      </c>
      <c r="F654" s="3">
        <v>0</v>
      </c>
      <c r="G654" s="3">
        <v>0</v>
      </c>
      <c r="H654" s="3">
        <v>0</v>
      </c>
      <c r="I654" s="3">
        <v>0</v>
      </c>
      <c r="J654" s="3">
        <v>0</v>
      </c>
      <c r="K654" s="14">
        <v>0</v>
      </c>
      <c r="L654" s="13">
        <v>0</v>
      </c>
      <c r="M654" s="13">
        <v>372</v>
      </c>
      <c r="N654" s="3">
        <v>1857992.69</v>
      </c>
      <c r="O654" s="13">
        <v>0</v>
      </c>
      <c r="P654" s="13">
        <v>0</v>
      </c>
      <c r="Q654" s="13">
        <v>449.2</v>
      </c>
      <c r="R654" s="13">
        <v>1170166</v>
      </c>
      <c r="S654" s="13">
        <v>0</v>
      </c>
      <c r="T654" s="13">
        <v>0</v>
      </c>
      <c r="U654" s="13">
        <v>121549.81</v>
      </c>
      <c r="V654" s="5">
        <f>N654/M654</f>
        <v>4994.6040053763436</v>
      </c>
    </row>
    <row r="655" spans="1:22" ht="40.15" customHeight="1" x14ac:dyDescent="0.25">
      <c r="A655" s="51" t="s">
        <v>318</v>
      </c>
      <c r="B655" s="51"/>
      <c r="C655" s="2">
        <f t="shared" ref="C655:U655" si="158">SUM(C656:C657)</f>
        <v>23757056.829999998</v>
      </c>
      <c r="D655" s="2">
        <f t="shared" si="158"/>
        <v>1892872.09</v>
      </c>
      <c r="E655" s="2">
        <f t="shared" si="158"/>
        <v>639576.05000000005</v>
      </c>
      <c r="F655" s="2">
        <f t="shared" si="158"/>
        <v>945793.27</v>
      </c>
      <c r="G655" s="2">
        <f t="shared" si="158"/>
        <v>106304.81</v>
      </c>
      <c r="H655" s="2">
        <f t="shared" si="158"/>
        <v>120763.15</v>
      </c>
      <c r="I655" s="2">
        <f t="shared" si="158"/>
        <v>80434.81</v>
      </c>
      <c r="J655" s="2">
        <f t="shared" si="158"/>
        <v>0</v>
      </c>
      <c r="K655" s="18">
        <f t="shared" si="158"/>
        <v>0</v>
      </c>
      <c r="L655" s="2">
        <f t="shared" si="158"/>
        <v>0</v>
      </c>
      <c r="M655" s="2">
        <f t="shared" si="158"/>
        <v>1921.59</v>
      </c>
      <c r="N655" s="2">
        <f t="shared" si="158"/>
        <v>10567276.800000001</v>
      </c>
      <c r="O655" s="2">
        <f t="shared" si="158"/>
        <v>0</v>
      </c>
      <c r="P655" s="2">
        <f t="shared" si="158"/>
        <v>0</v>
      </c>
      <c r="Q655" s="2">
        <f t="shared" si="158"/>
        <v>4702.6499999999996</v>
      </c>
      <c r="R655" s="2">
        <f t="shared" si="158"/>
        <v>11164609.199999999</v>
      </c>
      <c r="S655" s="2">
        <f t="shared" si="158"/>
        <v>0</v>
      </c>
      <c r="T655" s="2">
        <f t="shared" si="158"/>
        <v>0</v>
      </c>
      <c r="U655" s="2">
        <f t="shared" si="158"/>
        <v>132298.74</v>
      </c>
    </row>
    <row r="656" spans="1:22" ht="24" customHeight="1" x14ac:dyDescent="0.25">
      <c r="A656" s="21" t="s">
        <v>1538</v>
      </c>
      <c r="B656" s="24" t="s">
        <v>793</v>
      </c>
      <c r="C656" s="2">
        <f>D656+L656+N656+P656+R656+S656+T656+U656</f>
        <v>2025170.83</v>
      </c>
      <c r="D656" s="3">
        <f>SUM(E656:J656)</f>
        <v>1892872.09</v>
      </c>
      <c r="E656" s="3">
        <v>639576.05000000005</v>
      </c>
      <c r="F656" s="3">
        <v>945793.27</v>
      </c>
      <c r="G656" s="3">
        <v>106304.81</v>
      </c>
      <c r="H656" s="3">
        <v>120763.15</v>
      </c>
      <c r="I656" s="3">
        <v>80434.81</v>
      </c>
      <c r="J656" s="3">
        <f>350*0</f>
        <v>0</v>
      </c>
      <c r="K656" s="4">
        <v>0</v>
      </c>
      <c r="L656" s="3">
        <v>0</v>
      </c>
      <c r="M656" s="3">
        <v>0</v>
      </c>
      <c r="N656" s="3">
        <v>0</v>
      </c>
      <c r="O656" s="3">
        <v>0</v>
      </c>
      <c r="P656" s="3">
        <v>0</v>
      </c>
      <c r="Q656" s="3">
        <v>0</v>
      </c>
      <c r="R656" s="3">
        <v>0</v>
      </c>
      <c r="S656" s="3">
        <v>0</v>
      </c>
      <c r="T656" s="3">
        <v>0</v>
      </c>
      <c r="U656" s="3">
        <v>132298.74</v>
      </c>
      <c r="V656" s="5" t="e">
        <f>N656/M656</f>
        <v>#DIV/0!</v>
      </c>
    </row>
    <row r="657" spans="1:22" ht="24" customHeight="1" x14ac:dyDescent="0.25">
      <c r="A657" s="21" t="s">
        <v>1539</v>
      </c>
      <c r="B657" s="24" t="s">
        <v>319</v>
      </c>
      <c r="C657" s="2">
        <f>D657+L657+N657+P657+R657+S657+T657+U657</f>
        <v>21731886</v>
      </c>
      <c r="D657" s="3">
        <f>SUM(E657:J657)</f>
        <v>0</v>
      </c>
      <c r="E657" s="3">
        <v>0</v>
      </c>
      <c r="F657" s="3">
        <v>0</v>
      </c>
      <c r="G657" s="3">
        <v>0</v>
      </c>
      <c r="H657" s="3">
        <v>0</v>
      </c>
      <c r="I657" s="3">
        <v>0</v>
      </c>
      <c r="J657" s="3">
        <v>0</v>
      </c>
      <c r="K657" s="4">
        <v>0</v>
      </c>
      <c r="L657" s="3">
        <v>0</v>
      </c>
      <c r="M657" s="3">
        <v>1921.59</v>
      </c>
      <c r="N657" s="3">
        <v>10567276.800000001</v>
      </c>
      <c r="O657" s="3">
        <v>0</v>
      </c>
      <c r="P657" s="3">
        <v>0</v>
      </c>
      <c r="Q657" s="3">
        <v>4702.6499999999996</v>
      </c>
      <c r="R657" s="3">
        <v>11164609.199999999</v>
      </c>
      <c r="S657" s="3">
        <v>0</v>
      </c>
      <c r="T657" s="3">
        <v>0</v>
      </c>
      <c r="U657" s="3">
        <v>0</v>
      </c>
      <c r="V657" s="5">
        <f>N657/M657</f>
        <v>5499.2359452328546</v>
      </c>
    </row>
    <row r="658" spans="1:22" ht="40.15" customHeight="1" x14ac:dyDescent="0.25">
      <c r="A658" s="51" t="s">
        <v>983</v>
      </c>
      <c r="B658" s="51"/>
      <c r="C658" s="2">
        <f t="shared" ref="C658:U658" si="159">SUM(C659:C671)</f>
        <v>60563369.990000002</v>
      </c>
      <c r="D658" s="2">
        <f t="shared" si="159"/>
        <v>8654544.8000000007</v>
      </c>
      <c r="E658" s="2">
        <f t="shared" si="159"/>
        <v>1420077</v>
      </c>
      <c r="F658" s="2">
        <f t="shared" si="159"/>
        <v>5745657</v>
      </c>
      <c r="G658" s="2">
        <f t="shared" si="159"/>
        <v>421925.6</v>
      </c>
      <c r="H658" s="2">
        <f t="shared" si="159"/>
        <v>0</v>
      </c>
      <c r="I658" s="2">
        <f t="shared" si="159"/>
        <v>1066885.2</v>
      </c>
      <c r="J658" s="2">
        <f t="shared" si="159"/>
        <v>0</v>
      </c>
      <c r="K658" s="18">
        <f t="shared" si="159"/>
        <v>6</v>
      </c>
      <c r="L658" s="2">
        <f t="shared" si="159"/>
        <v>10694764.24</v>
      </c>
      <c r="M658" s="2">
        <f t="shared" si="159"/>
        <v>2731.3</v>
      </c>
      <c r="N658" s="2">
        <f t="shared" si="159"/>
        <v>14673068.85</v>
      </c>
      <c r="O658" s="2">
        <f t="shared" si="159"/>
        <v>0</v>
      </c>
      <c r="P658" s="2">
        <f t="shared" si="159"/>
        <v>0</v>
      </c>
      <c r="Q658" s="2">
        <f t="shared" si="159"/>
        <v>8620.5</v>
      </c>
      <c r="R658" s="2">
        <f t="shared" si="159"/>
        <v>24698198.800000001</v>
      </c>
      <c r="S658" s="2">
        <f t="shared" si="159"/>
        <v>0</v>
      </c>
      <c r="T658" s="2">
        <f t="shared" si="159"/>
        <v>0</v>
      </c>
      <c r="U658" s="2">
        <f t="shared" si="159"/>
        <v>1842793.3</v>
      </c>
    </row>
    <row r="659" spans="1:22" ht="24" customHeight="1" x14ac:dyDescent="0.25">
      <c r="A659" s="21" t="s">
        <v>1540</v>
      </c>
      <c r="B659" s="24" t="s">
        <v>879</v>
      </c>
      <c r="C659" s="2">
        <f t="shared" ref="C659:C671" si="160">D659+L659+N659+P659+R659+S659+T659+U659</f>
        <v>4279515.25</v>
      </c>
      <c r="D659" s="3">
        <f t="shared" ref="D659:D671" si="161">SUM(E659:J659)</f>
        <v>0</v>
      </c>
      <c r="E659" s="3">
        <v>0</v>
      </c>
      <c r="F659" s="3">
        <v>0</v>
      </c>
      <c r="G659" s="3">
        <v>0</v>
      </c>
      <c r="H659" s="3">
        <v>0</v>
      </c>
      <c r="I659" s="3">
        <v>0</v>
      </c>
      <c r="J659" s="3">
        <v>0</v>
      </c>
      <c r="K659" s="4">
        <v>0</v>
      </c>
      <c r="L659" s="3">
        <v>0</v>
      </c>
      <c r="M659" s="13">
        <v>823.6</v>
      </c>
      <c r="N659" s="13">
        <v>4279515.25</v>
      </c>
      <c r="O659" s="3">
        <v>0</v>
      </c>
      <c r="P659" s="3">
        <v>0</v>
      </c>
      <c r="Q659" s="3">
        <v>0</v>
      </c>
      <c r="R659" s="3">
        <v>0</v>
      </c>
      <c r="S659" s="3">
        <v>0</v>
      </c>
      <c r="T659" s="3">
        <v>0</v>
      </c>
      <c r="U659" s="3">
        <v>0</v>
      </c>
      <c r="V659" s="5">
        <f t="shared" ref="V659:V671" si="162">N659/M659</f>
        <v>5196.1088513841669</v>
      </c>
    </row>
    <row r="660" spans="1:22" ht="24" customHeight="1" x14ac:dyDescent="0.25">
      <c r="A660" s="21" t="s">
        <v>1541</v>
      </c>
      <c r="B660" s="24" t="s">
        <v>331</v>
      </c>
      <c r="C660" s="2">
        <f t="shared" si="160"/>
        <v>2982065.3200000003</v>
      </c>
      <c r="D660" s="3">
        <f t="shared" si="161"/>
        <v>681004.8</v>
      </c>
      <c r="E660" s="3">
        <v>0</v>
      </c>
      <c r="F660" s="3">
        <v>522819.6</v>
      </c>
      <c r="G660" s="3">
        <v>56740.800000000003</v>
      </c>
      <c r="H660" s="3">
        <f t="shared" ref="H660:H666" si="163">400*0</f>
        <v>0</v>
      </c>
      <c r="I660" s="3">
        <v>101444.4</v>
      </c>
      <c r="J660" s="3">
        <v>0</v>
      </c>
      <c r="K660" s="4">
        <v>0</v>
      </c>
      <c r="L660" s="3">
        <v>0</v>
      </c>
      <c r="M660" s="3">
        <v>0</v>
      </c>
      <c r="N660" s="3">
        <v>0</v>
      </c>
      <c r="O660" s="3">
        <v>0</v>
      </c>
      <c r="P660" s="3">
        <v>0</v>
      </c>
      <c r="Q660" s="3">
        <v>721</v>
      </c>
      <c r="R660" s="3">
        <v>2161953.6</v>
      </c>
      <c r="S660" s="3">
        <v>0</v>
      </c>
      <c r="T660" s="3">
        <v>0</v>
      </c>
      <c r="U660" s="3">
        <v>139106.92000000001</v>
      </c>
      <c r="V660" s="5" t="e">
        <f t="shared" si="162"/>
        <v>#DIV/0!</v>
      </c>
    </row>
    <row r="661" spans="1:22" ht="24" customHeight="1" x14ac:dyDescent="0.25">
      <c r="A661" s="21" t="s">
        <v>1542</v>
      </c>
      <c r="B661" s="24" t="s">
        <v>332</v>
      </c>
      <c r="C661" s="2">
        <f t="shared" si="160"/>
        <v>2995278.7800000003</v>
      </c>
      <c r="D661" s="3">
        <f t="shared" si="161"/>
        <v>711931.20000000007</v>
      </c>
      <c r="E661" s="3">
        <v>0</v>
      </c>
      <c r="F661" s="3">
        <v>534177.6</v>
      </c>
      <c r="G661" s="3">
        <v>60562.8</v>
      </c>
      <c r="H661" s="3">
        <f t="shared" si="163"/>
        <v>0</v>
      </c>
      <c r="I661" s="3">
        <v>117190.8</v>
      </c>
      <c r="J661" s="3">
        <v>0</v>
      </c>
      <c r="K661" s="4">
        <v>0</v>
      </c>
      <c r="L661" s="3">
        <v>0</v>
      </c>
      <c r="M661" s="3">
        <v>0</v>
      </c>
      <c r="N661" s="3">
        <v>0</v>
      </c>
      <c r="O661" s="3">
        <v>0</v>
      </c>
      <c r="P661" s="3">
        <v>0</v>
      </c>
      <c r="Q661" s="3">
        <v>716</v>
      </c>
      <c r="R661" s="3">
        <v>2142830.4</v>
      </c>
      <c r="S661" s="3">
        <v>0</v>
      </c>
      <c r="T661" s="3">
        <v>0</v>
      </c>
      <c r="U661" s="3">
        <v>140517.18</v>
      </c>
      <c r="V661" s="5" t="e">
        <f t="shared" si="162"/>
        <v>#DIV/0!</v>
      </c>
    </row>
    <row r="662" spans="1:22" ht="24" customHeight="1" x14ac:dyDescent="0.25">
      <c r="A662" s="21" t="s">
        <v>1543</v>
      </c>
      <c r="B662" s="24" t="s">
        <v>333</v>
      </c>
      <c r="C662" s="2">
        <f t="shared" si="160"/>
        <v>2276052.2199999997</v>
      </c>
      <c r="D662" s="3">
        <f t="shared" si="161"/>
        <v>0</v>
      </c>
      <c r="E662" s="3">
        <v>0</v>
      </c>
      <c r="F662" s="3">
        <v>0</v>
      </c>
      <c r="G662" s="3">
        <v>0</v>
      </c>
      <c r="H662" s="3">
        <f t="shared" si="163"/>
        <v>0</v>
      </c>
      <c r="I662" s="3">
        <v>0</v>
      </c>
      <c r="J662" s="3">
        <v>0</v>
      </c>
      <c r="K662" s="4">
        <v>0</v>
      </c>
      <c r="L662" s="3">
        <v>0</v>
      </c>
      <c r="M662" s="3">
        <v>0</v>
      </c>
      <c r="N662" s="3">
        <f>M662*5500</f>
        <v>0</v>
      </c>
      <c r="O662" s="3">
        <v>0</v>
      </c>
      <c r="P662" s="3">
        <v>0</v>
      </c>
      <c r="Q662" s="3">
        <v>721</v>
      </c>
      <c r="R662" s="3">
        <v>2135912.4</v>
      </c>
      <c r="S662" s="3">
        <v>0</v>
      </c>
      <c r="T662" s="3">
        <v>0</v>
      </c>
      <c r="U662" s="3">
        <v>140139.82</v>
      </c>
      <c r="V662" s="5" t="e">
        <f t="shared" si="162"/>
        <v>#DIV/0!</v>
      </c>
    </row>
    <row r="663" spans="1:22" ht="24" customHeight="1" x14ac:dyDescent="0.25">
      <c r="A663" s="21" t="s">
        <v>1544</v>
      </c>
      <c r="B663" s="24" t="s">
        <v>334</v>
      </c>
      <c r="C663" s="2">
        <f t="shared" si="160"/>
        <v>2263189.4299999997</v>
      </c>
      <c r="D663" s="3">
        <f t="shared" si="161"/>
        <v>0</v>
      </c>
      <c r="E663" s="3">
        <v>0</v>
      </c>
      <c r="F663" s="3">
        <v>0</v>
      </c>
      <c r="G663" s="3">
        <v>0</v>
      </c>
      <c r="H663" s="3">
        <f t="shared" si="163"/>
        <v>0</v>
      </c>
      <c r="I663" s="3">
        <v>0</v>
      </c>
      <c r="J663" s="3">
        <v>0</v>
      </c>
      <c r="K663" s="4">
        <v>0</v>
      </c>
      <c r="L663" s="3">
        <v>0</v>
      </c>
      <c r="M663" s="3">
        <v>0</v>
      </c>
      <c r="N663" s="3">
        <f>M663*5500</f>
        <v>0</v>
      </c>
      <c r="O663" s="3">
        <v>0</v>
      </c>
      <c r="P663" s="3">
        <v>0</v>
      </c>
      <c r="Q663" s="3">
        <v>708</v>
      </c>
      <c r="R663" s="3">
        <v>2123228.4</v>
      </c>
      <c r="S663" s="3">
        <v>0</v>
      </c>
      <c r="T663" s="3">
        <v>0</v>
      </c>
      <c r="U663" s="3">
        <v>139961.03</v>
      </c>
      <c r="V663" s="5" t="e">
        <f t="shared" si="162"/>
        <v>#DIV/0!</v>
      </c>
    </row>
    <row r="664" spans="1:22" ht="24" customHeight="1" x14ac:dyDescent="0.25">
      <c r="A664" s="21" t="s">
        <v>1545</v>
      </c>
      <c r="B664" s="24" t="s">
        <v>335</v>
      </c>
      <c r="C664" s="2">
        <f t="shared" si="160"/>
        <v>2616397.7299999995</v>
      </c>
      <c r="D664" s="3">
        <f t="shared" si="161"/>
        <v>281860.8</v>
      </c>
      <c r="E664" s="3">
        <v>0</v>
      </c>
      <c r="F664" s="3">
        <v>281860.8</v>
      </c>
      <c r="G664" s="3">
        <v>0</v>
      </c>
      <c r="H664" s="3">
        <f t="shared" si="163"/>
        <v>0</v>
      </c>
      <c r="I664" s="3">
        <v>0</v>
      </c>
      <c r="J664" s="3">
        <v>0</v>
      </c>
      <c r="K664" s="4">
        <v>0</v>
      </c>
      <c r="L664" s="3">
        <v>0</v>
      </c>
      <c r="M664" s="3">
        <v>0</v>
      </c>
      <c r="N664" s="3">
        <f>M664*5500</f>
        <v>0</v>
      </c>
      <c r="O664" s="3">
        <v>0</v>
      </c>
      <c r="P664" s="3">
        <v>0</v>
      </c>
      <c r="Q664" s="3">
        <v>732</v>
      </c>
      <c r="R664" s="3">
        <v>2195608.7999999998</v>
      </c>
      <c r="S664" s="3">
        <v>0</v>
      </c>
      <c r="T664" s="3">
        <v>0</v>
      </c>
      <c r="U664" s="3">
        <v>138928.13</v>
      </c>
      <c r="V664" s="5" t="e">
        <f t="shared" si="162"/>
        <v>#DIV/0!</v>
      </c>
    </row>
    <row r="665" spans="1:22" ht="24" customHeight="1" x14ac:dyDescent="0.25">
      <c r="A665" s="21" t="s">
        <v>1546</v>
      </c>
      <c r="B665" s="24" t="s">
        <v>337</v>
      </c>
      <c r="C665" s="2">
        <f t="shared" si="160"/>
        <v>1847307.2</v>
      </c>
      <c r="D665" s="3">
        <f t="shared" si="161"/>
        <v>617104</v>
      </c>
      <c r="E665" s="3">
        <f>350*458.6</f>
        <v>160510</v>
      </c>
      <c r="F665" s="3">
        <v>456594</v>
      </c>
      <c r="G665" s="3">
        <v>0</v>
      </c>
      <c r="H665" s="3">
        <f t="shared" si="163"/>
        <v>0</v>
      </c>
      <c r="I665" s="3">
        <v>0</v>
      </c>
      <c r="J665" s="3">
        <v>0</v>
      </c>
      <c r="K665" s="4">
        <v>0</v>
      </c>
      <c r="L665" s="3">
        <v>0</v>
      </c>
      <c r="M665" s="3">
        <v>0</v>
      </c>
      <c r="N665" s="3">
        <v>0</v>
      </c>
      <c r="O665" s="3">
        <v>0</v>
      </c>
      <c r="P665" s="3">
        <v>0</v>
      </c>
      <c r="Q665" s="3">
        <v>492.6</v>
      </c>
      <c r="R665" s="3">
        <v>1130203.2</v>
      </c>
      <c r="S665" s="3">
        <v>0</v>
      </c>
      <c r="T665" s="3">
        <v>0</v>
      </c>
      <c r="U665" s="3">
        <v>100000</v>
      </c>
      <c r="V665" s="5" t="e">
        <f t="shared" si="162"/>
        <v>#DIV/0!</v>
      </c>
    </row>
    <row r="666" spans="1:22" ht="24" customHeight="1" x14ac:dyDescent="0.25">
      <c r="A666" s="21" t="s">
        <v>1547</v>
      </c>
      <c r="B666" s="24" t="s">
        <v>338</v>
      </c>
      <c r="C666" s="2">
        <f t="shared" si="160"/>
        <v>2132641.04</v>
      </c>
      <c r="D666" s="3">
        <f t="shared" si="161"/>
        <v>0</v>
      </c>
      <c r="E666" s="3">
        <v>0</v>
      </c>
      <c r="F666" s="3">
        <v>0</v>
      </c>
      <c r="G666" s="3">
        <v>0</v>
      </c>
      <c r="H666" s="3">
        <f t="shared" si="163"/>
        <v>0</v>
      </c>
      <c r="I666" s="3">
        <v>0</v>
      </c>
      <c r="J666" s="3">
        <v>0</v>
      </c>
      <c r="K666" s="4">
        <v>0</v>
      </c>
      <c r="L666" s="3">
        <v>0</v>
      </c>
      <c r="M666" s="3">
        <v>0</v>
      </c>
      <c r="N666" s="3">
        <v>0</v>
      </c>
      <c r="O666" s="3">
        <v>0</v>
      </c>
      <c r="P666" s="3">
        <v>0</v>
      </c>
      <c r="Q666" s="3">
        <v>902.98</v>
      </c>
      <c r="R666" s="3">
        <v>2011242</v>
      </c>
      <c r="S666" s="3">
        <v>0</v>
      </c>
      <c r="T666" s="3">
        <v>0</v>
      </c>
      <c r="U666" s="3">
        <v>121399.03999999999</v>
      </c>
      <c r="V666" s="5" t="e">
        <f t="shared" si="162"/>
        <v>#DIV/0!</v>
      </c>
    </row>
    <row r="667" spans="1:22" ht="24" customHeight="1" x14ac:dyDescent="0.25">
      <c r="A667" s="21" t="s">
        <v>1548</v>
      </c>
      <c r="B667" s="24" t="s">
        <v>339</v>
      </c>
      <c r="C667" s="2">
        <f t="shared" si="160"/>
        <v>12333260.310000001</v>
      </c>
      <c r="D667" s="3">
        <f t="shared" si="161"/>
        <v>3239286</v>
      </c>
      <c r="E667" s="3">
        <v>614379</v>
      </c>
      <c r="F667" s="3">
        <v>1990170</v>
      </c>
      <c r="G667" s="3">
        <v>160887</v>
      </c>
      <c r="H667" s="3">
        <v>0</v>
      </c>
      <c r="I667" s="3">
        <v>473850</v>
      </c>
      <c r="J667" s="3">
        <v>0</v>
      </c>
      <c r="K667" s="4">
        <v>0</v>
      </c>
      <c r="L667" s="3">
        <v>0</v>
      </c>
      <c r="M667" s="3">
        <v>746</v>
      </c>
      <c r="N667" s="3">
        <v>4102318.6</v>
      </c>
      <c r="O667" s="3">
        <v>0</v>
      </c>
      <c r="P667" s="3">
        <v>0</v>
      </c>
      <c r="Q667" s="3">
        <v>1633</v>
      </c>
      <c r="R667" s="3">
        <v>4815460</v>
      </c>
      <c r="S667" s="3">
        <v>0</v>
      </c>
      <c r="T667" s="3">
        <v>0</v>
      </c>
      <c r="U667" s="3">
        <v>176195.71</v>
      </c>
      <c r="V667" s="5">
        <f t="shared" si="162"/>
        <v>5499.0865951742626</v>
      </c>
    </row>
    <row r="668" spans="1:22" ht="24" customHeight="1" x14ac:dyDescent="0.25">
      <c r="A668" s="21" t="s">
        <v>1549</v>
      </c>
      <c r="B668" s="24" t="s">
        <v>340</v>
      </c>
      <c r="C668" s="2">
        <f t="shared" si="160"/>
        <v>3878279.6</v>
      </c>
      <c r="D668" s="3">
        <f t="shared" si="161"/>
        <v>0</v>
      </c>
      <c r="E668" s="3">
        <v>0</v>
      </c>
      <c r="F668" s="3">
        <v>0</v>
      </c>
      <c r="G668" s="3">
        <v>0</v>
      </c>
      <c r="H668" s="3">
        <v>0</v>
      </c>
      <c r="I668" s="3">
        <v>0</v>
      </c>
      <c r="J668" s="3">
        <v>0</v>
      </c>
      <c r="K668" s="4">
        <v>0</v>
      </c>
      <c r="L668" s="3">
        <v>0</v>
      </c>
      <c r="M668" s="3">
        <v>409.7</v>
      </c>
      <c r="N668" s="3">
        <v>2167000</v>
      </c>
      <c r="O668" s="3">
        <v>0</v>
      </c>
      <c r="P668" s="3">
        <v>0</v>
      </c>
      <c r="Q668" s="3">
        <v>534.63</v>
      </c>
      <c r="R668" s="3">
        <v>1603890</v>
      </c>
      <c r="S668" s="3">
        <v>0</v>
      </c>
      <c r="T668" s="3">
        <v>0</v>
      </c>
      <c r="U668" s="3">
        <v>107389.6</v>
      </c>
      <c r="V668" s="5">
        <f t="shared" si="162"/>
        <v>5289.2360263607516</v>
      </c>
    </row>
    <row r="669" spans="1:22" ht="24" customHeight="1" x14ac:dyDescent="0.25">
      <c r="A669" s="21" t="s">
        <v>1550</v>
      </c>
      <c r="B669" s="24" t="s">
        <v>341</v>
      </c>
      <c r="C669" s="2">
        <f t="shared" si="160"/>
        <v>11801658.710000001</v>
      </c>
      <c r="D669" s="3">
        <f t="shared" si="161"/>
        <v>3123358</v>
      </c>
      <c r="E669" s="3">
        <v>645188</v>
      </c>
      <c r="F669" s="3">
        <v>1960035</v>
      </c>
      <c r="G669" s="3">
        <v>143735</v>
      </c>
      <c r="H669" s="3">
        <f>400*0</f>
        <v>0</v>
      </c>
      <c r="I669" s="3">
        <v>374400</v>
      </c>
      <c r="J669" s="3">
        <v>0</v>
      </c>
      <c r="K669" s="4">
        <v>0</v>
      </c>
      <c r="L669" s="3">
        <v>0</v>
      </c>
      <c r="M669" s="3">
        <v>752</v>
      </c>
      <c r="N669" s="3">
        <v>4124235</v>
      </c>
      <c r="O669" s="3">
        <v>0</v>
      </c>
      <c r="P669" s="3">
        <v>0</v>
      </c>
      <c r="Q669" s="3">
        <v>1459.29</v>
      </c>
      <c r="R669" s="3">
        <v>4377870</v>
      </c>
      <c r="S669" s="3">
        <v>0</v>
      </c>
      <c r="T669" s="3">
        <v>0</v>
      </c>
      <c r="U669" s="3">
        <v>176195.71</v>
      </c>
      <c r="V669" s="5">
        <f t="shared" si="162"/>
        <v>5484.3550531914898</v>
      </c>
    </row>
    <row r="670" spans="1:22" ht="24" customHeight="1" x14ac:dyDescent="0.25">
      <c r="A670" s="21" t="s">
        <v>1551</v>
      </c>
      <c r="B670" s="33" t="s">
        <v>993</v>
      </c>
      <c r="C670" s="2">
        <f t="shared" si="160"/>
        <v>462960.16</v>
      </c>
      <c r="D670" s="3">
        <f t="shared" si="161"/>
        <v>0</v>
      </c>
      <c r="E670" s="3">
        <v>0</v>
      </c>
      <c r="F670" s="3">
        <v>0</v>
      </c>
      <c r="G670" s="3">
        <v>0</v>
      </c>
      <c r="H670" s="3">
        <v>0</v>
      </c>
      <c r="I670" s="3">
        <v>0</v>
      </c>
      <c r="J670" s="3">
        <v>0</v>
      </c>
      <c r="K670" s="4">
        <v>0</v>
      </c>
      <c r="L670" s="3">
        <v>0</v>
      </c>
      <c r="M670" s="3">
        <v>0</v>
      </c>
      <c r="N670" s="3">
        <v>0</v>
      </c>
      <c r="O670" s="3">
        <v>0</v>
      </c>
      <c r="P670" s="3">
        <v>0</v>
      </c>
      <c r="Q670" s="34">
        <v>0</v>
      </c>
      <c r="R670" s="13">
        <v>0</v>
      </c>
      <c r="S670" s="3">
        <v>0</v>
      </c>
      <c r="T670" s="3">
        <v>0</v>
      </c>
      <c r="U670" s="3">
        <v>462960.16</v>
      </c>
      <c r="V670" s="5" t="e">
        <f t="shared" si="162"/>
        <v>#DIV/0!</v>
      </c>
    </row>
    <row r="671" spans="1:22" ht="24" customHeight="1" x14ac:dyDescent="0.25">
      <c r="A671" s="21" t="s">
        <v>1552</v>
      </c>
      <c r="B671" s="24" t="s">
        <v>354</v>
      </c>
      <c r="C671" s="2">
        <f t="shared" si="160"/>
        <v>10694764.24</v>
      </c>
      <c r="D671" s="3">
        <f t="shared" si="161"/>
        <v>0</v>
      </c>
      <c r="E671" s="3">
        <v>0</v>
      </c>
      <c r="F671" s="3">
        <v>0</v>
      </c>
      <c r="G671" s="3">
        <v>0</v>
      </c>
      <c r="H671" s="3">
        <v>0</v>
      </c>
      <c r="I671" s="3">
        <v>0</v>
      </c>
      <c r="J671" s="3">
        <v>0</v>
      </c>
      <c r="K671" s="4">
        <v>6</v>
      </c>
      <c r="L671" s="3">
        <v>10694764.24</v>
      </c>
      <c r="M671" s="3">
        <v>0</v>
      </c>
      <c r="N671" s="3">
        <v>0</v>
      </c>
      <c r="O671" s="3">
        <v>0</v>
      </c>
      <c r="P671" s="3">
        <v>0</v>
      </c>
      <c r="Q671" s="3">
        <v>0</v>
      </c>
      <c r="R671" s="3">
        <v>0</v>
      </c>
      <c r="S671" s="3">
        <v>0</v>
      </c>
      <c r="T671" s="3">
        <v>0</v>
      </c>
      <c r="U671" s="3">
        <v>0</v>
      </c>
      <c r="V671" s="5" t="e">
        <f t="shared" si="162"/>
        <v>#DIV/0!</v>
      </c>
    </row>
    <row r="672" spans="1:22" ht="45" customHeight="1" x14ac:dyDescent="0.25">
      <c r="A672" s="51" t="s">
        <v>357</v>
      </c>
      <c r="B672" s="51"/>
      <c r="C672" s="2">
        <f>SUM(C673)</f>
        <v>1184924.3999999999</v>
      </c>
      <c r="D672" s="2">
        <f t="shared" ref="D672:U672" si="164">SUM(D673:D673)</f>
        <v>0</v>
      </c>
      <c r="E672" s="2">
        <f t="shared" si="164"/>
        <v>0</v>
      </c>
      <c r="F672" s="2">
        <f t="shared" si="164"/>
        <v>0</v>
      </c>
      <c r="G672" s="2">
        <f t="shared" si="164"/>
        <v>0</v>
      </c>
      <c r="H672" s="2">
        <f t="shared" si="164"/>
        <v>0</v>
      </c>
      <c r="I672" s="2">
        <f t="shared" si="164"/>
        <v>0</v>
      </c>
      <c r="J672" s="2">
        <f t="shared" si="164"/>
        <v>0</v>
      </c>
      <c r="K672" s="18">
        <f t="shared" si="164"/>
        <v>0</v>
      </c>
      <c r="L672" s="2">
        <f t="shared" si="164"/>
        <v>0</v>
      </c>
      <c r="M672" s="2">
        <f t="shared" si="164"/>
        <v>330.83</v>
      </c>
      <c r="N672" s="2">
        <f t="shared" si="164"/>
        <v>1184924.3999999999</v>
      </c>
      <c r="O672" s="2">
        <f t="shared" si="164"/>
        <v>0</v>
      </c>
      <c r="P672" s="2">
        <f t="shared" si="164"/>
        <v>0</v>
      </c>
      <c r="Q672" s="2">
        <f t="shared" si="164"/>
        <v>0</v>
      </c>
      <c r="R672" s="2">
        <f t="shared" si="164"/>
        <v>0</v>
      </c>
      <c r="S672" s="2">
        <f t="shared" si="164"/>
        <v>0</v>
      </c>
      <c r="T672" s="2">
        <f t="shared" si="164"/>
        <v>0</v>
      </c>
      <c r="U672" s="2">
        <f t="shared" si="164"/>
        <v>0</v>
      </c>
      <c r="V672" s="20">
        <f>C672</f>
        <v>1184924.3999999999</v>
      </c>
    </row>
    <row r="673" spans="1:22" ht="25.15" customHeight="1" x14ac:dyDescent="0.25">
      <c r="A673" s="21" t="s">
        <v>1553</v>
      </c>
      <c r="B673" s="24" t="s">
        <v>929</v>
      </c>
      <c r="C673" s="2">
        <f>D673+L673+N673+P673+R673+S673+T673+U673</f>
        <v>1184924.3999999999</v>
      </c>
      <c r="D673" s="3">
        <f>SUM(E673:J673)</f>
        <v>0</v>
      </c>
      <c r="E673" s="3">
        <v>0</v>
      </c>
      <c r="F673" s="3">
        <v>0</v>
      </c>
      <c r="G673" s="3">
        <v>0</v>
      </c>
      <c r="H673" s="3">
        <v>0</v>
      </c>
      <c r="I673" s="3">
        <v>0</v>
      </c>
      <c r="J673" s="3">
        <v>0</v>
      </c>
      <c r="K673" s="4">
        <v>0</v>
      </c>
      <c r="L673" s="3">
        <v>0</v>
      </c>
      <c r="M673" s="3">
        <v>330.83</v>
      </c>
      <c r="N673" s="3">
        <v>1184924.3999999999</v>
      </c>
      <c r="O673" s="3">
        <v>0</v>
      </c>
      <c r="P673" s="3">
        <v>0</v>
      </c>
      <c r="Q673" s="3">
        <v>0</v>
      </c>
      <c r="R673" s="3">
        <v>0</v>
      </c>
      <c r="S673" s="3">
        <v>0</v>
      </c>
      <c r="T673" s="3">
        <v>0</v>
      </c>
      <c r="U673" s="3">
        <v>0</v>
      </c>
      <c r="V673" s="5">
        <f>N673/M673</f>
        <v>3581.6715533657771</v>
      </c>
    </row>
    <row r="674" spans="1:22" ht="45" customHeight="1" x14ac:dyDescent="0.25">
      <c r="A674" s="51" t="s">
        <v>356</v>
      </c>
      <c r="B674" s="51"/>
      <c r="C674" s="2">
        <f t="shared" ref="C674:U674" si="165">SUM(C675)</f>
        <v>3335222.4</v>
      </c>
      <c r="D674" s="2">
        <f t="shared" si="165"/>
        <v>0</v>
      </c>
      <c r="E674" s="2">
        <f t="shared" si="165"/>
        <v>0</v>
      </c>
      <c r="F674" s="2">
        <f t="shared" si="165"/>
        <v>0</v>
      </c>
      <c r="G674" s="2">
        <f t="shared" si="165"/>
        <v>0</v>
      </c>
      <c r="H674" s="2">
        <f t="shared" si="165"/>
        <v>0</v>
      </c>
      <c r="I674" s="2">
        <f t="shared" si="165"/>
        <v>0</v>
      </c>
      <c r="J674" s="2">
        <f t="shared" si="165"/>
        <v>0</v>
      </c>
      <c r="K674" s="18">
        <f t="shared" si="165"/>
        <v>0</v>
      </c>
      <c r="L674" s="2">
        <f t="shared" si="165"/>
        <v>0</v>
      </c>
      <c r="M674" s="2">
        <f t="shared" si="165"/>
        <v>960.29</v>
      </c>
      <c r="N674" s="2">
        <f t="shared" si="165"/>
        <v>3335222.4</v>
      </c>
      <c r="O674" s="2">
        <f t="shared" si="165"/>
        <v>0</v>
      </c>
      <c r="P674" s="2">
        <f t="shared" si="165"/>
        <v>0</v>
      </c>
      <c r="Q674" s="2">
        <f t="shared" si="165"/>
        <v>0</v>
      </c>
      <c r="R674" s="2">
        <f t="shared" si="165"/>
        <v>0</v>
      </c>
      <c r="S674" s="2">
        <f t="shared" si="165"/>
        <v>0</v>
      </c>
      <c r="T674" s="2">
        <f t="shared" si="165"/>
        <v>0</v>
      </c>
      <c r="U674" s="2">
        <f t="shared" si="165"/>
        <v>0</v>
      </c>
      <c r="V674" s="20">
        <f>C674</f>
        <v>3335222.4</v>
      </c>
    </row>
    <row r="675" spans="1:22" ht="25.15" customHeight="1" x14ac:dyDescent="0.25">
      <c r="A675" s="21" t="s">
        <v>1554</v>
      </c>
      <c r="B675" s="35" t="s">
        <v>930</v>
      </c>
      <c r="C675" s="2">
        <f>D675+L675+N675+P675+R675+S675+T675+U675</f>
        <v>3335222.4</v>
      </c>
      <c r="D675" s="3">
        <f>SUM(E675:J675)</f>
        <v>0</v>
      </c>
      <c r="E675" s="3">
        <v>0</v>
      </c>
      <c r="F675" s="3">
        <f>1050*0</f>
        <v>0</v>
      </c>
      <c r="G675" s="3">
        <f>350*0</f>
        <v>0</v>
      </c>
      <c r="H675" s="3">
        <f>400*0</f>
        <v>0</v>
      </c>
      <c r="I675" s="3">
        <f>250*0</f>
        <v>0</v>
      </c>
      <c r="J675" s="3">
        <v>0</v>
      </c>
      <c r="K675" s="4">
        <v>0</v>
      </c>
      <c r="L675" s="3">
        <v>0</v>
      </c>
      <c r="M675" s="3">
        <v>960.29</v>
      </c>
      <c r="N675" s="3">
        <v>3335222.4</v>
      </c>
      <c r="O675" s="3">
        <v>0</v>
      </c>
      <c r="P675" s="3">
        <v>0</v>
      </c>
      <c r="Q675" s="3">
        <v>0</v>
      </c>
      <c r="R675" s="3">
        <v>0</v>
      </c>
      <c r="S675" s="3">
        <v>0</v>
      </c>
      <c r="T675" s="3">
        <v>0</v>
      </c>
      <c r="U675" s="3">
        <v>0</v>
      </c>
      <c r="V675" s="5">
        <f>N675/M675</f>
        <v>3473.1408220433409</v>
      </c>
    </row>
    <row r="676" spans="1:22" s="79" customFormat="1" ht="24.95" customHeight="1" x14ac:dyDescent="0.25">
      <c r="A676" s="77" t="s">
        <v>198</v>
      </c>
      <c r="B676" s="77"/>
      <c r="C676" s="77"/>
      <c r="D676" s="77"/>
      <c r="E676" s="77"/>
      <c r="F676" s="77"/>
      <c r="G676" s="77"/>
      <c r="H676" s="77"/>
      <c r="I676" s="77"/>
      <c r="J676" s="77"/>
      <c r="K676" s="77"/>
      <c r="L676" s="77"/>
      <c r="M676" s="77"/>
      <c r="N676" s="77"/>
      <c r="O676" s="77"/>
      <c r="P676" s="77"/>
      <c r="Q676" s="77"/>
      <c r="R676" s="77"/>
      <c r="S676" s="77"/>
      <c r="T676" s="77"/>
      <c r="U676" s="77"/>
      <c r="V676" s="78"/>
    </row>
    <row r="677" spans="1:22" ht="24.95" customHeight="1" x14ac:dyDescent="0.25">
      <c r="A677" s="74" t="s">
        <v>199</v>
      </c>
      <c r="B677" s="74"/>
      <c r="C677" s="2">
        <f>C678+C683+C710+C712+C715+C719+C721+C725+C727+C733+C735+C737+C741+C746+C748+C754+C756+C762+C764+C766+C768+C770+C772+C775+C777+C784+C786+C788+C806+C808+C818+C827+C831+C849+C851+C854+C857+C859+C1103+C1105+C1107+C1110+C1112+C1115+C1117+C1121+C1127+C1129+C1134+C1136+C1138+C1141+C1145+C1147+C1149+C1151+C1177+C1181+C1183</f>
        <v>2530835392.9799995</v>
      </c>
      <c r="D677" s="2">
        <f t="shared" ref="D677:U677" si="166">D678+D683+D710+D712+D715+D719+D721+D725+D727+D733+D735+D737+D741+D746+D748+D754+D756+D762+D764+D766+D768+D770+D772+D775+D777+D784+D786+D788+D806+D808+D818+D827+D831+D849+D851+D854+D857+D859+D1103+D1105+D1107+D1110+D1112+D1115+D1117+D1121+D1127+D1129+D1134+D1136+D1138+D1141+D1145+D1147+D1149+D1151+D1177+D1181+D1183</f>
        <v>611965342.0999999</v>
      </c>
      <c r="E677" s="2">
        <f t="shared" si="166"/>
        <v>152592597.5</v>
      </c>
      <c r="F677" s="2">
        <f t="shared" si="166"/>
        <v>274377303.30000001</v>
      </c>
      <c r="G677" s="2">
        <f t="shared" si="166"/>
        <v>65480817</v>
      </c>
      <c r="H677" s="2">
        <f t="shared" si="166"/>
        <v>52593580</v>
      </c>
      <c r="I677" s="2">
        <f t="shared" si="166"/>
        <v>66921044.299999997</v>
      </c>
      <c r="J677" s="2">
        <f t="shared" si="166"/>
        <v>0</v>
      </c>
      <c r="K677" s="2">
        <f t="shared" si="166"/>
        <v>4</v>
      </c>
      <c r="L677" s="2">
        <f t="shared" si="166"/>
        <v>11000000</v>
      </c>
      <c r="M677" s="2">
        <f t="shared" si="166"/>
        <v>219065.47</v>
      </c>
      <c r="N677" s="2">
        <f t="shared" si="166"/>
        <v>1353084695.5999999</v>
      </c>
      <c r="O677" s="2">
        <f t="shared" si="166"/>
        <v>3234.4100000000003</v>
      </c>
      <c r="P677" s="2">
        <f t="shared" si="166"/>
        <v>3980472</v>
      </c>
      <c r="Q677" s="2">
        <f t="shared" si="166"/>
        <v>156867.56999999998</v>
      </c>
      <c r="R677" s="2">
        <f t="shared" si="166"/>
        <v>500427864</v>
      </c>
      <c r="S677" s="2">
        <f t="shared" si="166"/>
        <v>4029497.6</v>
      </c>
      <c r="T677" s="2">
        <f t="shared" si="166"/>
        <v>0</v>
      </c>
      <c r="U677" s="2">
        <f t="shared" si="166"/>
        <v>46347521.679999992</v>
      </c>
    </row>
    <row r="678" spans="1:22" ht="45" customHeight="1" x14ac:dyDescent="0.25">
      <c r="A678" s="51" t="s">
        <v>982</v>
      </c>
      <c r="B678" s="51"/>
      <c r="C678" s="2">
        <f t="shared" ref="C678:U678" si="167">SUM(C679:C682)</f>
        <v>19462904</v>
      </c>
      <c r="D678" s="2">
        <f t="shared" si="167"/>
        <v>1645020</v>
      </c>
      <c r="E678" s="2">
        <f t="shared" si="167"/>
        <v>442890</v>
      </c>
      <c r="F678" s="2">
        <f t="shared" si="167"/>
        <v>822510</v>
      </c>
      <c r="G678" s="2">
        <f t="shared" si="167"/>
        <v>189810</v>
      </c>
      <c r="H678" s="2">
        <f t="shared" si="167"/>
        <v>0</v>
      </c>
      <c r="I678" s="2">
        <f t="shared" si="167"/>
        <v>189810</v>
      </c>
      <c r="J678" s="2">
        <f t="shared" si="167"/>
        <v>0</v>
      </c>
      <c r="K678" s="18">
        <f t="shared" si="167"/>
        <v>0</v>
      </c>
      <c r="L678" s="2">
        <f t="shared" si="167"/>
        <v>0</v>
      </c>
      <c r="M678" s="2">
        <f t="shared" si="167"/>
        <v>2251.1999999999998</v>
      </c>
      <c r="N678" s="2">
        <f t="shared" si="167"/>
        <v>13985020</v>
      </c>
      <c r="O678" s="2">
        <f t="shared" si="167"/>
        <v>0</v>
      </c>
      <c r="P678" s="2">
        <f t="shared" si="167"/>
        <v>0</v>
      </c>
      <c r="Q678" s="2">
        <f t="shared" si="167"/>
        <v>666.52</v>
      </c>
      <c r="R678" s="2">
        <f t="shared" si="167"/>
        <v>2132864</v>
      </c>
      <c r="S678" s="2">
        <f t="shared" si="167"/>
        <v>0</v>
      </c>
      <c r="T678" s="2">
        <f t="shared" si="167"/>
        <v>0</v>
      </c>
      <c r="U678" s="2">
        <f t="shared" si="167"/>
        <v>1700000</v>
      </c>
    </row>
    <row r="679" spans="1:22" ht="25.15" customHeight="1" x14ac:dyDescent="0.25">
      <c r="A679" s="21" t="s">
        <v>1555</v>
      </c>
      <c r="B679" s="29" t="s">
        <v>19</v>
      </c>
      <c r="C679" s="2">
        <f>D679+L679+N679+P679+R679+S679+T679+U679</f>
        <v>6477240</v>
      </c>
      <c r="D679" s="3">
        <f>SUM(E679:J679)</f>
        <v>0</v>
      </c>
      <c r="E679" s="3">
        <v>0</v>
      </c>
      <c r="F679" s="3">
        <v>0</v>
      </c>
      <c r="G679" s="3">
        <v>0</v>
      </c>
      <c r="H679" s="3">
        <v>0</v>
      </c>
      <c r="I679" s="3">
        <v>0</v>
      </c>
      <c r="J679" s="3">
        <v>0</v>
      </c>
      <c r="K679" s="4">
        <v>0</v>
      </c>
      <c r="L679" s="3">
        <v>0</v>
      </c>
      <c r="M679" s="3">
        <v>981.4</v>
      </c>
      <c r="N679" s="3">
        <f>M679*6600</f>
        <v>6477240</v>
      </c>
      <c r="O679" s="3">
        <v>0</v>
      </c>
      <c r="P679" s="3">
        <v>0</v>
      </c>
      <c r="Q679" s="3">
        <v>0</v>
      </c>
      <c r="R679" s="3">
        <f>Q679*3000</f>
        <v>0</v>
      </c>
      <c r="S679" s="3">
        <v>0</v>
      </c>
      <c r="T679" s="3">
        <v>0</v>
      </c>
      <c r="U679" s="3">
        <v>0</v>
      </c>
      <c r="V679" s="5">
        <f>N679/M679</f>
        <v>6600</v>
      </c>
    </row>
    <row r="680" spans="1:22" ht="25.15" customHeight="1" x14ac:dyDescent="0.25">
      <c r="A680" s="21" t="s">
        <v>1556</v>
      </c>
      <c r="B680" s="29" t="s">
        <v>21</v>
      </c>
      <c r="C680" s="2">
        <f>D680+L680+N680+P680+R680+S680+T680+U680</f>
        <v>3831076</v>
      </c>
      <c r="D680" s="3">
        <f>SUM(E680:J680)</f>
        <v>878539.99999999988</v>
      </c>
      <c r="E680" s="3">
        <f>700*337.9</f>
        <v>236529.99999999997</v>
      </c>
      <c r="F680" s="3">
        <f>1300*337.9</f>
        <v>439269.99999999994</v>
      </c>
      <c r="G680" s="3">
        <f>300*337.9</f>
        <v>101370</v>
      </c>
      <c r="H680" s="3">
        <f>400*0</f>
        <v>0</v>
      </c>
      <c r="I680" s="3">
        <f>300*337.9</f>
        <v>101370</v>
      </c>
      <c r="J680" s="3">
        <f>350*0</f>
        <v>0</v>
      </c>
      <c r="K680" s="4">
        <v>0</v>
      </c>
      <c r="L680" s="3">
        <v>0</v>
      </c>
      <c r="M680" s="3">
        <v>196</v>
      </c>
      <c r="N680" s="3">
        <f>M680*4450</f>
        <v>872200</v>
      </c>
      <c r="O680" s="3">
        <v>0</v>
      </c>
      <c r="P680" s="3">
        <v>0</v>
      </c>
      <c r="Q680" s="3">
        <v>384.48</v>
      </c>
      <c r="R680" s="3">
        <f>Q680*3200</f>
        <v>1230336</v>
      </c>
      <c r="S680" s="3">
        <v>0</v>
      </c>
      <c r="T680" s="3">
        <v>0</v>
      </c>
      <c r="U680" s="3">
        <v>850000</v>
      </c>
      <c r="V680" s="5">
        <f>N680/M680</f>
        <v>4450</v>
      </c>
    </row>
    <row r="681" spans="1:22" ht="25.15" customHeight="1" x14ac:dyDescent="0.25">
      <c r="A681" s="21" t="s">
        <v>1557</v>
      </c>
      <c r="B681" s="36" t="s">
        <v>22</v>
      </c>
      <c r="C681" s="2">
        <f>D681+L681+N681+P681+R681+S681+T681+U681</f>
        <v>3453508</v>
      </c>
      <c r="D681" s="3">
        <f>SUM(E681:J681)</f>
        <v>766480</v>
      </c>
      <c r="E681" s="3">
        <f>700*294.8</f>
        <v>206360</v>
      </c>
      <c r="F681" s="3">
        <f>1300*294.8</f>
        <v>383240</v>
      </c>
      <c r="G681" s="3">
        <f>300*294.8</f>
        <v>88440</v>
      </c>
      <c r="H681" s="3">
        <f>500*0</f>
        <v>0</v>
      </c>
      <c r="I681" s="3">
        <f>300*294.8</f>
        <v>88440</v>
      </c>
      <c r="J681" s="3">
        <f>350*0</f>
        <v>0</v>
      </c>
      <c r="K681" s="4">
        <v>0</v>
      </c>
      <c r="L681" s="3">
        <v>0</v>
      </c>
      <c r="M681" s="3">
        <v>210</v>
      </c>
      <c r="N681" s="3">
        <f>M681*4450</f>
        <v>934500</v>
      </c>
      <c r="O681" s="3">
        <v>0</v>
      </c>
      <c r="P681" s="3">
        <v>0</v>
      </c>
      <c r="Q681" s="3">
        <v>282.04000000000002</v>
      </c>
      <c r="R681" s="3">
        <f>Q681*3200</f>
        <v>902528.00000000012</v>
      </c>
      <c r="S681" s="3">
        <v>0</v>
      </c>
      <c r="T681" s="3">
        <v>0</v>
      </c>
      <c r="U681" s="3">
        <v>850000</v>
      </c>
      <c r="V681" s="5">
        <f>N681/M681</f>
        <v>4450</v>
      </c>
    </row>
    <row r="682" spans="1:22" ht="25.15" customHeight="1" x14ac:dyDescent="0.25">
      <c r="A682" s="21" t="s">
        <v>1558</v>
      </c>
      <c r="B682" s="29" t="s">
        <v>24</v>
      </c>
      <c r="C682" s="2">
        <f>D682+L682+N682+P682+R682+S682+T682+U682</f>
        <v>5701080</v>
      </c>
      <c r="D682" s="3">
        <f>SUM(E682:J682)</f>
        <v>0</v>
      </c>
      <c r="E682" s="3">
        <v>0</v>
      </c>
      <c r="F682" s="3">
        <v>0</v>
      </c>
      <c r="G682" s="3">
        <v>0</v>
      </c>
      <c r="H682" s="3">
        <v>0</v>
      </c>
      <c r="I682" s="3">
        <v>0</v>
      </c>
      <c r="J682" s="3">
        <v>0</v>
      </c>
      <c r="K682" s="4">
        <v>0</v>
      </c>
      <c r="L682" s="3">
        <v>0</v>
      </c>
      <c r="M682" s="3">
        <v>863.8</v>
      </c>
      <c r="N682" s="3">
        <f>M682*6600</f>
        <v>5701080</v>
      </c>
      <c r="O682" s="3">
        <v>0</v>
      </c>
      <c r="P682" s="3">
        <v>0</v>
      </c>
      <c r="Q682" s="3">
        <v>0</v>
      </c>
      <c r="R682" s="3">
        <f>Q682*3000</f>
        <v>0</v>
      </c>
      <c r="S682" s="3">
        <v>0</v>
      </c>
      <c r="T682" s="3">
        <v>0</v>
      </c>
      <c r="U682" s="3">
        <v>0</v>
      </c>
      <c r="V682" s="5">
        <f>N682/M682</f>
        <v>6600</v>
      </c>
    </row>
    <row r="683" spans="1:22" ht="45" customHeight="1" x14ac:dyDescent="0.25">
      <c r="A683" s="51" t="s">
        <v>0</v>
      </c>
      <c r="B683" s="51"/>
      <c r="C683" s="2">
        <f t="shared" ref="C683:U683" si="168">SUM(C684:C709)</f>
        <v>205342241.70999998</v>
      </c>
      <c r="D683" s="2">
        <f t="shared" si="168"/>
        <v>21974190</v>
      </c>
      <c r="E683" s="2">
        <f t="shared" si="168"/>
        <v>5923715</v>
      </c>
      <c r="F683" s="2">
        <f t="shared" si="168"/>
        <v>10134085</v>
      </c>
      <c r="G683" s="2">
        <f t="shared" si="168"/>
        <v>2538735</v>
      </c>
      <c r="H683" s="2">
        <f t="shared" si="168"/>
        <v>838920.00000000012</v>
      </c>
      <c r="I683" s="2">
        <f t="shared" si="168"/>
        <v>2538735</v>
      </c>
      <c r="J683" s="2">
        <f t="shared" si="168"/>
        <v>0</v>
      </c>
      <c r="K683" s="18">
        <f t="shared" si="168"/>
        <v>0</v>
      </c>
      <c r="L683" s="2">
        <f t="shared" si="168"/>
        <v>0</v>
      </c>
      <c r="M683" s="2">
        <f t="shared" si="168"/>
        <v>22149.919999999998</v>
      </c>
      <c r="N683" s="2">
        <f t="shared" si="168"/>
        <v>131605282</v>
      </c>
      <c r="O683" s="2">
        <f t="shared" si="168"/>
        <v>0</v>
      </c>
      <c r="P683" s="2">
        <f t="shared" si="168"/>
        <v>0</v>
      </c>
      <c r="Q683" s="2">
        <f t="shared" si="168"/>
        <v>15478</v>
      </c>
      <c r="R683" s="2">
        <f t="shared" si="168"/>
        <v>49529600</v>
      </c>
      <c r="S683" s="2">
        <f t="shared" si="168"/>
        <v>250000</v>
      </c>
      <c r="T683" s="2">
        <f t="shared" si="168"/>
        <v>0</v>
      </c>
      <c r="U683" s="2">
        <f t="shared" si="168"/>
        <v>1983169.71</v>
      </c>
    </row>
    <row r="684" spans="1:22" ht="24" customHeight="1" x14ac:dyDescent="0.25">
      <c r="A684" s="15" t="s">
        <v>1559</v>
      </c>
      <c r="B684" s="24" t="s">
        <v>1183</v>
      </c>
      <c r="C684" s="2">
        <f t="shared" ref="C684:C709" si="169">D684+L684+N684+P684+R684+S684+T684+U684</f>
        <v>300000</v>
      </c>
      <c r="D684" s="3">
        <f t="shared" ref="D684:D691" si="170">SUM(E684:J684)</f>
        <v>0</v>
      </c>
      <c r="E684" s="3">
        <v>0</v>
      </c>
      <c r="F684" s="3">
        <v>0</v>
      </c>
      <c r="G684" s="3">
        <v>0</v>
      </c>
      <c r="H684" s="3">
        <v>0</v>
      </c>
      <c r="I684" s="3">
        <v>0</v>
      </c>
      <c r="J684" s="3">
        <v>0</v>
      </c>
      <c r="K684" s="4">
        <v>0</v>
      </c>
      <c r="L684" s="3">
        <v>0</v>
      </c>
      <c r="M684" s="3">
        <v>0</v>
      </c>
      <c r="N684" s="3">
        <v>0</v>
      </c>
      <c r="O684" s="3">
        <v>0</v>
      </c>
      <c r="P684" s="3">
        <v>0</v>
      </c>
      <c r="Q684" s="3">
        <v>0</v>
      </c>
      <c r="R684" s="3">
        <v>0</v>
      </c>
      <c r="S684" s="3">
        <v>0</v>
      </c>
      <c r="T684" s="3">
        <v>0</v>
      </c>
      <c r="U684" s="3">
        <v>300000</v>
      </c>
    </row>
    <row r="685" spans="1:22" ht="24" customHeight="1" x14ac:dyDescent="0.25">
      <c r="A685" s="15" t="s">
        <v>1560</v>
      </c>
      <c r="B685" s="24" t="s">
        <v>833</v>
      </c>
      <c r="C685" s="2">
        <f t="shared" si="169"/>
        <v>13477270</v>
      </c>
      <c r="D685" s="3">
        <f t="shared" si="170"/>
        <v>0</v>
      </c>
      <c r="E685" s="3">
        <v>0</v>
      </c>
      <c r="F685" s="3">
        <v>0</v>
      </c>
      <c r="G685" s="3">
        <v>0</v>
      </c>
      <c r="H685" s="3">
        <v>0</v>
      </c>
      <c r="I685" s="3">
        <v>0</v>
      </c>
      <c r="J685" s="3">
        <v>0</v>
      </c>
      <c r="K685" s="14">
        <v>0</v>
      </c>
      <c r="L685" s="13">
        <v>0</v>
      </c>
      <c r="M685" s="13">
        <v>3028.6</v>
      </c>
      <c r="N685" s="3">
        <f>M685*4450</f>
        <v>13477270</v>
      </c>
      <c r="O685" s="13">
        <v>0</v>
      </c>
      <c r="P685" s="13">
        <v>0</v>
      </c>
      <c r="Q685" s="13">
        <v>0</v>
      </c>
      <c r="R685" s="3">
        <f>Q685*3000</f>
        <v>0</v>
      </c>
      <c r="S685" s="13">
        <v>0</v>
      </c>
      <c r="T685" s="13">
        <v>0</v>
      </c>
      <c r="U685" s="13">
        <v>0</v>
      </c>
      <c r="V685" s="5">
        <f t="shared" ref="V685:V693" si="171">N685/M685</f>
        <v>4450</v>
      </c>
    </row>
    <row r="686" spans="1:22" ht="24" customHeight="1" x14ac:dyDescent="0.25">
      <c r="A686" s="15" t="s">
        <v>1561</v>
      </c>
      <c r="B686" s="22" t="s">
        <v>40</v>
      </c>
      <c r="C686" s="2">
        <f t="shared" si="169"/>
        <v>3781250</v>
      </c>
      <c r="D686" s="3">
        <f t="shared" si="170"/>
        <v>0</v>
      </c>
      <c r="E686" s="3">
        <v>0</v>
      </c>
      <c r="F686" s="3">
        <v>0</v>
      </c>
      <c r="G686" s="3">
        <v>0</v>
      </c>
      <c r="H686" s="3">
        <v>0</v>
      </c>
      <c r="I686" s="3">
        <v>0</v>
      </c>
      <c r="J686" s="3">
        <v>0</v>
      </c>
      <c r="K686" s="4">
        <v>0</v>
      </c>
      <c r="L686" s="3">
        <v>0</v>
      </c>
      <c r="M686" s="3">
        <v>687.5</v>
      </c>
      <c r="N686" s="3">
        <f>M686*5500</f>
        <v>3781250</v>
      </c>
      <c r="O686" s="3">
        <v>0</v>
      </c>
      <c r="P686" s="3">
        <v>0</v>
      </c>
      <c r="Q686" s="3">
        <v>0</v>
      </c>
      <c r="R686" s="3">
        <v>0</v>
      </c>
      <c r="S686" s="3">
        <v>0</v>
      </c>
      <c r="T686" s="3">
        <v>0</v>
      </c>
      <c r="U686" s="3">
        <v>0</v>
      </c>
      <c r="V686" s="5">
        <f t="shared" si="171"/>
        <v>5500</v>
      </c>
    </row>
    <row r="687" spans="1:22" ht="24" customHeight="1" x14ac:dyDescent="0.25">
      <c r="A687" s="15" t="s">
        <v>1562</v>
      </c>
      <c r="B687" s="24" t="s">
        <v>17</v>
      </c>
      <c r="C687" s="2">
        <f t="shared" si="169"/>
        <v>20219835.440000001</v>
      </c>
      <c r="D687" s="3">
        <f t="shared" si="170"/>
        <v>6291900.0000000009</v>
      </c>
      <c r="E687" s="3">
        <f>700*2097.3</f>
        <v>1468110.0000000002</v>
      </c>
      <c r="F687" s="3">
        <f>1300*2097.3</f>
        <v>2726490.0000000005</v>
      </c>
      <c r="G687" s="3">
        <f>300*2097.3</f>
        <v>629190</v>
      </c>
      <c r="H687" s="3">
        <f>400*2097.3</f>
        <v>838920.00000000012</v>
      </c>
      <c r="I687" s="3">
        <f>300*2097.3</f>
        <v>629190</v>
      </c>
      <c r="J687" s="3">
        <f>350*0</f>
        <v>0</v>
      </c>
      <c r="K687" s="4">
        <v>0</v>
      </c>
      <c r="L687" s="3">
        <v>0</v>
      </c>
      <c r="M687" s="3">
        <v>1315</v>
      </c>
      <c r="N687" s="3">
        <f>M687*6600</f>
        <v>8679000</v>
      </c>
      <c r="O687" s="3">
        <v>0</v>
      </c>
      <c r="P687" s="3">
        <v>0</v>
      </c>
      <c r="Q687" s="3">
        <v>1500</v>
      </c>
      <c r="R687" s="3">
        <f>Q687*3200</f>
        <v>4800000</v>
      </c>
      <c r="S687" s="3">
        <v>0</v>
      </c>
      <c r="T687" s="3">
        <v>0</v>
      </c>
      <c r="U687" s="3">
        <v>448935.44</v>
      </c>
      <c r="V687" s="5">
        <f t="shared" si="171"/>
        <v>6600</v>
      </c>
    </row>
    <row r="688" spans="1:22" ht="24" customHeight="1" x14ac:dyDescent="0.25">
      <c r="A688" s="15" t="s">
        <v>1563</v>
      </c>
      <c r="B688" s="24" t="s">
        <v>46</v>
      </c>
      <c r="C688" s="2">
        <f t="shared" si="169"/>
        <v>6416000</v>
      </c>
      <c r="D688" s="3">
        <f t="shared" si="170"/>
        <v>0</v>
      </c>
      <c r="E688" s="3">
        <v>0</v>
      </c>
      <c r="F688" s="3">
        <v>0</v>
      </c>
      <c r="G688" s="3">
        <v>0</v>
      </c>
      <c r="H688" s="3">
        <v>0</v>
      </c>
      <c r="I688" s="3">
        <v>0</v>
      </c>
      <c r="J688" s="3">
        <v>0</v>
      </c>
      <c r="K688" s="4">
        <v>0</v>
      </c>
      <c r="L688" s="3">
        <v>0</v>
      </c>
      <c r="M688" s="3">
        <v>0</v>
      </c>
      <c r="N688" s="23">
        <v>0</v>
      </c>
      <c r="O688" s="3">
        <v>0</v>
      </c>
      <c r="P688" s="3">
        <v>0</v>
      </c>
      <c r="Q688" s="3">
        <v>2005</v>
      </c>
      <c r="R688" s="3">
        <f>Q688*3200</f>
        <v>6416000</v>
      </c>
      <c r="S688" s="3">
        <v>0</v>
      </c>
      <c r="T688" s="13">
        <v>0</v>
      </c>
      <c r="U688" s="3">
        <v>0</v>
      </c>
      <c r="V688" s="5" t="e">
        <f t="shared" si="171"/>
        <v>#DIV/0!</v>
      </c>
    </row>
    <row r="689" spans="1:22" ht="24" customHeight="1" x14ac:dyDescent="0.25">
      <c r="A689" s="15" t="s">
        <v>1564</v>
      </c>
      <c r="B689" s="24" t="s">
        <v>49</v>
      </c>
      <c r="C689" s="2">
        <f t="shared" si="169"/>
        <v>12493200</v>
      </c>
      <c r="D689" s="3">
        <f t="shared" si="170"/>
        <v>0</v>
      </c>
      <c r="E689" s="3">
        <v>0</v>
      </c>
      <c r="F689" s="3">
        <v>0</v>
      </c>
      <c r="G689" s="3">
        <v>0</v>
      </c>
      <c r="H689" s="3">
        <v>0</v>
      </c>
      <c r="I689" s="3">
        <v>0</v>
      </c>
      <c r="J689" s="3">
        <v>0</v>
      </c>
      <c r="K689" s="4">
        <v>0</v>
      </c>
      <c r="L689" s="3">
        <v>0</v>
      </c>
      <c r="M689" s="3">
        <v>970</v>
      </c>
      <c r="N689" s="3">
        <f>M689*6600</f>
        <v>6402000</v>
      </c>
      <c r="O689" s="3">
        <v>0</v>
      </c>
      <c r="P689" s="3">
        <v>0</v>
      </c>
      <c r="Q689" s="3">
        <v>1903.5</v>
      </c>
      <c r="R689" s="3">
        <f>Q689*3200</f>
        <v>6091200</v>
      </c>
      <c r="S689" s="3">
        <v>0</v>
      </c>
      <c r="T689" s="13">
        <v>0</v>
      </c>
      <c r="U689" s="3">
        <v>0</v>
      </c>
      <c r="V689" s="5">
        <f t="shared" si="171"/>
        <v>6600</v>
      </c>
    </row>
    <row r="690" spans="1:22" ht="24" customHeight="1" x14ac:dyDescent="0.25">
      <c r="A690" s="15" t="s">
        <v>1565</v>
      </c>
      <c r="B690" s="24" t="s">
        <v>834</v>
      </c>
      <c r="C690" s="2">
        <f t="shared" si="169"/>
        <v>311260.45</v>
      </c>
      <c r="D690" s="3">
        <f t="shared" si="170"/>
        <v>0</v>
      </c>
      <c r="E690" s="3">
        <v>0</v>
      </c>
      <c r="F690" s="3">
        <v>0</v>
      </c>
      <c r="G690" s="3">
        <v>0</v>
      </c>
      <c r="H690" s="3">
        <f>400*0</f>
        <v>0</v>
      </c>
      <c r="I690" s="3">
        <v>0</v>
      </c>
      <c r="J690" s="3">
        <v>0</v>
      </c>
      <c r="K690" s="4">
        <v>0</v>
      </c>
      <c r="L690" s="3">
        <v>0</v>
      </c>
      <c r="M690" s="3">
        <v>0</v>
      </c>
      <c r="N690" s="23">
        <v>0</v>
      </c>
      <c r="O690" s="3">
        <v>0</v>
      </c>
      <c r="P690" s="3">
        <v>0</v>
      </c>
      <c r="Q690" s="3">
        <v>0</v>
      </c>
      <c r="R690" s="3">
        <v>0</v>
      </c>
      <c r="S690" s="3">
        <v>0</v>
      </c>
      <c r="T690" s="13">
        <v>0</v>
      </c>
      <c r="U690" s="3">
        <v>311260.45</v>
      </c>
      <c r="V690" s="5" t="e">
        <f t="shared" si="171"/>
        <v>#DIV/0!</v>
      </c>
    </row>
    <row r="691" spans="1:22" ht="24" customHeight="1" x14ac:dyDescent="0.25">
      <c r="A691" s="15" t="s">
        <v>1566</v>
      </c>
      <c r="B691" s="24" t="s">
        <v>836</v>
      </c>
      <c r="C691" s="2">
        <f t="shared" si="169"/>
        <v>33158600</v>
      </c>
      <c r="D691" s="3">
        <f t="shared" si="170"/>
        <v>0</v>
      </c>
      <c r="E691" s="3">
        <v>0</v>
      </c>
      <c r="F691" s="3">
        <v>0</v>
      </c>
      <c r="G691" s="3">
        <v>0</v>
      </c>
      <c r="H691" s="3">
        <v>0</v>
      </c>
      <c r="I691" s="3">
        <v>0</v>
      </c>
      <c r="J691" s="3">
        <v>0</v>
      </c>
      <c r="K691" s="4">
        <v>0</v>
      </c>
      <c r="L691" s="3">
        <v>0</v>
      </c>
      <c r="M691" s="3">
        <v>3521</v>
      </c>
      <c r="N691" s="3">
        <f>M691*6600</f>
        <v>23238600</v>
      </c>
      <c r="O691" s="3">
        <v>0</v>
      </c>
      <c r="P691" s="3">
        <v>0</v>
      </c>
      <c r="Q691" s="3">
        <v>3100</v>
      </c>
      <c r="R691" s="3">
        <f>Q691*3200</f>
        <v>9920000</v>
      </c>
      <c r="S691" s="3">
        <v>0</v>
      </c>
      <c r="T691" s="13">
        <v>0</v>
      </c>
      <c r="U691" s="3">
        <v>0</v>
      </c>
      <c r="V691" s="5">
        <f t="shared" si="171"/>
        <v>6600</v>
      </c>
    </row>
    <row r="692" spans="1:22" ht="24" customHeight="1" x14ac:dyDescent="0.25">
      <c r="A692" s="15" t="s">
        <v>1567</v>
      </c>
      <c r="B692" s="22" t="s">
        <v>852</v>
      </c>
      <c r="C692" s="2">
        <f t="shared" si="169"/>
        <v>4028112.0000000005</v>
      </c>
      <c r="D692" s="3">
        <v>0</v>
      </c>
      <c r="E692" s="3">
        <v>0</v>
      </c>
      <c r="F692" s="3">
        <v>0</v>
      </c>
      <c r="G692" s="3">
        <v>0</v>
      </c>
      <c r="H692" s="3">
        <v>0</v>
      </c>
      <c r="I692" s="3">
        <v>0</v>
      </c>
      <c r="J692" s="3">
        <v>0</v>
      </c>
      <c r="K692" s="4">
        <v>0</v>
      </c>
      <c r="L692" s="3">
        <v>0</v>
      </c>
      <c r="M692" s="3">
        <v>610.32000000000005</v>
      </c>
      <c r="N692" s="23">
        <f>M692*6600</f>
        <v>4028112.0000000005</v>
      </c>
      <c r="O692" s="3">
        <v>0</v>
      </c>
      <c r="P692" s="3">
        <v>0</v>
      </c>
      <c r="Q692" s="3">
        <v>0</v>
      </c>
      <c r="R692" s="3">
        <v>0</v>
      </c>
      <c r="S692" s="3">
        <v>0</v>
      </c>
      <c r="T692" s="3">
        <v>0</v>
      </c>
      <c r="U692" s="3">
        <v>0</v>
      </c>
      <c r="V692" s="5">
        <f t="shared" si="171"/>
        <v>6600</v>
      </c>
    </row>
    <row r="693" spans="1:22" ht="24" customHeight="1" x14ac:dyDescent="0.25">
      <c r="A693" s="15" t="s">
        <v>1568</v>
      </c>
      <c r="B693" s="24" t="s">
        <v>54</v>
      </c>
      <c r="C693" s="2">
        <f t="shared" si="169"/>
        <v>2574000</v>
      </c>
      <c r="D693" s="3">
        <v>0</v>
      </c>
      <c r="E693" s="3">
        <v>0</v>
      </c>
      <c r="F693" s="3">
        <v>0</v>
      </c>
      <c r="G693" s="3">
        <v>0</v>
      </c>
      <c r="H693" s="3">
        <v>0</v>
      </c>
      <c r="I693" s="3">
        <v>0</v>
      </c>
      <c r="J693" s="3">
        <v>0</v>
      </c>
      <c r="K693" s="4">
        <v>0</v>
      </c>
      <c r="L693" s="3">
        <v>0</v>
      </c>
      <c r="M693" s="3">
        <v>390</v>
      </c>
      <c r="N693" s="23">
        <f>M693*6600</f>
        <v>2574000</v>
      </c>
      <c r="O693" s="3">
        <v>0</v>
      </c>
      <c r="P693" s="3">
        <v>0</v>
      </c>
      <c r="Q693" s="3">
        <v>0</v>
      </c>
      <c r="R693" s="3">
        <v>0</v>
      </c>
      <c r="S693" s="3">
        <v>0</v>
      </c>
      <c r="T693" s="3">
        <v>0</v>
      </c>
      <c r="U693" s="3">
        <v>0</v>
      </c>
      <c r="V693" s="5">
        <f t="shared" si="171"/>
        <v>6600</v>
      </c>
    </row>
    <row r="694" spans="1:22" ht="24" customHeight="1" x14ac:dyDescent="0.25">
      <c r="A694" s="15" t="s">
        <v>1569</v>
      </c>
      <c r="B694" s="24" t="s">
        <v>1192</v>
      </c>
      <c r="C694" s="2">
        <f t="shared" si="169"/>
        <v>300000</v>
      </c>
      <c r="D694" s="3">
        <f t="shared" ref="D694:D709" si="172">SUM(E694:J694)</f>
        <v>0</v>
      </c>
      <c r="E694" s="3">
        <v>0</v>
      </c>
      <c r="F694" s="3">
        <v>0</v>
      </c>
      <c r="G694" s="3">
        <v>0</v>
      </c>
      <c r="H694" s="3">
        <v>0</v>
      </c>
      <c r="I694" s="3">
        <v>0</v>
      </c>
      <c r="J694" s="3">
        <v>0</v>
      </c>
      <c r="K694" s="4">
        <v>0</v>
      </c>
      <c r="L694" s="3">
        <v>0</v>
      </c>
      <c r="M694" s="3">
        <v>0</v>
      </c>
      <c r="N694" s="3">
        <v>0</v>
      </c>
      <c r="O694" s="3">
        <v>0</v>
      </c>
      <c r="P694" s="3">
        <v>0</v>
      </c>
      <c r="Q694" s="3">
        <v>0</v>
      </c>
      <c r="R694" s="3">
        <v>0</v>
      </c>
      <c r="S694" s="3">
        <v>0</v>
      </c>
      <c r="T694" s="13">
        <v>0</v>
      </c>
      <c r="U694" s="3">
        <v>300000</v>
      </c>
    </row>
    <row r="695" spans="1:22" ht="24" customHeight="1" x14ac:dyDescent="0.25">
      <c r="A695" s="15" t="s">
        <v>1570</v>
      </c>
      <c r="B695" s="24" t="s">
        <v>11</v>
      </c>
      <c r="C695" s="2">
        <f t="shared" si="169"/>
        <v>2049600</v>
      </c>
      <c r="D695" s="3">
        <f t="shared" si="172"/>
        <v>0</v>
      </c>
      <c r="E695" s="3">
        <v>0</v>
      </c>
      <c r="F695" s="3">
        <v>0</v>
      </c>
      <c r="G695" s="3">
        <v>0</v>
      </c>
      <c r="H695" s="3">
        <v>0</v>
      </c>
      <c r="I695" s="3">
        <v>0</v>
      </c>
      <c r="J695" s="3">
        <v>0</v>
      </c>
      <c r="K695" s="4">
        <v>0</v>
      </c>
      <c r="L695" s="3">
        <v>0</v>
      </c>
      <c r="M695" s="3">
        <v>0</v>
      </c>
      <c r="N695" s="23">
        <v>0</v>
      </c>
      <c r="O695" s="3">
        <v>0</v>
      </c>
      <c r="P695" s="3">
        <v>0</v>
      </c>
      <c r="Q695" s="3">
        <v>640.5</v>
      </c>
      <c r="R695" s="3">
        <f t="shared" ref="R695:R709" si="173">Q695*3200</f>
        <v>2049600</v>
      </c>
      <c r="S695" s="3">
        <v>0</v>
      </c>
      <c r="T695" s="13">
        <v>0</v>
      </c>
      <c r="U695" s="3">
        <v>0</v>
      </c>
      <c r="V695" s="5" t="e">
        <f>N695/M695</f>
        <v>#DIV/0!</v>
      </c>
    </row>
    <row r="696" spans="1:22" ht="24" customHeight="1" x14ac:dyDescent="0.25">
      <c r="A696" s="15" t="s">
        <v>1571</v>
      </c>
      <c r="B696" s="22" t="s">
        <v>59</v>
      </c>
      <c r="C696" s="2">
        <f t="shared" si="169"/>
        <v>6185500</v>
      </c>
      <c r="D696" s="3">
        <f t="shared" si="172"/>
        <v>0</v>
      </c>
      <c r="E696" s="3">
        <v>0</v>
      </c>
      <c r="F696" s="3">
        <v>0</v>
      </c>
      <c r="G696" s="3">
        <v>0</v>
      </c>
      <c r="H696" s="3">
        <v>0</v>
      </c>
      <c r="I696" s="3">
        <v>0</v>
      </c>
      <c r="J696" s="3">
        <v>0</v>
      </c>
      <c r="K696" s="4">
        <v>0</v>
      </c>
      <c r="L696" s="3">
        <v>0</v>
      </c>
      <c r="M696" s="3">
        <v>1390</v>
      </c>
      <c r="N696" s="3">
        <f>M696*4450</f>
        <v>6185500</v>
      </c>
      <c r="O696" s="3">
        <v>0</v>
      </c>
      <c r="P696" s="3">
        <v>0</v>
      </c>
      <c r="Q696" s="3">
        <v>0</v>
      </c>
      <c r="R696" s="3">
        <f t="shared" si="173"/>
        <v>0</v>
      </c>
      <c r="S696" s="3">
        <v>0</v>
      </c>
      <c r="T696" s="13">
        <v>0</v>
      </c>
      <c r="U696" s="3">
        <v>0</v>
      </c>
      <c r="V696" s="5">
        <f>N696/M696</f>
        <v>4450</v>
      </c>
    </row>
    <row r="697" spans="1:22" ht="24" customHeight="1" x14ac:dyDescent="0.25">
      <c r="A697" s="15" t="s">
        <v>1572</v>
      </c>
      <c r="B697" s="37" t="s">
        <v>62</v>
      </c>
      <c r="C697" s="2">
        <f t="shared" si="169"/>
        <v>6337980</v>
      </c>
      <c r="D697" s="3">
        <f t="shared" si="172"/>
        <v>0</v>
      </c>
      <c r="E697" s="3">
        <v>0</v>
      </c>
      <c r="F697" s="3">
        <v>0</v>
      </c>
      <c r="G697" s="3">
        <v>0</v>
      </c>
      <c r="H697" s="3">
        <v>0</v>
      </c>
      <c r="I697" s="3">
        <v>0</v>
      </c>
      <c r="J697" s="3">
        <v>0</v>
      </c>
      <c r="K697" s="4">
        <v>0</v>
      </c>
      <c r="L697" s="3">
        <v>0</v>
      </c>
      <c r="M697" s="3">
        <v>960.3</v>
      </c>
      <c r="N697" s="3">
        <f>M697*6600</f>
        <v>6337980</v>
      </c>
      <c r="O697" s="3">
        <v>0</v>
      </c>
      <c r="P697" s="3">
        <v>0</v>
      </c>
      <c r="Q697" s="3">
        <v>0</v>
      </c>
      <c r="R697" s="3">
        <f t="shared" si="173"/>
        <v>0</v>
      </c>
      <c r="S697" s="3">
        <v>0</v>
      </c>
      <c r="T697" s="13">
        <v>0</v>
      </c>
      <c r="U697" s="3">
        <v>0</v>
      </c>
      <c r="V697" s="5">
        <f>N697/M697</f>
        <v>6600</v>
      </c>
    </row>
    <row r="698" spans="1:22" ht="24" customHeight="1" x14ac:dyDescent="0.25">
      <c r="A698" s="15" t="s">
        <v>1573</v>
      </c>
      <c r="B698" s="38" t="s">
        <v>63</v>
      </c>
      <c r="C698" s="2">
        <f t="shared" si="169"/>
        <v>6567000</v>
      </c>
      <c r="D698" s="3">
        <f t="shared" si="172"/>
        <v>0</v>
      </c>
      <c r="E698" s="3">
        <v>0</v>
      </c>
      <c r="F698" s="3">
        <v>0</v>
      </c>
      <c r="G698" s="3">
        <v>0</v>
      </c>
      <c r="H698" s="3">
        <v>0</v>
      </c>
      <c r="I698" s="3">
        <v>0</v>
      </c>
      <c r="J698" s="3">
        <v>0</v>
      </c>
      <c r="K698" s="4">
        <v>0</v>
      </c>
      <c r="L698" s="3">
        <v>0</v>
      </c>
      <c r="M698" s="3">
        <v>995</v>
      </c>
      <c r="N698" s="3">
        <f>M698*6600</f>
        <v>6567000</v>
      </c>
      <c r="O698" s="3">
        <v>0</v>
      </c>
      <c r="P698" s="3">
        <v>0</v>
      </c>
      <c r="Q698" s="3">
        <v>0</v>
      </c>
      <c r="R698" s="3">
        <f t="shared" si="173"/>
        <v>0</v>
      </c>
      <c r="S698" s="3">
        <v>0</v>
      </c>
      <c r="T698" s="13">
        <v>0</v>
      </c>
      <c r="U698" s="3">
        <v>0</v>
      </c>
      <c r="V698" s="5">
        <f>N698/M698</f>
        <v>6600</v>
      </c>
    </row>
    <row r="699" spans="1:22" ht="24" customHeight="1" x14ac:dyDescent="0.25">
      <c r="A699" s="15" t="s">
        <v>1574</v>
      </c>
      <c r="B699" s="24" t="s">
        <v>1177</v>
      </c>
      <c r="C699" s="2">
        <f t="shared" si="169"/>
        <v>1287000</v>
      </c>
      <c r="D699" s="3">
        <f t="shared" si="172"/>
        <v>0</v>
      </c>
      <c r="E699" s="3">
        <v>0</v>
      </c>
      <c r="F699" s="3">
        <v>0</v>
      </c>
      <c r="G699" s="3">
        <v>0</v>
      </c>
      <c r="H699" s="3">
        <v>0</v>
      </c>
      <c r="I699" s="3">
        <v>0</v>
      </c>
      <c r="J699" s="3">
        <v>0</v>
      </c>
      <c r="K699" s="4">
        <v>0</v>
      </c>
      <c r="L699" s="3">
        <v>0</v>
      </c>
      <c r="M699" s="3">
        <v>195</v>
      </c>
      <c r="N699" s="39">
        <f>M699*6600</f>
        <v>1287000</v>
      </c>
      <c r="O699" s="3">
        <v>0</v>
      </c>
      <c r="P699" s="3">
        <v>0</v>
      </c>
      <c r="Q699" s="3">
        <v>0</v>
      </c>
      <c r="R699" s="3">
        <f t="shared" si="173"/>
        <v>0</v>
      </c>
      <c r="S699" s="3">
        <v>0</v>
      </c>
      <c r="T699" s="3">
        <v>0</v>
      </c>
      <c r="U699" s="3">
        <v>0</v>
      </c>
      <c r="V699" s="6"/>
    </row>
    <row r="700" spans="1:22" ht="24" customHeight="1" x14ac:dyDescent="0.25">
      <c r="A700" s="15" t="s">
        <v>1575</v>
      </c>
      <c r="B700" s="24" t="s">
        <v>60</v>
      </c>
      <c r="C700" s="2">
        <f t="shared" si="169"/>
        <v>2046660.0000000002</v>
      </c>
      <c r="D700" s="3">
        <f t="shared" si="172"/>
        <v>0</v>
      </c>
      <c r="E700" s="3">
        <v>0</v>
      </c>
      <c r="F700" s="3">
        <v>0</v>
      </c>
      <c r="G700" s="3">
        <v>0</v>
      </c>
      <c r="H700" s="3">
        <v>0</v>
      </c>
      <c r="I700" s="3">
        <v>0</v>
      </c>
      <c r="J700" s="3">
        <v>0</v>
      </c>
      <c r="K700" s="4">
        <v>0</v>
      </c>
      <c r="L700" s="3">
        <v>0</v>
      </c>
      <c r="M700" s="3">
        <v>310.10000000000002</v>
      </c>
      <c r="N700" s="3">
        <f>M700*6600</f>
        <v>2046660.0000000002</v>
      </c>
      <c r="O700" s="3">
        <v>0</v>
      </c>
      <c r="P700" s="3">
        <v>0</v>
      </c>
      <c r="Q700" s="3">
        <v>0</v>
      </c>
      <c r="R700" s="3">
        <f t="shared" si="173"/>
        <v>0</v>
      </c>
      <c r="S700" s="3">
        <v>0</v>
      </c>
      <c r="T700" s="3">
        <v>0</v>
      </c>
      <c r="U700" s="3">
        <v>0</v>
      </c>
      <c r="V700" s="5">
        <f t="shared" ref="V700:V709" si="174">N700/M700</f>
        <v>6600</v>
      </c>
    </row>
    <row r="701" spans="1:22" ht="24" customHeight="1" x14ac:dyDescent="0.25">
      <c r="A701" s="15" t="s">
        <v>1576</v>
      </c>
      <c r="B701" s="24" t="s">
        <v>35</v>
      </c>
      <c r="C701" s="2">
        <f t="shared" si="169"/>
        <v>37030228</v>
      </c>
      <c r="D701" s="3">
        <f t="shared" si="172"/>
        <v>11976068</v>
      </c>
      <c r="E701" s="3">
        <f>700*4606.18</f>
        <v>3224326</v>
      </c>
      <c r="F701" s="3">
        <f>1300*4606.18</f>
        <v>5988034</v>
      </c>
      <c r="G701" s="3">
        <f>300*4606.18</f>
        <v>1381854</v>
      </c>
      <c r="H701" s="3">
        <f>400*0</f>
        <v>0</v>
      </c>
      <c r="I701" s="3">
        <f>300*4606.18</f>
        <v>1381854</v>
      </c>
      <c r="J701" s="3">
        <v>0</v>
      </c>
      <c r="K701" s="4">
        <v>0</v>
      </c>
      <c r="L701" s="3">
        <v>0</v>
      </c>
      <c r="M701" s="3">
        <v>2057.6</v>
      </c>
      <c r="N701" s="3">
        <f>M701*6600</f>
        <v>13580160</v>
      </c>
      <c r="O701" s="3">
        <v>0</v>
      </c>
      <c r="P701" s="3">
        <v>0</v>
      </c>
      <c r="Q701" s="3">
        <v>3445</v>
      </c>
      <c r="R701" s="3">
        <f t="shared" si="173"/>
        <v>11024000</v>
      </c>
      <c r="S701" s="3">
        <v>250000</v>
      </c>
      <c r="T701" s="13">
        <v>0</v>
      </c>
      <c r="U701" s="3">
        <v>200000</v>
      </c>
      <c r="V701" s="5">
        <f t="shared" si="174"/>
        <v>6600</v>
      </c>
    </row>
    <row r="702" spans="1:22" ht="24" customHeight="1" x14ac:dyDescent="0.25">
      <c r="A702" s="15" t="s">
        <v>1577</v>
      </c>
      <c r="B702" s="24" t="s">
        <v>64</v>
      </c>
      <c r="C702" s="2">
        <f t="shared" si="169"/>
        <v>14795500</v>
      </c>
      <c r="D702" s="3">
        <f t="shared" si="172"/>
        <v>0</v>
      </c>
      <c r="E702" s="3">
        <v>0</v>
      </c>
      <c r="F702" s="3">
        <v>0</v>
      </c>
      <c r="G702" s="3">
        <v>0</v>
      </c>
      <c r="H702" s="3">
        <v>0</v>
      </c>
      <c r="I702" s="3">
        <v>0</v>
      </c>
      <c r="J702" s="3">
        <v>0</v>
      </c>
      <c r="K702" s="4">
        <v>0</v>
      </c>
      <c r="L702" s="3">
        <v>0</v>
      </c>
      <c r="M702" s="3">
        <v>1206</v>
      </c>
      <c r="N702" s="3">
        <f>M702*4450</f>
        <v>5366700</v>
      </c>
      <c r="O702" s="3">
        <v>0</v>
      </c>
      <c r="P702" s="3">
        <v>0</v>
      </c>
      <c r="Q702" s="3">
        <v>2884</v>
      </c>
      <c r="R702" s="3">
        <f t="shared" si="173"/>
        <v>9228800</v>
      </c>
      <c r="S702" s="3">
        <v>0</v>
      </c>
      <c r="T702" s="3">
        <v>0</v>
      </c>
      <c r="U702" s="3">
        <v>200000</v>
      </c>
      <c r="V702" s="5">
        <f t="shared" si="174"/>
        <v>4450</v>
      </c>
    </row>
    <row r="703" spans="1:22" ht="24" customHeight="1" x14ac:dyDescent="0.25">
      <c r="A703" s="15" t="s">
        <v>1959</v>
      </c>
      <c r="B703" s="24" t="s">
        <v>65</v>
      </c>
      <c r="C703" s="2">
        <f t="shared" si="169"/>
        <v>4468200</v>
      </c>
      <c r="D703" s="3">
        <f t="shared" si="172"/>
        <v>0</v>
      </c>
      <c r="E703" s="3">
        <v>0</v>
      </c>
      <c r="F703" s="3">
        <v>0</v>
      </c>
      <c r="G703" s="3">
        <v>0</v>
      </c>
      <c r="H703" s="3">
        <v>0</v>
      </c>
      <c r="I703" s="3">
        <v>0</v>
      </c>
      <c r="J703" s="3">
        <v>0</v>
      </c>
      <c r="K703" s="4">
        <v>0</v>
      </c>
      <c r="L703" s="3">
        <v>0</v>
      </c>
      <c r="M703" s="3">
        <v>677</v>
      </c>
      <c r="N703" s="3">
        <f>M703*6600</f>
        <v>4468200</v>
      </c>
      <c r="O703" s="3">
        <v>0</v>
      </c>
      <c r="P703" s="3">
        <v>0</v>
      </c>
      <c r="Q703" s="3">
        <v>0</v>
      </c>
      <c r="R703" s="3">
        <f t="shared" si="173"/>
        <v>0</v>
      </c>
      <c r="S703" s="3">
        <v>0</v>
      </c>
      <c r="T703" s="13">
        <v>0</v>
      </c>
      <c r="U703" s="3">
        <v>0</v>
      </c>
      <c r="V703" s="5">
        <f t="shared" si="174"/>
        <v>6600</v>
      </c>
    </row>
    <row r="704" spans="1:22" ht="24" customHeight="1" x14ac:dyDescent="0.25">
      <c r="A704" s="15" t="s">
        <v>1960</v>
      </c>
      <c r="B704" s="24" t="s">
        <v>66</v>
      </c>
      <c r="C704" s="2">
        <f t="shared" si="169"/>
        <v>3591150</v>
      </c>
      <c r="D704" s="3">
        <f t="shared" si="172"/>
        <v>0</v>
      </c>
      <c r="E704" s="3">
        <v>0</v>
      </c>
      <c r="F704" s="3">
        <v>0</v>
      </c>
      <c r="G704" s="3">
        <v>0</v>
      </c>
      <c r="H704" s="3">
        <v>0</v>
      </c>
      <c r="I704" s="3">
        <v>0</v>
      </c>
      <c r="J704" s="3">
        <v>0</v>
      </c>
      <c r="K704" s="4">
        <v>0</v>
      </c>
      <c r="L704" s="3">
        <v>0</v>
      </c>
      <c r="M704" s="3">
        <v>807</v>
      </c>
      <c r="N704" s="3">
        <f>M704*4450</f>
        <v>3591150</v>
      </c>
      <c r="O704" s="3">
        <v>0</v>
      </c>
      <c r="P704" s="3">
        <v>0</v>
      </c>
      <c r="Q704" s="3">
        <v>0</v>
      </c>
      <c r="R704" s="3">
        <f t="shared" si="173"/>
        <v>0</v>
      </c>
      <c r="S704" s="3">
        <v>0</v>
      </c>
      <c r="T704" s="13">
        <v>0</v>
      </c>
      <c r="U704" s="3">
        <v>0</v>
      </c>
      <c r="V704" s="5">
        <f t="shared" si="174"/>
        <v>4450</v>
      </c>
    </row>
    <row r="705" spans="1:22" ht="24" customHeight="1" x14ac:dyDescent="0.25">
      <c r="A705" s="15" t="s">
        <v>1961</v>
      </c>
      <c r="B705" s="24" t="s">
        <v>69</v>
      </c>
      <c r="C705" s="2">
        <f t="shared" si="169"/>
        <v>1744380</v>
      </c>
      <c r="D705" s="3">
        <f t="shared" si="172"/>
        <v>0</v>
      </c>
      <c r="E705" s="3">
        <v>0</v>
      </c>
      <c r="F705" s="3">
        <v>0</v>
      </c>
      <c r="G705" s="3">
        <v>0</v>
      </c>
      <c r="H705" s="3">
        <v>0</v>
      </c>
      <c r="I705" s="3">
        <v>0</v>
      </c>
      <c r="J705" s="3">
        <v>0</v>
      </c>
      <c r="K705" s="4">
        <v>0</v>
      </c>
      <c r="L705" s="3">
        <v>0</v>
      </c>
      <c r="M705" s="3">
        <v>264.3</v>
      </c>
      <c r="N705" s="3">
        <f>M705*6600</f>
        <v>1744380</v>
      </c>
      <c r="O705" s="3">
        <v>0</v>
      </c>
      <c r="P705" s="3">
        <v>0</v>
      </c>
      <c r="Q705" s="3">
        <v>0</v>
      </c>
      <c r="R705" s="3">
        <f t="shared" si="173"/>
        <v>0</v>
      </c>
      <c r="S705" s="3">
        <v>0</v>
      </c>
      <c r="T705" s="13">
        <v>0</v>
      </c>
      <c r="U705" s="3">
        <v>0</v>
      </c>
      <c r="V705" s="5">
        <f t="shared" si="174"/>
        <v>6600</v>
      </c>
    </row>
    <row r="706" spans="1:22" ht="24" customHeight="1" x14ac:dyDescent="0.25">
      <c r="A706" s="15" t="s">
        <v>1962</v>
      </c>
      <c r="B706" s="24" t="s">
        <v>67</v>
      </c>
      <c r="C706" s="2">
        <f t="shared" si="169"/>
        <v>2962095.82</v>
      </c>
      <c r="D706" s="3">
        <f t="shared" si="172"/>
        <v>2839122</v>
      </c>
      <c r="E706" s="3">
        <f>700*1091.97</f>
        <v>764379</v>
      </c>
      <c r="F706" s="3">
        <f>1300*1091.97</f>
        <v>1419561</v>
      </c>
      <c r="G706" s="3">
        <f>300*1091.97</f>
        <v>327591</v>
      </c>
      <c r="H706" s="3">
        <v>0</v>
      </c>
      <c r="I706" s="3">
        <f>300*1091.97</f>
        <v>327591</v>
      </c>
      <c r="J706" s="3">
        <v>0</v>
      </c>
      <c r="K706" s="4">
        <v>0</v>
      </c>
      <c r="L706" s="3">
        <v>0</v>
      </c>
      <c r="M706" s="3">
        <v>0</v>
      </c>
      <c r="N706" s="23">
        <v>0</v>
      </c>
      <c r="O706" s="3">
        <v>0</v>
      </c>
      <c r="P706" s="3">
        <v>0</v>
      </c>
      <c r="Q706" s="3">
        <v>0</v>
      </c>
      <c r="R706" s="3">
        <f t="shared" si="173"/>
        <v>0</v>
      </c>
      <c r="S706" s="3">
        <v>0</v>
      </c>
      <c r="T706" s="13">
        <v>0</v>
      </c>
      <c r="U706" s="3">
        <v>122973.82</v>
      </c>
      <c r="V706" s="5" t="e">
        <f t="shared" si="174"/>
        <v>#DIV/0!</v>
      </c>
    </row>
    <row r="707" spans="1:22" ht="24" customHeight="1" x14ac:dyDescent="0.25">
      <c r="A707" s="15" t="s">
        <v>1963</v>
      </c>
      <c r="B707" s="24" t="s">
        <v>68</v>
      </c>
      <c r="C707" s="2">
        <f t="shared" si="169"/>
        <v>4228820</v>
      </c>
      <c r="D707" s="3">
        <f t="shared" si="172"/>
        <v>867100</v>
      </c>
      <c r="E707" s="3">
        <f>700*667</f>
        <v>466900</v>
      </c>
      <c r="F707" s="3">
        <f>1300*0</f>
        <v>0</v>
      </c>
      <c r="G707" s="3">
        <f>300*667</f>
        <v>200100</v>
      </c>
      <c r="H707" s="3">
        <v>0</v>
      </c>
      <c r="I707" s="3">
        <f>300*667</f>
        <v>200100</v>
      </c>
      <c r="J707" s="3">
        <v>0</v>
      </c>
      <c r="K707" s="4">
        <v>0</v>
      </c>
      <c r="L707" s="3">
        <v>0</v>
      </c>
      <c r="M707" s="3">
        <v>494.2</v>
      </c>
      <c r="N707" s="3">
        <f>M707*6600</f>
        <v>3261720</v>
      </c>
      <c r="O707" s="3">
        <v>0</v>
      </c>
      <c r="P707" s="3">
        <v>0</v>
      </c>
      <c r="Q707" s="3">
        <v>0</v>
      </c>
      <c r="R707" s="3">
        <f t="shared" si="173"/>
        <v>0</v>
      </c>
      <c r="S707" s="3">
        <v>0</v>
      </c>
      <c r="T707" s="13">
        <v>0</v>
      </c>
      <c r="U707" s="3">
        <v>100000</v>
      </c>
      <c r="V707" s="5">
        <f t="shared" si="174"/>
        <v>6600</v>
      </c>
    </row>
    <row r="708" spans="1:22" ht="24" customHeight="1" x14ac:dyDescent="0.25">
      <c r="A708" s="15" t="s">
        <v>1964</v>
      </c>
      <c r="B708" s="24" t="s">
        <v>70</v>
      </c>
      <c r="C708" s="2">
        <f t="shared" si="169"/>
        <v>2118600</v>
      </c>
      <c r="D708" s="3">
        <f t="shared" si="172"/>
        <v>0</v>
      </c>
      <c r="E708" s="3">
        <v>0</v>
      </c>
      <c r="F708" s="3">
        <v>0</v>
      </c>
      <c r="G708" s="3">
        <v>0</v>
      </c>
      <c r="H708" s="3">
        <v>0</v>
      </c>
      <c r="I708" s="3">
        <v>0</v>
      </c>
      <c r="J708" s="3">
        <v>0</v>
      </c>
      <c r="K708" s="4">
        <v>0</v>
      </c>
      <c r="L708" s="3">
        <v>0</v>
      </c>
      <c r="M708" s="3">
        <v>321</v>
      </c>
      <c r="N708" s="3">
        <f>M708*6600</f>
        <v>2118600</v>
      </c>
      <c r="O708" s="3">
        <v>0</v>
      </c>
      <c r="P708" s="3">
        <v>0</v>
      </c>
      <c r="Q708" s="3">
        <v>0</v>
      </c>
      <c r="R708" s="3">
        <f t="shared" si="173"/>
        <v>0</v>
      </c>
      <c r="S708" s="3">
        <v>0</v>
      </c>
      <c r="T708" s="13">
        <v>0</v>
      </c>
      <c r="U708" s="3">
        <v>0</v>
      </c>
      <c r="V708" s="5">
        <f t="shared" si="174"/>
        <v>6600</v>
      </c>
    </row>
    <row r="709" spans="1:22" ht="24" customHeight="1" x14ac:dyDescent="0.25">
      <c r="A709" s="15" t="s">
        <v>1965</v>
      </c>
      <c r="B709" s="24" t="s">
        <v>817</v>
      </c>
      <c r="C709" s="2">
        <f t="shared" si="169"/>
        <v>12870000</v>
      </c>
      <c r="D709" s="3">
        <f t="shared" si="172"/>
        <v>0</v>
      </c>
      <c r="E709" s="3">
        <v>0</v>
      </c>
      <c r="F709" s="3">
        <v>0</v>
      </c>
      <c r="G709" s="3">
        <v>0</v>
      </c>
      <c r="H709" s="3">
        <v>0</v>
      </c>
      <c r="I709" s="3">
        <v>0</v>
      </c>
      <c r="J709" s="3">
        <v>0</v>
      </c>
      <c r="K709" s="4">
        <v>0</v>
      </c>
      <c r="L709" s="3">
        <v>0</v>
      </c>
      <c r="M709" s="3">
        <v>1950</v>
      </c>
      <c r="N709" s="3">
        <f>M709*6600</f>
        <v>12870000</v>
      </c>
      <c r="O709" s="3">
        <v>0</v>
      </c>
      <c r="P709" s="3">
        <v>0</v>
      </c>
      <c r="Q709" s="3">
        <v>0</v>
      </c>
      <c r="R709" s="3">
        <f t="shared" si="173"/>
        <v>0</v>
      </c>
      <c r="S709" s="3">
        <v>0</v>
      </c>
      <c r="T709" s="13">
        <v>0</v>
      </c>
      <c r="U709" s="3">
        <v>0</v>
      </c>
      <c r="V709" s="5">
        <f t="shared" si="174"/>
        <v>6600</v>
      </c>
    </row>
    <row r="710" spans="1:22" ht="40.15" customHeight="1" x14ac:dyDescent="0.25">
      <c r="A710" s="51" t="s">
        <v>30</v>
      </c>
      <c r="B710" s="51"/>
      <c r="C710" s="2">
        <f t="shared" ref="C710:U710" si="175">SUM(C711)</f>
        <v>2356200</v>
      </c>
      <c r="D710" s="2">
        <f t="shared" si="175"/>
        <v>0</v>
      </c>
      <c r="E710" s="2">
        <f t="shared" si="175"/>
        <v>0</v>
      </c>
      <c r="F710" s="2">
        <f t="shared" si="175"/>
        <v>0</v>
      </c>
      <c r="G710" s="2">
        <f t="shared" si="175"/>
        <v>0</v>
      </c>
      <c r="H710" s="2">
        <f t="shared" si="175"/>
        <v>0</v>
      </c>
      <c r="I710" s="2">
        <f t="shared" si="175"/>
        <v>0</v>
      </c>
      <c r="J710" s="2">
        <f t="shared" si="175"/>
        <v>0</v>
      </c>
      <c r="K710" s="18">
        <f t="shared" si="175"/>
        <v>0</v>
      </c>
      <c r="L710" s="2">
        <f t="shared" si="175"/>
        <v>0</v>
      </c>
      <c r="M710" s="2">
        <f t="shared" si="175"/>
        <v>357</v>
      </c>
      <c r="N710" s="2">
        <f t="shared" si="175"/>
        <v>2356200</v>
      </c>
      <c r="O710" s="2">
        <f t="shared" si="175"/>
        <v>0</v>
      </c>
      <c r="P710" s="2">
        <f t="shared" si="175"/>
        <v>0</v>
      </c>
      <c r="Q710" s="2">
        <f t="shared" si="175"/>
        <v>0</v>
      </c>
      <c r="R710" s="2">
        <f t="shared" si="175"/>
        <v>0</v>
      </c>
      <c r="S710" s="2">
        <f t="shared" si="175"/>
        <v>0</v>
      </c>
      <c r="T710" s="2">
        <f t="shared" si="175"/>
        <v>0</v>
      </c>
      <c r="U710" s="2">
        <f t="shared" si="175"/>
        <v>0</v>
      </c>
      <c r="V710" s="20">
        <f>C710</f>
        <v>2356200</v>
      </c>
    </row>
    <row r="711" spans="1:22" ht="25.15" customHeight="1" x14ac:dyDescent="0.25">
      <c r="A711" s="21" t="s">
        <v>1966</v>
      </c>
      <c r="B711" s="24" t="s">
        <v>31</v>
      </c>
      <c r="C711" s="2">
        <f>D711+L711+N711+P711+R711+S711+T711+U711</f>
        <v>2356200</v>
      </c>
      <c r="D711" s="3">
        <f>SUM(E711:J711)</f>
        <v>0</v>
      </c>
      <c r="E711" s="3">
        <v>0</v>
      </c>
      <c r="F711" s="3">
        <v>0</v>
      </c>
      <c r="G711" s="3">
        <v>0</v>
      </c>
      <c r="H711" s="3">
        <v>0</v>
      </c>
      <c r="I711" s="3">
        <v>0</v>
      </c>
      <c r="J711" s="3">
        <v>0</v>
      </c>
      <c r="K711" s="4">
        <v>0</v>
      </c>
      <c r="L711" s="3">
        <v>0</v>
      </c>
      <c r="M711" s="3">
        <v>357</v>
      </c>
      <c r="N711" s="3">
        <f>M711*6600</f>
        <v>2356200</v>
      </c>
      <c r="O711" s="3">
        <v>0</v>
      </c>
      <c r="P711" s="3">
        <v>0</v>
      </c>
      <c r="Q711" s="3">
        <v>0</v>
      </c>
      <c r="R711" s="3">
        <v>0</v>
      </c>
      <c r="S711" s="3">
        <v>0</v>
      </c>
      <c r="T711" s="3">
        <v>0</v>
      </c>
      <c r="U711" s="3">
        <v>0</v>
      </c>
      <c r="V711" s="5">
        <f>N711/M711</f>
        <v>6600</v>
      </c>
    </row>
    <row r="712" spans="1:22" ht="40.15" customHeight="1" x14ac:dyDescent="0.25">
      <c r="A712" s="51" t="s">
        <v>28</v>
      </c>
      <c r="B712" s="51"/>
      <c r="C712" s="2">
        <f t="shared" ref="C712:U712" si="176">SUM(C713:C714)</f>
        <v>8500228</v>
      </c>
      <c r="D712" s="2">
        <f t="shared" si="176"/>
        <v>586208</v>
      </c>
      <c r="E712" s="2">
        <f t="shared" si="176"/>
        <v>586208</v>
      </c>
      <c r="F712" s="2">
        <f t="shared" si="176"/>
        <v>0</v>
      </c>
      <c r="G712" s="2">
        <f t="shared" si="176"/>
        <v>0</v>
      </c>
      <c r="H712" s="2">
        <f t="shared" si="176"/>
        <v>0</v>
      </c>
      <c r="I712" s="2">
        <f t="shared" si="176"/>
        <v>0</v>
      </c>
      <c r="J712" s="2">
        <f t="shared" si="176"/>
        <v>0</v>
      </c>
      <c r="K712" s="18">
        <f t="shared" si="176"/>
        <v>0</v>
      </c>
      <c r="L712" s="2">
        <f t="shared" si="176"/>
        <v>0</v>
      </c>
      <c r="M712" s="2">
        <f t="shared" si="176"/>
        <v>790</v>
      </c>
      <c r="N712" s="2">
        <f t="shared" si="176"/>
        <v>5214000</v>
      </c>
      <c r="O712" s="2">
        <f t="shared" si="176"/>
        <v>0</v>
      </c>
      <c r="P712" s="2">
        <f t="shared" si="176"/>
        <v>0</v>
      </c>
      <c r="Q712" s="2">
        <f t="shared" si="176"/>
        <v>506</v>
      </c>
      <c r="R712" s="2">
        <f t="shared" si="176"/>
        <v>1619200</v>
      </c>
      <c r="S712" s="2">
        <f t="shared" si="176"/>
        <v>680820</v>
      </c>
      <c r="T712" s="2">
        <f t="shared" si="176"/>
        <v>0</v>
      </c>
      <c r="U712" s="2">
        <f t="shared" si="176"/>
        <v>400000</v>
      </c>
      <c r="V712" s="20">
        <f>C712</f>
        <v>8500228</v>
      </c>
    </row>
    <row r="713" spans="1:22" ht="25.15" customHeight="1" x14ac:dyDescent="0.25">
      <c r="A713" s="21" t="s">
        <v>1967</v>
      </c>
      <c r="B713" s="24" t="s">
        <v>29</v>
      </c>
      <c r="C713" s="2">
        <f>D713+L713+N713+P713+R713+S713+T713+U713</f>
        <v>2624095</v>
      </c>
      <c r="D713" s="3">
        <f>SUM(E713:J713)</f>
        <v>214095.00000000003</v>
      </c>
      <c r="E713" s="3">
        <f>700*305.85</f>
        <v>214095.00000000003</v>
      </c>
      <c r="F713" s="3">
        <v>0</v>
      </c>
      <c r="G713" s="3">
        <v>0</v>
      </c>
      <c r="H713" s="3">
        <v>0</v>
      </c>
      <c r="I713" s="3">
        <v>0</v>
      </c>
      <c r="J713" s="3">
        <v>0</v>
      </c>
      <c r="K713" s="4">
        <v>0</v>
      </c>
      <c r="L713" s="3">
        <v>0</v>
      </c>
      <c r="M713" s="3">
        <v>350</v>
      </c>
      <c r="N713" s="3">
        <f>M713*6600</f>
        <v>2310000</v>
      </c>
      <c r="O713" s="3">
        <v>0</v>
      </c>
      <c r="P713" s="3">
        <v>0</v>
      </c>
      <c r="Q713" s="3">
        <v>0</v>
      </c>
      <c r="R713" s="3">
        <f>Q713*3000</f>
        <v>0</v>
      </c>
      <c r="S713" s="3">
        <v>0</v>
      </c>
      <c r="T713" s="3">
        <v>0</v>
      </c>
      <c r="U713" s="3">
        <v>100000</v>
      </c>
      <c r="V713" s="5">
        <f>N713/M713</f>
        <v>6600</v>
      </c>
    </row>
    <row r="714" spans="1:22" ht="25.15" customHeight="1" x14ac:dyDescent="0.25">
      <c r="A714" s="21" t="s">
        <v>1968</v>
      </c>
      <c r="B714" s="24" t="s">
        <v>837</v>
      </c>
      <c r="C714" s="2">
        <f>D714+L714+N714+P714+R714+S714+T714+U714</f>
        <v>5876133</v>
      </c>
      <c r="D714" s="3">
        <f>SUM(E714:J714)</f>
        <v>372113</v>
      </c>
      <c r="E714" s="3">
        <f>700*531.59</f>
        <v>372113</v>
      </c>
      <c r="F714" s="3">
        <v>0</v>
      </c>
      <c r="G714" s="3">
        <v>0</v>
      </c>
      <c r="H714" s="3">
        <v>0</v>
      </c>
      <c r="I714" s="3">
        <v>0</v>
      </c>
      <c r="J714" s="3">
        <v>0</v>
      </c>
      <c r="K714" s="4">
        <v>0</v>
      </c>
      <c r="L714" s="3">
        <v>0</v>
      </c>
      <c r="M714" s="3">
        <v>440</v>
      </c>
      <c r="N714" s="3">
        <f>M714*6600</f>
        <v>2904000</v>
      </c>
      <c r="O714" s="3">
        <v>0</v>
      </c>
      <c r="P714" s="3">
        <v>0</v>
      </c>
      <c r="Q714" s="3">
        <v>506</v>
      </c>
      <c r="R714" s="3">
        <f>Q714*3200</f>
        <v>1619200</v>
      </c>
      <c r="S714" s="3">
        <v>680820</v>
      </c>
      <c r="T714" s="3">
        <v>0</v>
      </c>
      <c r="U714" s="3">
        <v>300000</v>
      </c>
      <c r="V714" s="5">
        <f>N714/M714</f>
        <v>6600</v>
      </c>
    </row>
    <row r="715" spans="1:22" ht="40.15" customHeight="1" x14ac:dyDescent="0.25">
      <c r="A715" s="51" t="s">
        <v>73</v>
      </c>
      <c r="B715" s="51"/>
      <c r="C715" s="2">
        <f t="shared" ref="C715:U715" si="177">SUM(C716:C718)</f>
        <v>17243798</v>
      </c>
      <c r="D715" s="2">
        <f t="shared" si="177"/>
        <v>0</v>
      </c>
      <c r="E715" s="2">
        <f t="shared" si="177"/>
        <v>0</v>
      </c>
      <c r="F715" s="2">
        <f t="shared" si="177"/>
        <v>0</v>
      </c>
      <c r="G715" s="2">
        <f t="shared" si="177"/>
        <v>0</v>
      </c>
      <c r="H715" s="2">
        <f t="shared" si="177"/>
        <v>0</v>
      </c>
      <c r="I715" s="2">
        <f t="shared" si="177"/>
        <v>0</v>
      </c>
      <c r="J715" s="2">
        <f t="shared" si="177"/>
        <v>0</v>
      </c>
      <c r="K715" s="18">
        <f t="shared" si="177"/>
        <v>0</v>
      </c>
      <c r="L715" s="2">
        <f t="shared" si="177"/>
        <v>0</v>
      </c>
      <c r="M715" s="2">
        <f t="shared" si="177"/>
        <v>1091.1500000000001</v>
      </c>
      <c r="N715" s="2">
        <f t="shared" si="177"/>
        <v>7201590</v>
      </c>
      <c r="O715" s="2">
        <f t="shared" si="177"/>
        <v>0</v>
      </c>
      <c r="P715" s="2">
        <f t="shared" si="177"/>
        <v>0</v>
      </c>
      <c r="Q715" s="2">
        <f t="shared" si="177"/>
        <v>3138.19</v>
      </c>
      <c r="R715" s="2">
        <f t="shared" si="177"/>
        <v>10042208</v>
      </c>
      <c r="S715" s="2">
        <f t="shared" si="177"/>
        <v>0</v>
      </c>
      <c r="T715" s="2">
        <f t="shared" si="177"/>
        <v>0</v>
      </c>
      <c r="U715" s="2">
        <f t="shared" si="177"/>
        <v>0</v>
      </c>
    </row>
    <row r="716" spans="1:22" ht="25.15" customHeight="1" x14ac:dyDescent="0.25">
      <c r="A716" s="15" t="s">
        <v>1578</v>
      </c>
      <c r="B716" s="24" t="s">
        <v>813</v>
      </c>
      <c r="C716" s="2">
        <f>D716+L716+N716+P716+R716+S716+T716+U716</f>
        <v>10042208</v>
      </c>
      <c r="D716" s="3">
        <f>SUM(E716:J716)</f>
        <v>0</v>
      </c>
      <c r="E716" s="3">
        <v>0</v>
      </c>
      <c r="F716" s="3">
        <v>0</v>
      </c>
      <c r="G716" s="3">
        <v>0</v>
      </c>
      <c r="H716" s="3">
        <v>0</v>
      </c>
      <c r="I716" s="3">
        <v>0</v>
      </c>
      <c r="J716" s="3">
        <v>0</v>
      </c>
      <c r="K716" s="14">
        <v>0</v>
      </c>
      <c r="L716" s="13">
        <v>0</v>
      </c>
      <c r="M716" s="13">
        <v>0</v>
      </c>
      <c r="N716" s="13">
        <v>0</v>
      </c>
      <c r="O716" s="13">
        <v>0</v>
      </c>
      <c r="P716" s="13">
        <v>0</v>
      </c>
      <c r="Q716" s="13">
        <v>3138.19</v>
      </c>
      <c r="R716" s="3">
        <f>Q716*3200</f>
        <v>10042208</v>
      </c>
      <c r="S716" s="13">
        <v>0</v>
      </c>
      <c r="T716" s="13">
        <v>0</v>
      </c>
      <c r="U716" s="13">
        <v>0</v>
      </c>
      <c r="V716" s="5" t="e">
        <f>N716/M716</f>
        <v>#DIV/0!</v>
      </c>
    </row>
    <row r="717" spans="1:22" s="5" customFormat="1" ht="25.15" customHeight="1" x14ac:dyDescent="0.25">
      <c r="A717" s="15" t="s">
        <v>1579</v>
      </c>
      <c r="B717" s="24" t="s">
        <v>71</v>
      </c>
      <c r="C717" s="2">
        <f>D717+L717+N717+P717+R717+S717+T717+U717</f>
        <v>4389990</v>
      </c>
      <c r="D717" s="3">
        <f>SUM(E717:J717)</f>
        <v>0</v>
      </c>
      <c r="E717" s="3">
        <v>0</v>
      </c>
      <c r="F717" s="3">
        <v>0</v>
      </c>
      <c r="G717" s="3">
        <v>0</v>
      </c>
      <c r="H717" s="3">
        <v>0</v>
      </c>
      <c r="I717" s="3">
        <v>0</v>
      </c>
      <c r="J717" s="3">
        <v>0</v>
      </c>
      <c r="K717" s="14">
        <v>0</v>
      </c>
      <c r="L717" s="13">
        <v>0</v>
      </c>
      <c r="M717" s="13">
        <v>665.15</v>
      </c>
      <c r="N717" s="3">
        <f>M717*6600</f>
        <v>4389990</v>
      </c>
      <c r="O717" s="13">
        <v>0</v>
      </c>
      <c r="P717" s="13">
        <v>0</v>
      </c>
      <c r="Q717" s="13">
        <v>0</v>
      </c>
      <c r="R717" s="3">
        <f>Q717*3200</f>
        <v>0</v>
      </c>
      <c r="S717" s="13">
        <v>0</v>
      </c>
      <c r="T717" s="13">
        <v>0</v>
      </c>
      <c r="U717" s="13">
        <v>0</v>
      </c>
      <c r="V717" s="5">
        <f>N717/M717</f>
        <v>6600</v>
      </c>
    </row>
    <row r="718" spans="1:22" s="5" customFormat="1" ht="25.15" customHeight="1" x14ac:dyDescent="0.25">
      <c r="A718" s="15" t="s">
        <v>1580</v>
      </c>
      <c r="B718" s="24" t="s">
        <v>828</v>
      </c>
      <c r="C718" s="2">
        <f>D718+L718+N718+P718+R718+S718+T718+U718</f>
        <v>2811600</v>
      </c>
      <c r="D718" s="3">
        <f>SUM(E718:J718)</f>
        <v>0</v>
      </c>
      <c r="E718" s="3">
        <v>0</v>
      </c>
      <c r="F718" s="3">
        <v>0</v>
      </c>
      <c r="G718" s="3">
        <v>0</v>
      </c>
      <c r="H718" s="3">
        <v>0</v>
      </c>
      <c r="I718" s="3">
        <v>0</v>
      </c>
      <c r="J718" s="3">
        <v>0</v>
      </c>
      <c r="K718" s="14">
        <v>0</v>
      </c>
      <c r="L718" s="13">
        <v>0</v>
      </c>
      <c r="M718" s="13">
        <v>426</v>
      </c>
      <c r="N718" s="3">
        <f>M718*6600</f>
        <v>2811600</v>
      </c>
      <c r="O718" s="13">
        <v>0</v>
      </c>
      <c r="P718" s="13">
        <v>0</v>
      </c>
      <c r="Q718" s="13">
        <v>0</v>
      </c>
      <c r="R718" s="3">
        <f>Q718*3200</f>
        <v>0</v>
      </c>
      <c r="S718" s="13">
        <v>0</v>
      </c>
      <c r="T718" s="13">
        <v>0</v>
      </c>
      <c r="U718" s="13">
        <v>0</v>
      </c>
      <c r="V718" s="5">
        <f>N718/M718</f>
        <v>6600</v>
      </c>
    </row>
    <row r="719" spans="1:22" ht="40.15" customHeight="1" x14ac:dyDescent="0.25">
      <c r="A719" s="51" t="s">
        <v>886</v>
      </c>
      <c r="B719" s="51"/>
      <c r="C719" s="2">
        <f t="shared" ref="C719:U719" si="178">SUM(C720)</f>
        <v>2162556</v>
      </c>
      <c r="D719" s="2">
        <f t="shared" si="178"/>
        <v>0</v>
      </c>
      <c r="E719" s="2">
        <f t="shared" si="178"/>
        <v>0</v>
      </c>
      <c r="F719" s="2">
        <f t="shared" si="178"/>
        <v>0</v>
      </c>
      <c r="G719" s="2">
        <f t="shared" si="178"/>
        <v>0</v>
      </c>
      <c r="H719" s="2">
        <f t="shared" si="178"/>
        <v>0</v>
      </c>
      <c r="I719" s="2">
        <f t="shared" si="178"/>
        <v>0</v>
      </c>
      <c r="J719" s="2">
        <f t="shared" si="178"/>
        <v>0</v>
      </c>
      <c r="K719" s="18">
        <f t="shared" si="178"/>
        <v>0</v>
      </c>
      <c r="L719" s="2">
        <f t="shared" si="178"/>
        <v>0</v>
      </c>
      <c r="M719" s="2">
        <f t="shared" si="178"/>
        <v>0</v>
      </c>
      <c r="N719" s="2">
        <f t="shared" si="178"/>
        <v>0</v>
      </c>
      <c r="O719" s="2">
        <f t="shared" si="178"/>
        <v>323.25</v>
      </c>
      <c r="P719" s="2">
        <f t="shared" si="178"/>
        <v>387900</v>
      </c>
      <c r="Q719" s="2">
        <f t="shared" si="178"/>
        <v>554.58000000000004</v>
      </c>
      <c r="R719" s="2">
        <f t="shared" si="178"/>
        <v>1774656.0000000002</v>
      </c>
      <c r="S719" s="2">
        <f t="shared" si="178"/>
        <v>0</v>
      </c>
      <c r="T719" s="2">
        <f t="shared" si="178"/>
        <v>0</v>
      </c>
      <c r="U719" s="2">
        <f t="shared" si="178"/>
        <v>0</v>
      </c>
      <c r="V719" s="20">
        <f>C719</f>
        <v>2162556</v>
      </c>
    </row>
    <row r="720" spans="1:22" ht="25.15" customHeight="1" x14ac:dyDescent="0.25">
      <c r="A720" s="21" t="s">
        <v>1581</v>
      </c>
      <c r="B720" s="24" t="s">
        <v>887</v>
      </c>
      <c r="C720" s="2">
        <f>D720+L720+N720+P720+R720+S720+T720+U720</f>
        <v>2162556</v>
      </c>
      <c r="D720" s="3">
        <f>SUM(E720:J720)</f>
        <v>0</v>
      </c>
      <c r="E720" s="3">
        <v>0</v>
      </c>
      <c r="F720" s="3">
        <v>0</v>
      </c>
      <c r="G720" s="3">
        <v>0</v>
      </c>
      <c r="H720" s="3">
        <v>0</v>
      </c>
      <c r="I720" s="3">
        <v>0</v>
      </c>
      <c r="J720" s="3">
        <v>0</v>
      </c>
      <c r="K720" s="4">
        <v>0</v>
      </c>
      <c r="L720" s="3">
        <v>0</v>
      </c>
      <c r="M720" s="3">
        <v>0</v>
      </c>
      <c r="N720" s="3">
        <v>0</v>
      </c>
      <c r="O720" s="3">
        <v>323.25</v>
      </c>
      <c r="P720" s="3">
        <f>O720*1200</f>
        <v>387900</v>
      </c>
      <c r="Q720" s="3">
        <v>554.58000000000004</v>
      </c>
      <c r="R720" s="3">
        <f>Q720*3200</f>
        <v>1774656.0000000002</v>
      </c>
      <c r="S720" s="3">
        <v>0</v>
      </c>
      <c r="T720" s="3">
        <v>0</v>
      </c>
      <c r="U720" s="3">
        <v>0</v>
      </c>
      <c r="V720" s="5" t="e">
        <f>N720/M720</f>
        <v>#DIV/0!</v>
      </c>
    </row>
    <row r="721" spans="1:258" ht="40.15" customHeight="1" x14ac:dyDescent="0.25">
      <c r="A721" s="51" t="s">
        <v>2</v>
      </c>
      <c r="B721" s="51"/>
      <c r="C721" s="2">
        <f t="shared" ref="C721:U721" si="179">SUM(C722:C724)</f>
        <v>11886820.4</v>
      </c>
      <c r="D721" s="2">
        <f t="shared" si="179"/>
        <v>1234200</v>
      </c>
      <c r="E721" s="2">
        <f t="shared" si="179"/>
        <v>707840</v>
      </c>
      <c r="F721" s="2">
        <f t="shared" si="179"/>
        <v>0</v>
      </c>
      <c r="G721" s="2">
        <f t="shared" si="179"/>
        <v>0</v>
      </c>
      <c r="H721" s="2">
        <f t="shared" si="179"/>
        <v>0</v>
      </c>
      <c r="I721" s="2">
        <f t="shared" si="179"/>
        <v>526360</v>
      </c>
      <c r="J721" s="2">
        <f t="shared" si="179"/>
        <v>0</v>
      </c>
      <c r="K721" s="18">
        <f t="shared" si="179"/>
        <v>0</v>
      </c>
      <c r="L721" s="2">
        <f t="shared" si="179"/>
        <v>0</v>
      </c>
      <c r="M721" s="2">
        <f t="shared" si="179"/>
        <v>1198</v>
      </c>
      <c r="N721" s="2">
        <f t="shared" si="179"/>
        <v>7906800</v>
      </c>
      <c r="O721" s="2">
        <f t="shared" si="179"/>
        <v>0</v>
      </c>
      <c r="P721" s="2">
        <f t="shared" si="179"/>
        <v>0</v>
      </c>
      <c r="Q721" s="2">
        <f t="shared" si="179"/>
        <v>730</v>
      </c>
      <c r="R721" s="2">
        <f t="shared" si="179"/>
        <v>2336000</v>
      </c>
      <c r="S721" s="2">
        <f t="shared" si="179"/>
        <v>0</v>
      </c>
      <c r="T721" s="2">
        <f t="shared" si="179"/>
        <v>0</v>
      </c>
      <c r="U721" s="2">
        <f t="shared" si="179"/>
        <v>409820.4</v>
      </c>
    </row>
    <row r="722" spans="1:258" s="32" customFormat="1" ht="25.15" customHeight="1" x14ac:dyDescent="0.25">
      <c r="A722" s="15" t="s">
        <v>1582</v>
      </c>
      <c r="B722" s="24" t="s">
        <v>74</v>
      </c>
      <c r="C722" s="2">
        <f>D722+L722+N722+P722+R722+S722+T722+U722</f>
        <v>4741200</v>
      </c>
      <c r="D722" s="3">
        <f>SUM(E722:J722)</f>
        <v>1011200</v>
      </c>
      <c r="E722" s="3">
        <f>700*1011.2</f>
        <v>707840</v>
      </c>
      <c r="F722" s="3">
        <v>0</v>
      </c>
      <c r="G722" s="3">
        <v>0</v>
      </c>
      <c r="H722" s="3">
        <v>0</v>
      </c>
      <c r="I722" s="3">
        <f>300*1011.2</f>
        <v>303360</v>
      </c>
      <c r="J722" s="3">
        <f>350*0</f>
        <v>0</v>
      </c>
      <c r="K722" s="4">
        <v>0</v>
      </c>
      <c r="L722" s="3">
        <v>0</v>
      </c>
      <c r="M722" s="13">
        <v>550</v>
      </c>
      <c r="N722" s="13">
        <f>M722*6600</f>
        <v>3630000</v>
      </c>
      <c r="O722" s="3">
        <v>0</v>
      </c>
      <c r="P722" s="3">
        <v>0</v>
      </c>
      <c r="Q722" s="3">
        <v>0</v>
      </c>
      <c r="R722" s="3">
        <f>Q722*3200</f>
        <v>0</v>
      </c>
      <c r="S722" s="3">
        <v>0</v>
      </c>
      <c r="T722" s="3">
        <v>0</v>
      </c>
      <c r="U722" s="3">
        <v>100000</v>
      </c>
      <c r="V722" s="5">
        <f>N722/M722</f>
        <v>6600</v>
      </c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  <c r="BO722" s="6"/>
      <c r="BP722" s="6"/>
      <c r="BQ722" s="6"/>
      <c r="BR722" s="6"/>
      <c r="BS722" s="6"/>
      <c r="BT722" s="6"/>
      <c r="BU722" s="6"/>
      <c r="BV722" s="6"/>
      <c r="BW722" s="6"/>
      <c r="BX722" s="6"/>
      <c r="BY722" s="6"/>
      <c r="BZ722" s="6"/>
      <c r="CA722" s="6"/>
      <c r="CB722" s="6"/>
      <c r="CC722" s="6"/>
      <c r="CD722" s="6"/>
      <c r="CE722" s="6"/>
      <c r="CF722" s="6"/>
      <c r="CG722" s="6"/>
      <c r="CH722" s="6"/>
      <c r="CI722" s="6"/>
      <c r="CJ722" s="6"/>
      <c r="CK722" s="6"/>
      <c r="CL722" s="6"/>
      <c r="CM722" s="6"/>
      <c r="CN722" s="6"/>
      <c r="CO722" s="6"/>
      <c r="CP722" s="6"/>
      <c r="CQ722" s="6"/>
      <c r="CR722" s="6"/>
      <c r="CS722" s="6"/>
      <c r="CT722" s="6"/>
      <c r="CU722" s="6"/>
      <c r="CV722" s="6"/>
      <c r="CW722" s="6"/>
      <c r="CX722" s="6"/>
      <c r="CY722" s="6"/>
      <c r="CZ722" s="6"/>
      <c r="DA722" s="6"/>
      <c r="DB722" s="6"/>
      <c r="DC722" s="6"/>
      <c r="DD722" s="6"/>
      <c r="DE722" s="6"/>
      <c r="DF722" s="6"/>
      <c r="DG722" s="6"/>
      <c r="DH722" s="6"/>
      <c r="DI722" s="6"/>
      <c r="DJ722" s="6"/>
      <c r="DK722" s="6"/>
      <c r="DL722" s="6"/>
      <c r="DM722" s="6"/>
      <c r="DN722" s="6"/>
      <c r="DO722" s="6"/>
      <c r="DP722" s="6"/>
      <c r="DQ722" s="6"/>
      <c r="DR722" s="6"/>
      <c r="DS722" s="6"/>
      <c r="DT722" s="6"/>
      <c r="DU722" s="6"/>
      <c r="DV722" s="6"/>
      <c r="DW722" s="6"/>
      <c r="DX722" s="6"/>
      <c r="DY722" s="6"/>
      <c r="DZ722" s="6"/>
      <c r="EA722" s="6"/>
      <c r="EB722" s="6"/>
      <c r="EC722" s="6"/>
      <c r="ED722" s="6"/>
      <c r="EE722" s="6"/>
      <c r="EF722" s="6"/>
      <c r="EG722" s="6"/>
      <c r="EH722" s="6"/>
      <c r="EI722" s="6"/>
      <c r="EJ722" s="6"/>
      <c r="EK722" s="6"/>
      <c r="EL722" s="6"/>
      <c r="EM722" s="6"/>
      <c r="EN722" s="6"/>
      <c r="EO722" s="6"/>
      <c r="EP722" s="6"/>
      <c r="EQ722" s="6"/>
      <c r="ER722" s="6"/>
      <c r="ES722" s="6"/>
      <c r="ET722" s="6"/>
      <c r="EU722" s="6"/>
      <c r="EV722" s="6"/>
      <c r="EW722" s="6"/>
      <c r="EX722" s="6"/>
      <c r="EY722" s="6"/>
      <c r="EZ722" s="6"/>
      <c r="FA722" s="6"/>
      <c r="FB722" s="6"/>
      <c r="FC722" s="6"/>
      <c r="FD722" s="6"/>
      <c r="FE722" s="6"/>
      <c r="FF722" s="6"/>
      <c r="FG722" s="6"/>
      <c r="FH722" s="6"/>
      <c r="FI722" s="6"/>
      <c r="FJ722" s="6"/>
      <c r="FK722" s="6"/>
      <c r="FL722" s="6"/>
      <c r="FM722" s="6"/>
      <c r="FN722" s="6"/>
      <c r="FO722" s="6"/>
      <c r="FP722" s="6"/>
      <c r="FQ722" s="6"/>
      <c r="FR722" s="6"/>
      <c r="FS722" s="6"/>
      <c r="FT722" s="6"/>
      <c r="FU722" s="6"/>
      <c r="FV722" s="6"/>
      <c r="FW722" s="6"/>
      <c r="FX722" s="6"/>
      <c r="FY722" s="6"/>
      <c r="FZ722" s="6"/>
      <c r="GA722" s="6"/>
      <c r="GB722" s="6"/>
      <c r="GC722" s="6"/>
      <c r="GD722" s="6"/>
      <c r="GE722" s="6"/>
      <c r="GF722" s="6"/>
      <c r="GG722" s="6"/>
      <c r="GH722" s="6"/>
      <c r="GI722" s="6"/>
      <c r="GJ722" s="6"/>
      <c r="GK722" s="6"/>
      <c r="GL722" s="6"/>
      <c r="GM722" s="6"/>
      <c r="GN722" s="6"/>
      <c r="GO722" s="6"/>
      <c r="GP722" s="6"/>
      <c r="GQ722" s="6"/>
      <c r="GR722" s="6"/>
      <c r="GS722" s="6"/>
      <c r="GT722" s="6"/>
      <c r="GU722" s="6"/>
      <c r="GV722" s="6"/>
      <c r="GW722" s="6"/>
      <c r="GX722" s="6"/>
      <c r="GY722" s="6"/>
      <c r="GZ722" s="6"/>
      <c r="HA722" s="6"/>
      <c r="HB722" s="6"/>
      <c r="HC722" s="6"/>
      <c r="HD722" s="6"/>
      <c r="HE722" s="6"/>
      <c r="HF722" s="6"/>
      <c r="HG722" s="6"/>
      <c r="HH722" s="6"/>
      <c r="HI722" s="6"/>
      <c r="HJ722" s="6"/>
      <c r="HK722" s="6"/>
      <c r="HL722" s="6"/>
      <c r="HM722" s="6"/>
      <c r="HN722" s="6"/>
      <c r="HO722" s="6"/>
      <c r="HP722" s="6"/>
      <c r="HQ722" s="6"/>
      <c r="HR722" s="6"/>
      <c r="HS722" s="6"/>
      <c r="HT722" s="6"/>
      <c r="HU722" s="6"/>
      <c r="HV722" s="6"/>
      <c r="HW722" s="6"/>
      <c r="HX722" s="6"/>
      <c r="HY722" s="6"/>
      <c r="HZ722" s="6"/>
      <c r="IA722" s="6"/>
      <c r="IB722" s="6"/>
      <c r="IC722" s="6"/>
      <c r="ID722" s="6"/>
      <c r="IE722" s="6"/>
      <c r="IF722" s="6"/>
      <c r="IG722" s="6"/>
      <c r="IH722" s="6"/>
      <c r="II722" s="6"/>
      <c r="IJ722" s="6"/>
      <c r="IK722" s="6"/>
      <c r="IL722" s="6"/>
      <c r="IM722" s="6"/>
      <c r="IN722" s="6"/>
      <c r="IO722" s="6"/>
      <c r="IP722" s="6"/>
      <c r="IQ722" s="6"/>
      <c r="IR722" s="6"/>
      <c r="IS722" s="6"/>
      <c r="IT722" s="6"/>
      <c r="IU722" s="6"/>
      <c r="IV722" s="6"/>
      <c r="IW722" s="6"/>
      <c r="IX722" s="6"/>
    </row>
    <row r="723" spans="1:258" ht="25.15" customHeight="1" x14ac:dyDescent="0.25">
      <c r="A723" s="15" t="s">
        <v>1583</v>
      </c>
      <c r="B723" s="24" t="s">
        <v>76</v>
      </c>
      <c r="C723" s="2">
        <f>D723+L723+N723+P723+R723+S723+T723+U723</f>
        <v>7035800</v>
      </c>
      <c r="D723" s="3">
        <f>SUM(E723:J723)</f>
        <v>223000</v>
      </c>
      <c r="E723" s="3">
        <v>0</v>
      </c>
      <c r="F723" s="3">
        <f>800*0</f>
        <v>0</v>
      </c>
      <c r="G723" s="3">
        <v>0</v>
      </c>
      <c r="H723" s="3">
        <f>400*0</f>
        <v>0</v>
      </c>
      <c r="I723" s="3">
        <f>250*892</f>
        <v>223000</v>
      </c>
      <c r="J723" s="3">
        <f>350*0</f>
        <v>0</v>
      </c>
      <c r="K723" s="4">
        <v>0</v>
      </c>
      <c r="L723" s="3">
        <v>0</v>
      </c>
      <c r="M723" s="13">
        <v>648</v>
      </c>
      <c r="N723" s="3">
        <f>M723*6600</f>
        <v>4276800</v>
      </c>
      <c r="O723" s="3">
        <v>0</v>
      </c>
      <c r="P723" s="3">
        <v>0</v>
      </c>
      <c r="Q723" s="3">
        <v>730</v>
      </c>
      <c r="R723" s="3">
        <f>Q723*3200</f>
        <v>2336000</v>
      </c>
      <c r="S723" s="13">
        <v>0</v>
      </c>
      <c r="T723" s="3">
        <v>0</v>
      </c>
      <c r="U723" s="3">
        <v>200000</v>
      </c>
      <c r="V723" s="5">
        <f>N723/M723</f>
        <v>6600</v>
      </c>
    </row>
    <row r="724" spans="1:258" ht="25.15" customHeight="1" x14ac:dyDescent="0.25">
      <c r="A724" s="15" t="s">
        <v>1584</v>
      </c>
      <c r="B724" s="24" t="s">
        <v>75</v>
      </c>
      <c r="C724" s="2">
        <f>D724+L724+N724+P724+R724+S724+T724+U724</f>
        <v>109820.4</v>
      </c>
      <c r="D724" s="3">
        <f>SUM(E724:J724)</f>
        <v>0</v>
      </c>
      <c r="E724" s="3">
        <v>0</v>
      </c>
      <c r="F724" s="3">
        <v>0</v>
      </c>
      <c r="G724" s="3">
        <v>0</v>
      </c>
      <c r="H724" s="3">
        <v>0</v>
      </c>
      <c r="I724" s="3">
        <v>0</v>
      </c>
      <c r="J724" s="3">
        <f>350*0</f>
        <v>0</v>
      </c>
      <c r="K724" s="14">
        <v>0</v>
      </c>
      <c r="L724" s="13">
        <v>0</v>
      </c>
      <c r="M724" s="13">
        <v>0</v>
      </c>
      <c r="N724" s="13">
        <v>0</v>
      </c>
      <c r="O724" s="13">
        <v>0</v>
      </c>
      <c r="P724" s="13">
        <v>0</v>
      </c>
      <c r="Q724" s="13">
        <v>0</v>
      </c>
      <c r="R724" s="3">
        <f>Q724*3200</f>
        <v>0</v>
      </c>
      <c r="S724" s="13">
        <v>0</v>
      </c>
      <c r="T724" s="3">
        <v>0</v>
      </c>
      <c r="U724" s="13">
        <v>109820.4</v>
      </c>
      <c r="V724" s="5" t="e">
        <f>N724/M724</f>
        <v>#DIV/0!</v>
      </c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  <c r="BO724" s="5"/>
      <c r="BP724" s="5"/>
      <c r="BQ724" s="5"/>
      <c r="BR724" s="5"/>
      <c r="BS724" s="5"/>
      <c r="BT724" s="5"/>
      <c r="BU724" s="5"/>
      <c r="BV724" s="5"/>
      <c r="BW724" s="5"/>
      <c r="BX724" s="5"/>
      <c r="BY724" s="5"/>
      <c r="BZ724" s="5"/>
      <c r="CA724" s="5"/>
      <c r="CB724" s="5"/>
      <c r="CC724" s="5"/>
      <c r="CD724" s="5"/>
      <c r="CE724" s="5"/>
      <c r="CF724" s="5"/>
      <c r="CG724" s="5"/>
      <c r="CH724" s="5"/>
      <c r="CI724" s="5"/>
      <c r="CJ724" s="5"/>
      <c r="CK724" s="5"/>
      <c r="CL724" s="5"/>
      <c r="CM724" s="5"/>
      <c r="CN724" s="5"/>
      <c r="CO724" s="5"/>
      <c r="CP724" s="5"/>
      <c r="CQ724" s="5"/>
      <c r="CR724" s="5"/>
      <c r="CS724" s="5"/>
      <c r="CT724" s="5"/>
      <c r="CU724" s="5"/>
      <c r="CV724" s="5"/>
      <c r="CW724" s="5"/>
      <c r="CX724" s="5"/>
      <c r="CY724" s="5"/>
      <c r="CZ724" s="5"/>
      <c r="DA724" s="5"/>
      <c r="DB724" s="5"/>
      <c r="DC724" s="5"/>
      <c r="DD724" s="5"/>
      <c r="DE724" s="5"/>
      <c r="DF724" s="5"/>
      <c r="DG724" s="5"/>
      <c r="DH724" s="5"/>
      <c r="DI724" s="5"/>
      <c r="DJ724" s="5"/>
      <c r="DK724" s="5"/>
      <c r="DL724" s="5"/>
      <c r="DM724" s="5"/>
      <c r="DN724" s="5"/>
      <c r="DO724" s="5"/>
      <c r="DP724" s="5"/>
      <c r="DQ724" s="5"/>
      <c r="DR724" s="5"/>
      <c r="DS724" s="5"/>
      <c r="DT724" s="5"/>
      <c r="DU724" s="5"/>
      <c r="DV724" s="5"/>
      <c r="DW724" s="5"/>
      <c r="DX724" s="5"/>
      <c r="DY724" s="5"/>
      <c r="DZ724" s="5"/>
      <c r="EA724" s="5"/>
      <c r="EB724" s="5"/>
      <c r="EC724" s="5"/>
      <c r="ED724" s="5"/>
      <c r="EE724" s="5"/>
      <c r="EF724" s="5"/>
      <c r="EG724" s="5"/>
      <c r="EH724" s="5"/>
      <c r="EI724" s="5"/>
      <c r="EJ724" s="5"/>
      <c r="EK724" s="5"/>
      <c r="EL724" s="5"/>
      <c r="EM724" s="5"/>
      <c r="EN724" s="5"/>
      <c r="EO724" s="5"/>
      <c r="EP724" s="5"/>
      <c r="EQ724" s="5"/>
      <c r="ER724" s="5"/>
      <c r="ES724" s="5"/>
      <c r="ET724" s="5"/>
      <c r="EU724" s="5"/>
      <c r="EV724" s="5"/>
      <c r="EW724" s="5"/>
      <c r="EX724" s="5"/>
      <c r="EY724" s="5"/>
      <c r="EZ724" s="5"/>
      <c r="FA724" s="5"/>
      <c r="FB724" s="5"/>
      <c r="FC724" s="5"/>
      <c r="FD724" s="5"/>
      <c r="FE724" s="5"/>
      <c r="FF724" s="5"/>
      <c r="FG724" s="5"/>
      <c r="FH724" s="5"/>
      <c r="FI724" s="5"/>
      <c r="FJ724" s="5"/>
      <c r="FK724" s="5"/>
      <c r="FL724" s="5"/>
      <c r="FM724" s="5"/>
      <c r="FN724" s="5"/>
      <c r="FO724" s="5"/>
      <c r="FP724" s="5"/>
      <c r="FQ724" s="5"/>
      <c r="FR724" s="5"/>
      <c r="FS724" s="5"/>
      <c r="FT724" s="5"/>
      <c r="FU724" s="5"/>
      <c r="FV724" s="5"/>
      <c r="FW724" s="5"/>
      <c r="FX724" s="5"/>
      <c r="FY724" s="5"/>
      <c r="FZ724" s="5"/>
      <c r="GA724" s="5"/>
      <c r="GB724" s="5"/>
      <c r="GC724" s="5"/>
      <c r="GD724" s="5"/>
      <c r="GE724" s="5"/>
      <c r="GF724" s="5"/>
      <c r="GG724" s="5"/>
      <c r="GH724" s="5"/>
      <c r="GI724" s="5"/>
      <c r="GJ724" s="5"/>
      <c r="GK724" s="5"/>
      <c r="GL724" s="5"/>
      <c r="GM724" s="5"/>
      <c r="GN724" s="5"/>
      <c r="GO724" s="5"/>
      <c r="GP724" s="5"/>
      <c r="GQ724" s="5"/>
      <c r="GR724" s="5"/>
      <c r="GS724" s="5"/>
      <c r="GT724" s="5"/>
      <c r="GU724" s="5"/>
      <c r="GV724" s="5"/>
      <c r="GW724" s="5"/>
      <c r="GX724" s="5"/>
      <c r="GY724" s="5"/>
      <c r="GZ724" s="5"/>
      <c r="HA724" s="5"/>
      <c r="HB724" s="5"/>
      <c r="HC724" s="5"/>
      <c r="HD724" s="5"/>
      <c r="HE724" s="5"/>
      <c r="HF724" s="5"/>
      <c r="HG724" s="5"/>
      <c r="HH724" s="5"/>
      <c r="HI724" s="5"/>
      <c r="HJ724" s="5"/>
      <c r="HK724" s="5"/>
      <c r="HL724" s="5"/>
      <c r="HM724" s="5"/>
      <c r="HN724" s="5"/>
      <c r="HO724" s="5"/>
      <c r="HP724" s="5"/>
      <c r="HQ724" s="5"/>
      <c r="HR724" s="5"/>
      <c r="HS724" s="5"/>
      <c r="HT724" s="5"/>
      <c r="HU724" s="5"/>
      <c r="HV724" s="5"/>
      <c r="HW724" s="5"/>
      <c r="HX724" s="5"/>
      <c r="HY724" s="5"/>
      <c r="HZ724" s="5"/>
      <c r="IA724" s="5"/>
      <c r="IB724" s="5"/>
      <c r="IC724" s="5"/>
      <c r="ID724" s="5"/>
      <c r="IE724" s="5"/>
      <c r="IF724" s="5"/>
      <c r="IG724" s="5"/>
      <c r="IH724" s="5"/>
      <c r="II724" s="5"/>
      <c r="IJ724" s="5"/>
      <c r="IK724" s="5"/>
      <c r="IL724" s="5"/>
      <c r="IM724" s="5"/>
      <c r="IN724" s="5"/>
      <c r="IO724" s="5"/>
      <c r="IP724" s="5"/>
      <c r="IQ724" s="5"/>
      <c r="IR724" s="5"/>
      <c r="IS724" s="5"/>
      <c r="IT724" s="5"/>
      <c r="IU724" s="5"/>
      <c r="IV724" s="5"/>
      <c r="IW724" s="5"/>
      <c r="IX724" s="5"/>
    </row>
    <row r="725" spans="1:258" ht="45" customHeight="1" x14ac:dyDescent="0.25">
      <c r="A725" s="51" t="s">
        <v>80</v>
      </c>
      <c r="B725" s="51"/>
      <c r="C725" s="2">
        <f t="shared" ref="C725:U725" si="180">SUM(C726:C726)</f>
        <v>1363200</v>
      </c>
      <c r="D725" s="2">
        <f t="shared" si="180"/>
        <v>0</v>
      </c>
      <c r="E725" s="2">
        <f t="shared" si="180"/>
        <v>0</v>
      </c>
      <c r="F725" s="2">
        <f t="shared" si="180"/>
        <v>0</v>
      </c>
      <c r="G725" s="2">
        <f t="shared" si="180"/>
        <v>0</v>
      </c>
      <c r="H725" s="2">
        <f t="shared" si="180"/>
        <v>0</v>
      </c>
      <c r="I725" s="2">
        <f t="shared" si="180"/>
        <v>0</v>
      </c>
      <c r="J725" s="2">
        <f t="shared" si="180"/>
        <v>0</v>
      </c>
      <c r="K725" s="18">
        <f t="shared" si="180"/>
        <v>0</v>
      </c>
      <c r="L725" s="2">
        <f t="shared" si="180"/>
        <v>0</v>
      </c>
      <c r="M725" s="2">
        <f t="shared" si="180"/>
        <v>0</v>
      </c>
      <c r="N725" s="2">
        <f t="shared" si="180"/>
        <v>0</v>
      </c>
      <c r="O725" s="2">
        <f t="shared" si="180"/>
        <v>0</v>
      </c>
      <c r="P725" s="2">
        <f t="shared" si="180"/>
        <v>0</v>
      </c>
      <c r="Q725" s="2">
        <f t="shared" si="180"/>
        <v>426</v>
      </c>
      <c r="R725" s="2">
        <f t="shared" si="180"/>
        <v>1363200</v>
      </c>
      <c r="S725" s="2">
        <f t="shared" si="180"/>
        <v>0</v>
      </c>
      <c r="T725" s="2">
        <f t="shared" si="180"/>
        <v>0</v>
      </c>
      <c r="U725" s="2">
        <f t="shared" si="180"/>
        <v>0</v>
      </c>
    </row>
    <row r="726" spans="1:258" ht="25.15" customHeight="1" x14ac:dyDescent="0.25">
      <c r="A726" s="21" t="s">
        <v>1585</v>
      </c>
      <c r="B726" s="1" t="s">
        <v>81</v>
      </c>
      <c r="C726" s="2">
        <f>D726+L726+N726+P726+R726+S726+T726+U726</f>
        <v>1363200</v>
      </c>
      <c r="D726" s="3">
        <f>SUM(E726:J726)</f>
        <v>0</v>
      </c>
      <c r="E726" s="3">
        <v>0</v>
      </c>
      <c r="F726" s="3">
        <v>0</v>
      </c>
      <c r="G726" s="3">
        <v>0</v>
      </c>
      <c r="H726" s="3">
        <v>0</v>
      </c>
      <c r="I726" s="3">
        <v>0</v>
      </c>
      <c r="J726" s="3">
        <f>350*0</f>
        <v>0</v>
      </c>
      <c r="K726" s="14">
        <v>0</v>
      </c>
      <c r="L726" s="13">
        <v>0</v>
      </c>
      <c r="M726" s="13">
        <v>0</v>
      </c>
      <c r="N726" s="13">
        <v>0</v>
      </c>
      <c r="O726" s="13">
        <v>0</v>
      </c>
      <c r="P726" s="13">
        <v>0</v>
      </c>
      <c r="Q726" s="13">
        <v>426</v>
      </c>
      <c r="R726" s="3">
        <f>Q726*3200</f>
        <v>1363200</v>
      </c>
      <c r="S726" s="13">
        <v>0</v>
      </c>
      <c r="T726" s="13">
        <v>0</v>
      </c>
      <c r="U726" s="13">
        <v>0</v>
      </c>
      <c r="V726" s="5" t="e">
        <f>N726/M726</f>
        <v>#DIV/0!</v>
      </c>
    </row>
    <row r="727" spans="1:258" ht="45" customHeight="1" x14ac:dyDescent="0.25">
      <c r="A727" s="51" t="s">
        <v>792</v>
      </c>
      <c r="B727" s="51"/>
      <c r="C727" s="2">
        <f t="shared" ref="C727:U727" si="181">SUM(C728:C732)</f>
        <v>19377024</v>
      </c>
      <c r="D727" s="2">
        <f t="shared" si="181"/>
        <v>1897534</v>
      </c>
      <c r="E727" s="2">
        <f t="shared" si="181"/>
        <v>1142386</v>
      </c>
      <c r="F727" s="2">
        <f t="shared" si="181"/>
        <v>0</v>
      </c>
      <c r="G727" s="2">
        <f t="shared" si="181"/>
        <v>265554</v>
      </c>
      <c r="H727" s="2">
        <f t="shared" si="181"/>
        <v>0</v>
      </c>
      <c r="I727" s="2">
        <f t="shared" si="181"/>
        <v>489594</v>
      </c>
      <c r="J727" s="2">
        <f t="shared" si="181"/>
        <v>0</v>
      </c>
      <c r="K727" s="18">
        <f t="shared" si="181"/>
        <v>0</v>
      </c>
      <c r="L727" s="2">
        <f t="shared" si="181"/>
        <v>0</v>
      </c>
      <c r="M727" s="2">
        <f t="shared" si="181"/>
        <v>2552.5</v>
      </c>
      <c r="N727" s="2">
        <f t="shared" si="181"/>
        <v>15137250</v>
      </c>
      <c r="O727" s="2">
        <f t="shared" si="181"/>
        <v>0</v>
      </c>
      <c r="P727" s="2">
        <f t="shared" si="181"/>
        <v>0</v>
      </c>
      <c r="Q727" s="2">
        <f t="shared" si="181"/>
        <v>638.20000000000005</v>
      </c>
      <c r="R727" s="2">
        <f t="shared" si="181"/>
        <v>2042240.0000000002</v>
      </c>
      <c r="S727" s="2">
        <f t="shared" si="181"/>
        <v>0</v>
      </c>
      <c r="T727" s="2">
        <f t="shared" si="181"/>
        <v>0</v>
      </c>
      <c r="U727" s="2">
        <f t="shared" si="181"/>
        <v>300000</v>
      </c>
    </row>
    <row r="728" spans="1:258" ht="25.15" customHeight="1" x14ac:dyDescent="0.25">
      <c r="A728" s="21" t="s">
        <v>1586</v>
      </c>
      <c r="B728" s="24" t="s">
        <v>82</v>
      </c>
      <c r="C728" s="2">
        <f>D728+L728+N728+P728+R728+S728+T728+U728</f>
        <v>2532320</v>
      </c>
      <c r="D728" s="3">
        <f>SUM(E728:J728)</f>
        <v>509080</v>
      </c>
      <c r="E728" s="3">
        <f>700*391.6</f>
        <v>274120</v>
      </c>
      <c r="F728" s="3">
        <v>0</v>
      </c>
      <c r="G728" s="3">
        <f>300*391.6</f>
        <v>117480</v>
      </c>
      <c r="H728" s="3">
        <v>0</v>
      </c>
      <c r="I728" s="3">
        <f>300*391.6</f>
        <v>117480</v>
      </c>
      <c r="J728" s="3">
        <f>350*0</f>
        <v>0</v>
      </c>
      <c r="K728" s="4">
        <v>0</v>
      </c>
      <c r="L728" s="3">
        <v>0</v>
      </c>
      <c r="M728" s="13">
        <v>291.39999999999998</v>
      </c>
      <c r="N728" s="3">
        <f>M728*6600</f>
        <v>1923239.9999999998</v>
      </c>
      <c r="O728" s="3">
        <v>0</v>
      </c>
      <c r="P728" s="3">
        <v>0</v>
      </c>
      <c r="Q728" s="3">
        <v>0</v>
      </c>
      <c r="R728" s="3">
        <f>Q728*3200</f>
        <v>0</v>
      </c>
      <c r="S728" s="3">
        <v>0</v>
      </c>
      <c r="T728" s="3">
        <v>0</v>
      </c>
      <c r="U728" s="3">
        <v>100000</v>
      </c>
      <c r="V728" s="5">
        <f>N728/M728</f>
        <v>6600</v>
      </c>
    </row>
    <row r="729" spans="1:258" ht="25.15" customHeight="1" x14ac:dyDescent="0.25">
      <c r="A729" s="21" t="s">
        <v>1969</v>
      </c>
      <c r="B729" s="24" t="s">
        <v>827</v>
      </c>
      <c r="C729" s="2">
        <f>D729+L729+N729+P729+R729+S729+T729+U729</f>
        <v>6215440</v>
      </c>
      <c r="D729" s="3">
        <f>SUM(E729:J729)</f>
        <v>746800</v>
      </c>
      <c r="E729" s="3">
        <f>700*746.8</f>
        <v>522759.99999999994</v>
      </c>
      <c r="F729" s="3">
        <v>0</v>
      </c>
      <c r="G729" s="3">
        <v>0</v>
      </c>
      <c r="H729" s="3">
        <v>0</v>
      </c>
      <c r="I729" s="3">
        <f>300*746.8</f>
        <v>224040</v>
      </c>
      <c r="J729" s="3">
        <v>0</v>
      </c>
      <c r="K729" s="4">
        <v>0</v>
      </c>
      <c r="L729" s="3">
        <v>0</v>
      </c>
      <c r="M729" s="13">
        <v>504</v>
      </c>
      <c r="N729" s="3">
        <f>M729*6600</f>
        <v>3326400</v>
      </c>
      <c r="O729" s="3">
        <v>0</v>
      </c>
      <c r="P729" s="3">
        <v>0</v>
      </c>
      <c r="Q729" s="3">
        <v>638.20000000000005</v>
      </c>
      <c r="R729" s="3">
        <f>Q729*3200</f>
        <v>2042240.0000000002</v>
      </c>
      <c r="S729" s="3">
        <v>0</v>
      </c>
      <c r="T729" s="3">
        <v>0</v>
      </c>
      <c r="U729" s="3">
        <v>100000</v>
      </c>
      <c r="V729" s="5">
        <f>N729/M729</f>
        <v>6600</v>
      </c>
    </row>
    <row r="730" spans="1:258" ht="25.15" customHeight="1" x14ac:dyDescent="0.25">
      <c r="A730" s="21" t="s">
        <v>1970</v>
      </c>
      <c r="B730" s="24" t="s">
        <v>83</v>
      </c>
      <c r="C730" s="2">
        <f>D730+L730+N730+P730+R730+S730+T730+U730</f>
        <v>2940774</v>
      </c>
      <c r="D730" s="3">
        <f>SUM(E730:J730)</f>
        <v>641654</v>
      </c>
      <c r="E730" s="3">
        <f>700*493.58</f>
        <v>345506</v>
      </c>
      <c r="F730" s="3">
        <v>0</v>
      </c>
      <c r="G730" s="3">
        <f>300*493.58</f>
        <v>148074</v>
      </c>
      <c r="H730" s="3">
        <v>0</v>
      </c>
      <c r="I730" s="3">
        <f>300*493.58</f>
        <v>148074</v>
      </c>
      <c r="J730" s="3">
        <v>0</v>
      </c>
      <c r="K730" s="4">
        <v>0</v>
      </c>
      <c r="L730" s="3">
        <v>0</v>
      </c>
      <c r="M730" s="13">
        <v>333.2</v>
      </c>
      <c r="N730" s="3">
        <f>M730*6600</f>
        <v>2199120</v>
      </c>
      <c r="O730" s="3">
        <v>0</v>
      </c>
      <c r="P730" s="3">
        <v>0</v>
      </c>
      <c r="Q730" s="3">
        <v>0</v>
      </c>
      <c r="R730" s="3">
        <f>Q730*3200</f>
        <v>0</v>
      </c>
      <c r="S730" s="3">
        <v>0</v>
      </c>
      <c r="T730" s="3">
        <v>0</v>
      </c>
      <c r="U730" s="3">
        <v>100000</v>
      </c>
      <c r="V730" s="5">
        <f>N730/M730</f>
        <v>6600</v>
      </c>
    </row>
    <row r="731" spans="1:258" ht="25.15" customHeight="1" x14ac:dyDescent="0.25">
      <c r="A731" s="21" t="s">
        <v>1587</v>
      </c>
      <c r="B731" s="24" t="s">
        <v>85</v>
      </c>
      <c r="C731" s="2">
        <f>D731+L731+N731+P731+R731+S731+T731+U731</f>
        <v>3537750</v>
      </c>
      <c r="D731" s="3">
        <f>SUM(E731:J731)</f>
        <v>0</v>
      </c>
      <c r="E731" s="3">
        <v>0</v>
      </c>
      <c r="F731" s="3">
        <v>0</v>
      </c>
      <c r="G731" s="3">
        <v>0</v>
      </c>
      <c r="H731" s="3">
        <v>0</v>
      </c>
      <c r="I731" s="3">
        <v>0</v>
      </c>
      <c r="J731" s="3">
        <v>0</v>
      </c>
      <c r="K731" s="4">
        <v>0</v>
      </c>
      <c r="L731" s="3">
        <v>0</v>
      </c>
      <c r="M731" s="3">
        <v>795</v>
      </c>
      <c r="N731" s="23">
        <f>M731*4450</f>
        <v>3537750</v>
      </c>
      <c r="O731" s="3">
        <v>0</v>
      </c>
      <c r="P731" s="3">
        <v>0</v>
      </c>
      <c r="Q731" s="3">
        <v>0</v>
      </c>
      <c r="R731" s="3">
        <v>0</v>
      </c>
      <c r="S731" s="3">
        <v>0</v>
      </c>
      <c r="T731" s="3">
        <v>0</v>
      </c>
      <c r="U731" s="3">
        <v>0</v>
      </c>
      <c r="V731" s="5">
        <f>N731/M731</f>
        <v>4450</v>
      </c>
    </row>
    <row r="732" spans="1:258" ht="25.15" customHeight="1" x14ac:dyDescent="0.25">
      <c r="A732" s="21" t="s">
        <v>1588</v>
      </c>
      <c r="B732" s="24" t="s">
        <v>86</v>
      </c>
      <c r="C732" s="2">
        <f>D732+L732+N732+P732+R732+S732+T732+U732</f>
        <v>4150740</v>
      </c>
      <c r="D732" s="3">
        <f>SUM(E732:J732)</f>
        <v>0</v>
      </c>
      <c r="E732" s="3">
        <v>0</v>
      </c>
      <c r="F732" s="3">
        <v>0</v>
      </c>
      <c r="G732" s="3">
        <v>0</v>
      </c>
      <c r="H732" s="3">
        <v>0</v>
      </c>
      <c r="I732" s="3">
        <v>0</v>
      </c>
      <c r="J732" s="3">
        <v>0</v>
      </c>
      <c r="K732" s="4">
        <v>0</v>
      </c>
      <c r="L732" s="3">
        <v>0</v>
      </c>
      <c r="M732" s="3">
        <v>628.9</v>
      </c>
      <c r="N732" s="3">
        <f>M732*6600</f>
        <v>4150740</v>
      </c>
      <c r="O732" s="3">
        <v>0</v>
      </c>
      <c r="P732" s="3">
        <v>0</v>
      </c>
      <c r="Q732" s="3">
        <v>0</v>
      </c>
      <c r="R732" s="3">
        <f>Q732*3200</f>
        <v>0</v>
      </c>
      <c r="S732" s="3">
        <v>0</v>
      </c>
      <c r="T732" s="3">
        <v>0</v>
      </c>
      <c r="U732" s="3">
        <v>0</v>
      </c>
      <c r="V732" s="5">
        <f>N732/M732</f>
        <v>6600</v>
      </c>
    </row>
    <row r="733" spans="1:258" ht="45" customHeight="1" x14ac:dyDescent="0.25">
      <c r="A733" s="51" t="s">
        <v>89</v>
      </c>
      <c r="B733" s="51"/>
      <c r="C733" s="2">
        <f t="shared" ref="C733:U733" si="182">SUM(C734)</f>
        <v>2958786</v>
      </c>
      <c r="D733" s="2">
        <f t="shared" si="182"/>
        <v>345506</v>
      </c>
      <c r="E733" s="2">
        <f t="shared" si="182"/>
        <v>345506</v>
      </c>
      <c r="F733" s="2">
        <f t="shared" si="182"/>
        <v>0</v>
      </c>
      <c r="G733" s="2">
        <f t="shared" si="182"/>
        <v>0</v>
      </c>
      <c r="H733" s="2">
        <f t="shared" si="182"/>
        <v>0</v>
      </c>
      <c r="I733" s="2">
        <f t="shared" si="182"/>
        <v>0</v>
      </c>
      <c r="J733" s="2">
        <f t="shared" si="182"/>
        <v>0</v>
      </c>
      <c r="K733" s="18">
        <f t="shared" si="182"/>
        <v>0</v>
      </c>
      <c r="L733" s="2">
        <f t="shared" si="182"/>
        <v>0</v>
      </c>
      <c r="M733" s="2">
        <f t="shared" si="182"/>
        <v>380.8</v>
      </c>
      <c r="N733" s="2">
        <f t="shared" si="182"/>
        <v>2513280</v>
      </c>
      <c r="O733" s="2">
        <f t="shared" si="182"/>
        <v>0</v>
      </c>
      <c r="P733" s="2">
        <f t="shared" si="182"/>
        <v>0</v>
      </c>
      <c r="Q733" s="2">
        <f t="shared" si="182"/>
        <v>0</v>
      </c>
      <c r="R733" s="2">
        <f t="shared" si="182"/>
        <v>0</v>
      </c>
      <c r="S733" s="2">
        <f t="shared" si="182"/>
        <v>0</v>
      </c>
      <c r="T733" s="2">
        <f t="shared" si="182"/>
        <v>0</v>
      </c>
      <c r="U733" s="2">
        <f t="shared" si="182"/>
        <v>100000</v>
      </c>
      <c r="V733" s="20">
        <f>C733</f>
        <v>2958786</v>
      </c>
    </row>
    <row r="734" spans="1:258" ht="25.15" customHeight="1" x14ac:dyDescent="0.25">
      <c r="A734" s="21" t="s">
        <v>1589</v>
      </c>
      <c r="B734" s="1" t="s">
        <v>88</v>
      </c>
      <c r="C734" s="2">
        <f>D734+L734+N734+P734+R734+S734+T734+U734</f>
        <v>2958786</v>
      </c>
      <c r="D734" s="3">
        <f>SUM(E734:J734)</f>
        <v>345506</v>
      </c>
      <c r="E734" s="3">
        <f>700*493.58</f>
        <v>345506</v>
      </c>
      <c r="F734" s="3">
        <v>0</v>
      </c>
      <c r="G734" s="3">
        <v>0</v>
      </c>
      <c r="H734" s="3">
        <f>400*0</f>
        <v>0</v>
      </c>
      <c r="I734" s="3">
        <v>0</v>
      </c>
      <c r="J734" s="3">
        <f>350*0</f>
        <v>0</v>
      </c>
      <c r="K734" s="4">
        <v>0</v>
      </c>
      <c r="L734" s="3">
        <v>0</v>
      </c>
      <c r="M734" s="13">
        <v>380.8</v>
      </c>
      <c r="N734" s="3">
        <f>M734*6600</f>
        <v>2513280</v>
      </c>
      <c r="O734" s="3">
        <v>0</v>
      </c>
      <c r="P734" s="3">
        <v>0</v>
      </c>
      <c r="Q734" s="3">
        <v>0</v>
      </c>
      <c r="R734" s="3">
        <v>0</v>
      </c>
      <c r="S734" s="3">
        <v>0</v>
      </c>
      <c r="T734" s="3">
        <v>0</v>
      </c>
      <c r="U734" s="3">
        <v>100000</v>
      </c>
      <c r="V734" s="5">
        <f>N734/M734</f>
        <v>6600</v>
      </c>
    </row>
    <row r="735" spans="1:258" ht="40.15" customHeight="1" x14ac:dyDescent="0.25">
      <c r="A735" s="51" t="s">
        <v>799</v>
      </c>
      <c r="B735" s="51"/>
      <c r="C735" s="2">
        <f t="shared" ref="C735:U735" si="183">SUM(C736)</f>
        <v>5144200</v>
      </c>
      <c r="D735" s="2">
        <f t="shared" si="183"/>
        <v>0</v>
      </c>
      <c r="E735" s="2">
        <f t="shared" si="183"/>
        <v>0</v>
      </c>
      <c r="F735" s="2">
        <f t="shared" si="183"/>
        <v>0</v>
      </c>
      <c r="G735" s="2">
        <f t="shared" si="183"/>
        <v>0</v>
      </c>
      <c r="H735" s="2">
        <f t="shared" si="183"/>
        <v>0</v>
      </c>
      <c r="I735" s="2">
        <f t="shared" si="183"/>
        <v>0</v>
      </c>
      <c r="J735" s="2">
        <f t="shared" si="183"/>
        <v>0</v>
      </c>
      <c r="K735" s="18">
        <f t="shared" si="183"/>
        <v>0</v>
      </c>
      <c r="L735" s="2">
        <f t="shared" si="183"/>
        <v>0</v>
      </c>
      <c r="M735" s="2">
        <f t="shared" si="183"/>
        <v>1156</v>
      </c>
      <c r="N735" s="2">
        <f t="shared" si="183"/>
        <v>5144200</v>
      </c>
      <c r="O735" s="2">
        <f t="shared" si="183"/>
        <v>0</v>
      </c>
      <c r="P735" s="2">
        <f t="shared" si="183"/>
        <v>0</v>
      </c>
      <c r="Q735" s="2">
        <f t="shared" si="183"/>
        <v>0</v>
      </c>
      <c r="R735" s="2">
        <f t="shared" si="183"/>
        <v>0</v>
      </c>
      <c r="S735" s="2">
        <f t="shared" si="183"/>
        <v>0</v>
      </c>
      <c r="T735" s="2">
        <f t="shared" si="183"/>
        <v>0</v>
      </c>
      <c r="U735" s="2">
        <f t="shared" si="183"/>
        <v>0</v>
      </c>
      <c r="V735" s="20">
        <f>C735</f>
        <v>5144200</v>
      </c>
    </row>
    <row r="736" spans="1:258" ht="25.15" customHeight="1" x14ac:dyDescent="0.25">
      <c r="A736" s="21" t="s">
        <v>1590</v>
      </c>
      <c r="B736" s="24" t="s">
        <v>800</v>
      </c>
      <c r="C736" s="2">
        <f>D736+L736+N736+P736+R736+S736+T736+U736</f>
        <v>5144200</v>
      </c>
      <c r="D736" s="3">
        <f>SUM(E736:J736)</f>
        <v>0</v>
      </c>
      <c r="E736" s="3">
        <v>0</v>
      </c>
      <c r="F736" s="3">
        <v>0</v>
      </c>
      <c r="G736" s="3">
        <v>0</v>
      </c>
      <c r="H736" s="3">
        <v>0</v>
      </c>
      <c r="I736" s="3">
        <v>0</v>
      </c>
      <c r="J736" s="3">
        <v>0</v>
      </c>
      <c r="K736" s="4">
        <v>0</v>
      </c>
      <c r="L736" s="3">
        <v>0</v>
      </c>
      <c r="M736" s="13">
        <v>1156</v>
      </c>
      <c r="N736" s="3">
        <f>M736*4450</f>
        <v>5144200</v>
      </c>
      <c r="O736" s="3">
        <v>0</v>
      </c>
      <c r="P736" s="3">
        <v>0</v>
      </c>
      <c r="Q736" s="3">
        <v>0</v>
      </c>
      <c r="R736" s="3">
        <f>Q736*3200</f>
        <v>0</v>
      </c>
      <c r="S736" s="3">
        <v>0</v>
      </c>
      <c r="T736" s="3">
        <v>0</v>
      </c>
      <c r="U736" s="3">
        <v>0</v>
      </c>
      <c r="V736" s="5">
        <f>N736/M736</f>
        <v>4450</v>
      </c>
    </row>
    <row r="737" spans="1:22" ht="40.15" customHeight="1" x14ac:dyDescent="0.25">
      <c r="A737" s="51" t="s">
        <v>90</v>
      </c>
      <c r="B737" s="51"/>
      <c r="C737" s="2">
        <f t="shared" ref="C737:U737" si="184">SUM(C738:C740)</f>
        <v>7324954.7999999998</v>
      </c>
      <c r="D737" s="2">
        <f t="shared" si="184"/>
        <v>1324954.8</v>
      </c>
      <c r="E737" s="2">
        <f t="shared" si="184"/>
        <v>0</v>
      </c>
      <c r="F737" s="2">
        <f t="shared" si="184"/>
        <v>1324954.8</v>
      </c>
      <c r="G737" s="2">
        <f t="shared" si="184"/>
        <v>0</v>
      </c>
      <c r="H737" s="2">
        <f t="shared" si="184"/>
        <v>0</v>
      </c>
      <c r="I737" s="2">
        <f t="shared" si="184"/>
        <v>0</v>
      </c>
      <c r="J737" s="2">
        <f t="shared" si="184"/>
        <v>0</v>
      </c>
      <c r="K737" s="18">
        <f t="shared" si="184"/>
        <v>2</v>
      </c>
      <c r="L737" s="2">
        <f t="shared" si="184"/>
        <v>5600000</v>
      </c>
      <c r="M737" s="2">
        <f t="shared" si="184"/>
        <v>0</v>
      </c>
      <c r="N737" s="2">
        <f t="shared" si="184"/>
        <v>0</v>
      </c>
      <c r="O737" s="2">
        <f t="shared" si="184"/>
        <v>0</v>
      </c>
      <c r="P737" s="2">
        <f t="shared" si="184"/>
        <v>0</v>
      </c>
      <c r="Q737" s="2">
        <f t="shared" si="184"/>
        <v>0</v>
      </c>
      <c r="R737" s="2">
        <f t="shared" si="184"/>
        <v>0</v>
      </c>
      <c r="S737" s="2">
        <f t="shared" si="184"/>
        <v>0</v>
      </c>
      <c r="T737" s="2">
        <f t="shared" si="184"/>
        <v>0</v>
      </c>
      <c r="U737" s="2">
        <f t="shared" si="184"/>
        <v>400000</v>
      </c>
    </row>
    <row r="738" spans="1:22" ht="25.15" customHeight="1" x14ac:dyDescent="0.25">
      <c r="A738" s="21" t="s">
        <v>1591</v>
      </c>
      <c r="B738" s="24" t="s">
        <v>94</v>
      </c>
      <c r="C738" s="2">
        <f>D738+L738+N738+P738+R738+S738+T738+U738</f>
        <v>3000000</v>
      </c>
      <c r="D738" s="3">
        <f>SUM(E738:J738)</f>
        <v>0</v>
      </c>
      <c r="E738" s="3">
        <v>0</v>
      </c>
      <c r="F738" s="3">
        <v>0</v>
      </c>
      <c r="G738" s="3">
        <v>0</v>
      </c>
      <c r="H738" s="3">
        <v>0</v>
      </c>
      <c r="I738" s="3">
        <v>0</v>
      </c>
      <c r="J738" s="3">
        <v>0</v>
      </c>
      <c r="K738" s="4">
        <v>1</v>
      </c>
      <c r="L738" s="3">
        <v>2800000</v>
      </c>
      <c r="M738" s="13">
        <v>0</v>
      </c>
      <c r="N738" s="13">
        <v>0</v>
      </c>
      <c r="O738" s="3">
        <v>0</v>
      </c>
      <c r="P738" s="3">
        <v>0</v>
      </c>
      <c r="Q738" s="3">
        <v>0</v>
      </c>
      <c r="R738" s="3">
        <f>Q738*3200</f>
        <v>0</v>
      </c>
      <c r="S738" s="3">
        <v>0</v>
      </c>
      <c r="T738" s="3">
        <v>0</v>
      </c>
      <c r="U738" s="3">
        <v>200000</v>
      </c>
      <c r="V738" s="5" t="e">
        <f>N738/M738</f>
        <v>#DIV/0!</v>
      </c>
    </row>
    <row r="739" spans="1:22" ht="25.15" customHeight="1" x14ac:dyDescent="0.25">
      <c r="A739" s="21" t="s">
        <v>1592</v>
      </c>
      <c r="B739" s="24" t="s">
        <v>920</v>
      </c>
      <c r="C739" s="2">
        <f>D739+L739+N739+P739+R739+S739+T739+U739</f>
        <v>1324954.8</v>
      </c>
      <c r="D739" s="3">
        <f>SUM(E739:J739)</f>
        <v>1324954.8</v>
      </c>
      <c r="E739" s="3">
        <v>0</v>
      </c>
      <c r="F739" s="3">
        <v>1324954.8</v>
      </c>
      <c r="G739" s="3">
        <v>0</v>
      </c>
      <c r="H739" s="3">
        <v>0</v>
      </c>
      <c r="I739" s="3">
        <v>0</v>
      </c>
      <c r="J739" s="3">
        <v>0</v>
      </c>
      <c r="K739" s="4">
        <v>0</v>
      </c>
      <c r="L739" s="3">
        <v>0</v>
      </c>
      <c r="M739" s="13">
        <v>0</v>
      </c>
      <c r="N739" s="13">
        <v>0</v>
      </c>
      <c r="O739" s="3">
        <v>0</v>
      </c>
      <c r="P739" s="3">
        <v>0</v>
      </c>
      <c r="Q739" s="3">
        <v>0</v>
      </c>
      <c r="R739" s="3">
        <v>0</v>
      </c>
      <c r="S739" s="3">
        <v>0</v>
      </c>
      <c r="T739" s="3">
        <v>0</v>
      </c>
      <c r="U739" s="3">
        <v>0</v>
      </c>
      <c r="V739" s="5" t="e">
        <f>N739/M739</f>
        <v>#DIV/0!</v>
      </c>
    </row>
    <row r="740" spans="1:22" ht="25.15" customHeight="1" x14ac:dyDescent="0.25">
      <c r="A740" s="21" t="s">
        <v>1593</v>
      </c>
      <c r="B740" s="24" t="s">
        <v>98</v>
      </c>
      <c r="C740" s="2">
        <f>D740+L740+N740+P740+R740+S740+T740+U740</f>
        <v>3000000</v>
      </c>
      <c r="D740" s="3">
        <f>SUM(E740:J740)</f>
        <v>0</v>
      </c>
      <c r="E740" s="3">
        <v>0</v>
      </c>
      <c r="F740" s="3">
        <v>0</v>
      </c>
      <c r="G740" s="3">
        <v>0</v>
      </c>
      <c r="H740" s="3">
        <v>0</v>
      </c>
      <c r="I740" s="3">
        <v>0</v>
      </c>
      <c r="J740" s="3">
        <v>0</v>
      </c>
      <c r="K740" s="4">
        <v>1</v>
      </c>
      <c r="L740" s="3">
        <v>2800000</v>
      </c>
      <c r="M740" s="13">
        <v>0</v>
      </c>
      <c r="N740" s="13">
        <v>0</v>
      </c>
      <c r="O740" s="3">
        <v>0</v>
      </c>
      <c r="P740" s="3">
        <v>0</v>
      </c>
      <c r="Q740" s="3">
        <v>0</v>
      </c>
      <c r="R740" s="3">
        <f>Q740*3200</f>
        <v>0</v>
      </c>
      <c r="S740" s="3">
        <v>0</v>
      </c>
      <c r="T740" s="3">
        <v>0</v>
      </c>
      <c r="U740" s="3">
        <v>200000</v>
      </c>
      <c r="V740" s="5" t="e">
        <f>N740/M740</f>
        <v>#DIV/0!</v>
      </c>
    </row>
    <row r="741" spans="1:22" ht="40.15" customHeight="1" x14ac:dyDescent="0.25">
      <c r="A741" s="51" t="s">
        <v>99</v>
      </c>
      <c r="B741" s="51"/>
      <c r="C741" s="2">
        <f t="shared" ref="C741:U741" si="185">SUM(C742:C745)</f>
        <v>18093312.399999999</v>
      </c>
      <c r="D741" s="2">
        <f t="shared" si="185"/>
        <v>0</v>
      </c>
      <c r="E741" s="2">
        <f t="shared" si="185"/>
        <v>0</v>
      </c>
      <c r="F741" s="2">
        <f t="shared" si="185"/>
        <v>0</v>
      </c>
      <c r="G741" s="2">
        <f t="shared" si="185"/>
        <v>0</v>
      </c>
      <c r="H741" s="2">
        <f t="shared" si="185"/>
        <v>0</v>
      </c>
      <c r="I741" s="2">
        <f t="shared" si="185"/>
        <v>0</v>
      </c>
      <c r="J741" s="2">
        <f t="shared" si="185"/>
        <v>0</v>
      </c>
      <c r="K741" s="18">
        <f t="shared" si="185"/>
        <v>0</v>
      </c>
      <c r="L741" s="2">
        <f t="shared" si="185"/>
        <v>0</v>
      </c>
      <c r="M741" s="2">
        <f t="shared" si="185"/>
        <v>3128.77</v>
      </c>
      <c r="N741" s="2">
        <f t="shared" si="185"/>
        <v>18093312.399999999</v>
      </c>
      <c r="O741" s="2">
        <f t="shared" si="185"/>
        <v>0</v>
      </c>
      <c r="P741" s="2">
        <f t="shared" si="185"/>
        <v>0</v>
      </c>
      <c r="Q741" s="2">
        <f t="shared" si="185"/>
        <v>0</v>
      </c>
      <c r="R741" s="2">
        <f t="shared" si="185"/>
        <v>0</v>
      </c>
      <c r="S741" s="2">
        <f t="shared" si="185"/>
        <v>0</v>
      </c>
      <c r="T741" s="2">
        <f t="shared" si="185"/>
        <v>0</v>
      </c>
      <c r="U741" s="2">
        <f t="shared" si="185"/>
        <v>0</v>
      </c>
    </row>
    <row r="742" spans="1:22" ht="25.15" customHeight="1" x14ac:dyDescent="0.25">
      <c r="A742" s="21" t="s">
        <v>1594</v>
      </c>
      <c r="B742" s="24" t="s">
        <v>101</v>
      </c>
      <c r="C742" s="2">
        <f>D742+L742+N742+P742+R742+S742+T742+U742</f>
        <v>4435200</v>
      </c>
      <c r="D742" s="3">
        <f>SUM(E742:J742)</f>
        <v>0</v>
      </c>
      <c r="E742" s="3">
        <v>0</v>
      </c>
      <c r="F742" s="3">
        <v>0</v>
      </c>
      <c r="G742" s="3">
        <v>0</v>
      </c>
      <c r="H742" s="3">
        <v>0</v>
      </c>
      <c r="I742" s="3">
        <v>0</v>
      </c>
      <c r="J742" s="3">
        <v>0</v>
      </c>
      <c r="K742" s="4">
        <v>0</v>
      </c>
      <c r="L742" s="3">
        <v>0</v>
      </c>
      <c r="M742" s="13">
        <v>672</v>
      </c>
      <c r="N742" s="3">
        <f>M742*6600</f>
        <v>4435200</v>
      </c>
      <c r="O742" s="3">
        <v>0</v>
      </c>
      <c r="P742" s="3">
        <v>0</v>
      </c>
      <c r="Q742" s="3">
        <v>0</v>
      </c>
      <c r="R742" s="3">
        <f>Q742*3200</f>
        <v>0</v>
      </c>
      <c r="S742" s="3">
        <v>0</v>
      </c>
      <c r="T742" s="3">
        <v>0</v>
      </c>
      <c r="U742" s="3">
        <v>0</v>
      </c>
      <c r="V742" s="5">
        <f>N742/M742</f>
        <v>6600</v>
      </c>
    </row>
    <row r="743" spans="1:22" ht="24.6" customHeight="1" x14ac:dyDescent="0.25">
      <c r="A743" s="21" t="s">
        <v>1595</v>
      </c>
      <c r="B743" s="24" t="s">
        <v>103</v>
      </c>
      <c r="C743" s="2">
        <f>D743+L743+N743+P743+R743+S743+T743+U743</f>
        <v>5060880</v>
      </c>
      <c r="D743" s="3">
        <f>SUM(E743:J743)</f>
        <v>0</v>
      </c>
      <c r="E743" s="3">
        <v>0</v>
      </c>
      <c r="F743" s="3">
        <v>0</v>
      </c>
      <c r="G743" s="3">
        <v>0</v>
      </c>
      <c r="H743" s="3">
        <v>0</v>
      </c>
      <c r="I743" s="3">
        <v>0</v>
      </c>
      <c r="J743" s="3">
        <v>0</v>
      </c>
      <c r="K743" s="4">
        <v>0</v>
      </c>
      <c r="L743" s="3">
        <v>0</v>
      </c>
      <c r="M743" s="13">
        <v>766.8</v>
      </c>
      <c r="N743" s="3">
        <f>M743*6600</f>
        <v>5060880</v>
      </c>
      <c r="O743" s="3">
        <v>0</v>
      </c>
      <c r="P743" s="3">
        <v>0</v>
      </c>
      <c r="Q743" s="3">
        <v>0</v>
      </c>
      <c r="R743" s="3">
        <f>Q743*3200</f>
        <v>0</v>
      </c>
      <c r="S743" s="3">
        <v>0</v>
      </c>
      <c r="T743" s="3">
        <v>0</v>
      </c>
      <c r="U743" s="3">
        <v>0</v>
      </c>
      <c r="V743" s="5">
        <f>N743/M743</f>
        <v>6600</v>
      </c>
    </row>
    <row r="744" spans="1:22" ht="25.15" customHeight="1" x14ac:dyDescent="0.25">
      <c r="A744" s="21" t="s">
        <v>1596</v>
      </c>
      <c r="B744" s="24" t="s">
        <v>106</v>
      </c>
      <c r="C744" s="2">
        <f>D744+L744+N744+P744+R744+S744+T744+U744</f>
        <v>3728042.4</v>
      </c>
      <c r="D744" s="3">
        <f>SUM(E744:J744)</f>
        <v>0</v>
      </c>
      <c r="E744" s="3">
        <v>0</v>
      </c>
      <c r="F744" s="3">
        <v>0</v>
      </c>
      <c r="G744" s="3">
        <v>0</v>
      </c>
      <c r="H744" s="3">
        <v>0</v>
      </c>
      <c r="I744" s="3">
        <v>0</v>
      </c>
      <c r="J744" s="3">
        <v>0</v>
      </c>
      <c r="K744" s="4">
        <v>0</v>
      </c>
      <c r="L744" s="3">
        <v>0</v>
      </c>
      <c r="M744" s="13">
        <v>595.77</v>
      </c>
      <c r="N744" s="3">
        <v>3728042.4</v>
      </c>
      <c r="O744" s="3">
        <v>0</v>
      </c>
      <c r="P744" s="3">
        <v>0</v>
      </c>
      <c r="Q744" s="3">
        <v>0</v>
      </c>
      <c r="R744" s="3">
        <f>Q744*3200</f>
        <v>0</v>
      </c>
      <c r="S744" s="3">
        <v>0</v>
      </c>
      <c r="T744" s="3">
        <v>0</v>
      </c>
      <c r="U744" s="3">
        <v>0</v>
      </c>
      <c r="V744" s="5">
        <f>N744/M744</f>
        <v>6257.5195125635728</v>
      </c>
    </row>
    <row r="745" spans="1:22" ht="25.15" customHeight="1" x14ac:dyDescent="0.25">
      <c r="A745" s="21" t="s">
        <v>1597</v>
      </c>
      <c r="B745" s="24" t="s">
        <v>104</v>
      </c>
      <c r="C745" s="2">
        <f>D745+L745+N745+P745+R745+S745+T745+U745</f>
        <v>4869190</v>
      </c>
      <c r="D745" s="3">
        <f>SUM(E745:J745)</f>
        <v>0</v>
      </c>
      <c r="E745" s="3">
        <v>0</v>
      </c>
      <c r="F745" s="3">
        <v>0</v>
      </c>
      <c r="G745" s="3">
        <v>0</v>
      </c>
      <c r="H745" s="3">
        <v>0</v>
      </c>
      <c r="I745" s="3">
        <v>0</v>
      </c>
      <c r="J745" s="3">
        <v>0</v>
      </c>
      <c r="K745" s="4">
        <v>0</v>
      </c>
      <c r="L745" s="3">
        <v>0</v>
      </c>
      <c r="M745" s="13">
        <v>1094.2</v>
      </c>
      <c r="N745" s="3">
        <f>M745*4450</f>
        <v>4869190</v>
      </c>
      <c r="O745" s="3">
        <v>0</v>
      </c>
      <c r="P745" s="3">
        <v>0</v>
      </c>
      <c r="Q745" s="3">
        <v>0</v>
      </c>
      <c r="R745" s="3">
        <f>Q745*3200</f>
        <v>0</v>
      </c>
      <c r="S745" s="3">
        <v>0</v>
      </c>
      <c r="T745" s="3">
        <v>0</v>
      </c>
      <c r="U745" s="3">
        <v>0</v>
      </c>
      <c r="V745" s="5">
        <f>N745/M745</f>
        <v>4450</v>
      </c>
    </row>
    <row r="746" spans="1:22" ht="40.15" customHeight="1" x14ac:dyDescent="0.25">
      <c r="A746" s="51" t="s">
        <v>113</v>
      </c>
      <c r="B746" s="51"/>
      <c r="C746" s="2">
        <f t="shared" ref="C746:U746" si="186">SUM(C747)</f>
        <v>2381200</v>
      </c>
      <c r="D746" s="2">
        <f t="shared" si="186"/>
        <v>0</v>
      </c>
      <c r="E746" s="2">
        <f t="shared" si="186"/>
        <v>0</v>
      </c>
      <c r="F746" s="2">
        <f t="shared" si="186"/>
        <v>0</v>
      </c>
      <c r="G746" s="2">
        <f t="shared" si="186"/>
        <v>0</v>
      </c>
      <c r="H746" s="2">
        <f t="shared" si="186"/>
        <v>0</v>
      </c>
      <c r="I746" s="2">
        <f t="shared" si="186"/>
        <v>0</v>
      </c>
      <c r="J746" s="2">
        <f t="shared" si="186"/>
        <v>0</v>
      </c>
      <c r="K746" s="18">
        <f t="shared" si="186"/>
        <v>0</v>
      </c>
      <c r="L746" s="2">
        <f t="shared" si="186"/>
        <v>0</v>
      </c>
      <c r="M746" s="2">
        <f t="shared" si="186"/>
        <v>232</v>
      </c>
      <c r="N746" s="2">
        <f t="shared" si="186"/>
        <v>1531200</v>
      </c>
      <c r="O746" s="2">
        <f t="shared" si="186"/>
        <v>0</v>
      </c>
      <c r="P746" s="2">
        <f t="shared" si="186"/>
        <v>0</v>
      </c>
      <c r="Q746" s="2">
        <f t="shared" si="186"/>
        <v>0</v>
      </c>
      <c r="R746" s="2">
        <f t="shared" si="186"/>
        <v>0</v>
      </c>
      <c r="S746" s="2">
        <f t="shared" si="186"/>
        <v>0</v>
      </c>
      <c r="T746" s="2">
        <f t="shared" si="186"/>
        <v>0</v>
      </c>
      <c r="U746" s="2">
        <f t="shared" si="186"/>
        <v>850000</v>
      </c>
    </row>
    <row r="747" spans="1:22" ht="25.15" customHeight="1" x14ac:dyDescent="0.25">
      <c r="A747" s="15" t="s">
        <v>1598</v>
      </c>
      <c r="B747" s="24" t="s">
        <v>114</v>
      </c>
      <c r="C747" s="2">
        <f>D747+L747+N747+P747+R747+S747+T747+U747</f>
        <v>2381200</v>
      </c>
      <c r="D747" s="3">
        <f>SUM(E747:J747)</f>
        <v>0</v>
      </c>
      <c r="E747" s="3">
        <v>0</v>
      </c>
      <c r="F747" s="3">
        <v>0</v>
      </c>
      <c r="G747" s="3">
        <v>0</v>
      </c>
      <c r="H747" s="3">
        <v>0</v>
      </c>
      <c r="I747" s="3">
        <v>0</v>
      </c>
      <c r="J747" s="3">
        <v>0</v>
      </c>
      <c r="K747" s="14">
        <v>0</v>
      </c>
      <c r="L747" s="13">
        <v>0</v>
      </c>
      <c r="M747" s="13">
        <v>232</v>
      </c>
      <c r="N747" s="3">
        <f>M747*6600</f>
        <v>1531200</v>
      </c>
      <c r="O747" s="13">
        <v>0</v>
      </c>
      <c r="P747" s="13">
        <v>0</v>
      </c>
      <c r="Q747" s="13">
        <v>0</v>
      </c>
      <c r="R747" s="3">
        <f>Q747*3200</f>
        <v>0</v>
      </c>
      <c r="S747" s="13">
        <v>0</v>
      </c>
      <c r="T747" s="13">
        <v>0</v>
      </c>
      <c r="U747" s="13">
        <v>850000</v>
      </c>
      <c r="V747" s="5">
        <f>N747/M747</f>
        <v>6600</v>
      </c>
    </row>
    <row r="748" spans="1:22" ht="40.15" customHeight="1" x14ac:dyDescent="0.25">
      <c r="A748" s="51" t="s">
        <v>906</v>
      </c>
      <c r="B748" s="51"/>
      <c r="C748" s="2">
        <f t="shared" ref="C748:U748" si="187">SUM(C749:C753)</f>
        <v>29195437.199999999</v>
      </c>
      <c r="D748" s="2">
        <f t="shared" si="187"/>
        <v>3543120</v>
      </c>
      <c r="E748" s="2">
        <f t="shared" si="187"/>
        <v>826728</v>
      </c>
      <c r="F748" s="2">
        <f t="shared" si="187"/>
        <v>1535352</v>
      </c>
      <c r="G748" s="2">
        <f t="shared" si="187"/>
        <v>354312</v>
      </c>
      <c r="H748" s="2">
        <f t="shared" si="187"/>
        <v>472416</v>
      </c>
      <c r="I748" s="2">
        <f t="shared" si="187"/>
        <v>354312</v>
      </c>
      <c r="J748" s="2">
        <f t="shared" si="187"/>
        <v>0</v>
      </c>
      <c r="K748" s="18">
        <f t="shared" si="187"/>
        <v>0</v>
      </c>
      <c r="L748" s="2">
        <f t="shared" si="187"/>
        <v>0</v>
      </c>
      <c r="M748" s="2">
        <f t="shared" si="187"/>
        <v>5370.7</v>
      </c>
      <c r="N748" s="2">
        <f t="shared" si="187"/>
        <v>25524999</v>
      </c>
      <c r="O748" s="2">
        <f t="shared" si="187"/>
        <v>0</v>
      </c>
      <c r="P748" s="2">
        <f t="shared" si="187"/>
        <v>0</v>
      </c>
      <c r="Q748" s="2">
        <f t="shared" si="187"/>
        <v>0</v>
      </c>
      <c r="R748" s="2">
        <f t="shared" si="187"/>
        <v>0</v>
      </c>
      <c r="S748" s="2">
        <f t="shared" si="187"/>
        <v>0</v>
      </c>
      <c r="T748" s="2">
        <f t="shared" si="187"/>
        <v>0</v>
      </c>
      <c r="U748" s="2">
        <f t="shared" si="187"/>
        <v>127318.2</v>
      </c>
      <c r="V748" s="20">
        <f>C748+C1323</f>
        <v>29195437.199999999</v>
      </c>
    </row>
    <row r="749" spans="1:22" ht="25.15" customHeight="1" x14ac:dyDescent="0.25">
      <c r="A749" s="21" t="s">
        <v>1599</v>
      </c>
      <c r="B749" s="24" t="s">
        <v>907</v>
      </c>
      <c r="C749" s="2">
        <f>D749+L749+N749+P749+R749+S749+T749+U749</f>
        <v>6474750</v>
      </c>
      <c r="D749" s="3">
        <f>SUM(E749:J749)</f>
        <v>0</v>
      </c>
      <c r="E749" s="3">
        <v>0</v>
      </c>
      <c r="F749" s="3">
        <v>0</v>
      </c>
      <c r="G749" s="3">
        <v>0</v>
      </c>
      <c r="H749" s="3">
        <v>0</v>
      </c>
      <c r="I749" s="3">
        <v>0</v>
      </c>
      <c r="J749" s="3">
        <v>0</v>
      </c>
      <c r="K749" s="4">
        <v>0</v>
      </c>
      <c r="L749" s="3">
        <v>0</v>
      </c>
      <c r="M749" s="13">
        <v>1455</v>
      </c>
      <c r="N749" s="13">
        <f>M749*4450</f>
        <v>6474750</v>
      </c>
      <c r="O749" s="13">
        <v>0</v>
      </c>
      <c r="P749" s="13">
        <v>0</v>
      </c>
      <c r="Q749" s="13">
        <v>0</v>
      </c>
      <c r="R749" s="3">
        <f>Q749*3200</f>
        <v>0</v>
      </c>
      <c r="S749" s="13">
        <v>0</v>
      </c>
      <c r="T749" s="13">
        <v>0</v>
      </c>
      <c r="U749" s="13">
        <v>0</v>
      </c>
      <c r="V749" s="5">
        <f>N749/M749</f>
        <v>4450</v>
      </c>
    </row>
    <row r="750" spans="1:22" ht="25.15" customHeight="1" x14ac:dyDescent="0.25">
      <c r="A750" s="21" t="s">
        <v>1600</v>
      </c>
      <c r="B750" s="24" t="s">
        <v>985</v>
      </c>
      <c r="C750" s="2">
        <f>D750+L750+N750+P750+R750+S750+T750+U750</f>
        <v>5140884</v>
      </c>
      <c r="D750" s="3">
        <f>SUM(E750:J750)</f>
        <v>0</v>
      </c>
      <c r="E750" s="3">
        <v>0</v>
      </c>
      <c r="F750" s="3">
        <v>0</v>
      </c>
      <c r="G750" s="3">
        <v>0</v>
      </c>
      <c r="H750" s="3">
        <v>0</v>
      </c>
      <c r="I750" s="3">
        <v>0</v>
      </c>
      <c r="J750" s="3">
        <v>0</v>
      </c>
      <c r="K750" s="4">
        <v>0</v>
      </c>
      <c r="L750" s="3">
        <v>0</v>
      </c>
      <c r="M750" s="13">
        <v>790</v>
      </c>
      <c r="N750" s="13">
        <v>5140884</v>
      </c>
      <c r="O750" s="13">
        <v>0</v>
      </c>
      <c r="P750" s="13">
        <v>0</v>
      </c>
      <c r="Q750" s="13">
        <v>0</v>
      </c>
      <c r="R750" s="3">
        <f>Q750*3200</f>
        <v>0</v>
      </c>
      <c r="S750" s="13">
        <v>0</v>
      </c>
      <c r="T750" s="13">
        <v>0</v>
      </c>
      <c r="U750" s="13">
        <v>0</v>
      </c>
    </row>
    <row r="751" spans="1:22" ht="25.15" customHeight="1" x14ac:dyDescent="0.25">
      <c r="A751" s="21" t="s">
        <v>1601</v>
      </c>
      <c r="B751" s="24" t="s">
        <v>986</v>
      </c>
      <c r="C751" s="2">
        <f>D751+L751+N751+P751+R751+S751+T751+U751</f>
        <v>3670438.2</v>
      </c>
      <c r="D751" s="3">
        <f>SUM(E751:J751)</f>
        <v>3543120</v>
      </c>
      <c r="E751" s="3">
        <f>700*1181.04</f>
        <v>826728</v>
      </c>
      <c r="F751" s="3">
        <f>1300*1181.04</f>
        <v>1535352</v>
      </c>
      <c r="G751" s="3">
        <f>300*1181.04</f>
        <v>354312</v>
      </c>
      <c r="H751" s="3">
        <f>400*1181.04</f>
        <v>472416</v>
      </c>
      <c r="I751" s="3">
        <f>300*1181.04</f>
        <v>354312</v>
      </c>
      <c r="J751" s="3">
        <v>0</v>
      </c>
      <c r="K751" s="4">
        <v>0</v>
      </c>
      <c r="L751" s="3">
        <v>0</v>
      </c>
      <c r="M751" s="13">
        <v>0</v>
      </c>
      <c r="N751" s="13">
        <v>0</v>
      </c>
      <c r="O751" s="13">
        <v>0</v>
      </c>
      <c r="P751" s="13">
        <v>0</v>
      </c>
      <c r="Q751" s="13">
        <v>0</v>
      </c>
      <c r="R751" s="3">
        <f>Q751*3200</f>
        <v>0</v>
      </c>
      <c r="S751" s="13">
        <v>0</v>
      </c>
      <c r="T751" s="13">
        <v>0</v>
      </c>
      <c r="U751" s="13">
        <v>127318.2</v>
      </c>
    </row>
    <row r="752" spans="1:22" ht="25.15" customHeight="1" x14ac:dyDescent="0.25">
      <c r="A752" s="21" t="s">
        <v>1602</v>
      </c>
      <c r="B752" s="24" t="s">
        <v>908</v>
      </c>
      <c r="C752" s="2">
        <f>D752+L752+N752+P752+R752+S752+T752+U752</f>
        <v>6474750</v>
      </c>
      <c r="D752" s="3">
        <f>SUM(E752:J752)</f>
        <v>0</v>
      </c>
      <c r="E752" s="3">
        <v>0</v>
      </c>
      <c r="F752" s="3">
        <v>0</v>
      </c>
      <c r="G752" s="3">
        <v>0</v>
      </c>
      <c r="H752" s="3">
        <v>0</v>
      </c>
      <c r="I752" s="3">
        <v>0</v>
      </c>
      <c r="J752" s="3">
        <v>0</v>
      </c>
      <c r="K752" s="4">
        <v>0</v>
      </c>
      <c r="L752" s="3">
        <v>0</v>
      </c>
      <c r="M752" s="13">
        <v>1455</v>
      </c>
      <c r="N752" s="13">
        <f>M752*4450</f>
        <v>6474750</v>
      </c>
      <c r="O752" s="13">
        <v>0</v>
      </c>
      <c r="P752" s="13">
        <v>0</v>
      </c>
      <c r="Q752" s="13">
        <v>0</v>
      </c>
      <c r="R752" s="3">
        <f>Q752*3200</f>
        <v>0</v>
      </c>
      <c r="S752" s="13">
        <v>0</v>
      </c>
      <c r="T752" s="13">
        <v>0</v>
      </c>
      <c r="U752" s="13">
        <v>0</v>
      </c>
      <c r="V752" s="5">
        <f>N752/M752</f>
        <v>4450</v>
      </c>
    </row>
    <row r="753" spans="1:22" ht="25.15" customHeight="1" x14ac:dyDescent="0.25">
      <c r="A753" s="21" t="s">
        <v>1603</v>
      </c>
      <c r="B753" s="24" t="s">
        <v>909</v>
      </c>
      <c r="C753" s="2">
        <f>D753+L753+N753+P753+R753+S753+T753+U753</f>
        <v>7434615</v>
      </c>
      <c r="D753" s="3">
        <f>SUM(E753:J753)</f>
        <v>0</v>
      </c>
      <c r="E753" s="3">
        <v>0</v>
      </c>
      <c r="F753" s="3">
        <v>0</v>
      </c>
      <c r="G753" s="3">
        <v>0</v>
      </c>
      <c r="H753" s="3">
        <v>0</v>
      </c>
      <c r="I753" s="3">
        <v>0</v>
      </c>
      <c r="J753" s="3">
        <v>0</v>
      </c>
      <c r="K753" s="4">
        <v>0</v>
      </c>
      <c r="L753" s="3">
        <v>0</v>
      </c>
      <c r="M753" s="13">
        <v>1670.7</v>
      </c>
      <c r="N753" s="13">
        <f>M753*4450</f>
        <v>7434615</v>
      </c>
      <c r="O753" s="13">
        <v>0</v>
      </c>
      <c r="P753" s="13">
        <v>0</v>
      </c>
      <c r="Q753" s="13">
        <v>0</v>
      </c>
      <c r="R753" s="3">
        <f>Q753*3200</f>
        <v>0</v>
      </c>
      <c r="S753" s="13">
        <v>0</v>
      </c>
      <c r="T753" s="13">
        <v>0</v>
      </c>
      <c r="U753" s="13">
        <v>0</v>
      </c>
      <c r="V753" s="5">
        <f>N753/M753</f>
        <v>4450</v>
      </c>
    </row>
    <row r="754" spans="1:22" ht="40.15" customHeight="1" x14ac:dyDescent="0.25">
      <c r="A754" s="51" t="s">
        <v>904</v>
      </c>
      <c r="B754" s="51"/>
      <c r="C754" s="2">
        <f t="shared" ref="C754:U754" si="188">SUM(C755)</f>
        <v>659260</v>
      </c>
      <c r="D754" s="2">
        <f t="shared" si="188"/>
        <v>559260</v>
      </c>
      <c r="E754" s="2">
        <f t="shared" si="188"/>
        <v>301140</v>
      </c>
      <c r="F754" s="2">
        <f t="shared" si="188"/>
        <v>0</v>
      </c>
      <c r="G754" s="2">
        <f t="shared" si="188"/>
        <v>129060</v>
      </c>
      <c r="H754" s="2">
        <f t="shared" si="188"/>
        <v>0</v>
      </c>
      <c r="I754" s="2">
        <f t="shared" si="188"/>
        <v>129060</v>
      </c>
      <c r="J754" s="2">
        <f t="shared" si="188"/>
        <v>0</v>
      </c>
      <c r="K754" s="18">
        <f t="shared" si="188"/>
        <v>0</v>
      </c>
      <c r="L754" s="2">
        <f t="shared" si="188"/>
        <v>0</v>
      </c>
      <c r="M754" s="2">
        <f t="shared" si="188"/>
        <v>0</v>
      </c>
      <c r="N754" s="2">
        <f t="shared" si="188"/>
        <v>0</v>
      </c>
      <c r="O754" s="2">
        <f t="shared" si="188"/>
        <v>0</v>
      </c>
      <c r="P754" s="2">
        <f t="shared" si="188"/>
        <v>0</v>
      </c>
      <c r="Q754" s="2">
        <f t="shared" si="188"/>
        <v>0</v>
      </c>
      <c r="R754" s="2">
        <f t="shared" si="188"/>
        <v>0</v>
      </c>
      <c r="S754" s="2">
        <f t="shared" si="188"/>
        <v>0</v>
      </c>
      <c r="T754" s="2">
        <f t="shared" si="188"/>
        <v>0</v>
      </c>
      <c r="U754" s="2">
        <f t="shared" si="188"/>
        <v>100000</v>
      </c>
      <c r="V754" s="20">
        <f>C754+C1321</f>
        <v>659260</v>
      </c>
    </row>
    <row r="755" spans="1:22" ht="25.15" customHeight="1" x14ac:dyDescent="0.25">
      <c r="A755" s="21" t="s">
        <v>1604</v>
      </c>
      <c r="B755" s="24" t="s">
        <v>905</v>
      </c>
      <c r="C755" s="2">
        <f>D755+L755+N755+P755+R755+S755+T755+U755</f>
        <v>659260</v>
      </c>
      <c r="D755" s="3">
        <f>SUM(E755:J755)</f>
        <v>559260</v>
      </c>
      <c r="E755" s="3">
        <f>700*430.2</f>
        <v>301140</v>
      </c>
      <c r="F755" s="3">
        <v>0</v>
      </c>
      <c r="G755" s="3">
        <f>300*430.2</f>
        <v>129060</v>
      </c>
      <c r="H755" s="3">
        <v>0</v>
      </c>
      <c r="I755" s="3">
        <f>300*430.2</f>
        <v>129060</v>
      </c>
      <c r="J755" s="3">
        <v>0</v>
      </c>
      <c r="K755" s="4">
        <v>0</v>
      </c>
      <c r="L755" s="3">
        <v>0</v>
      </c>
      <c r="M755" s="13">
        <v>0</v>
      </c>
      <c r="N755" s="13">
        <v>0</v>
      </c>
      <c r="O755" s="13">
        <v>0</v>
      </c>
      <c r="P755" s="13">
        <v>0</v>
      </c>
      <c r="Q755" s="13">
        <v>0</v>
      </c>
      <c r="R755" s="3">
        <f>Q755*3200</f>
        <v>0</v>
      </c>
      <c r="S755" s="13">
        <v>0</v>
      </c>
      <c r="T755" s="13">
        <v>0</v>
      </c>
      <c r="U755" s="13">
        <v>100000</v>
      </c>
      <c r="V755" s="5" t="e">
        <f>N755/M755</f>
        <v>#DIV/0!</v>
      </c>
    </row>
    <row r="756" spans="1:22" ht="40.15" customHeight="1" x14ac:dyDescent="0.25">
      <c r="A756" s="51" t="s">
        <v>121</v>
      </c>
      <c r="B756" s="51"/>
      <c r="C756" s="2">
        <f t="shared" ref="C756:U756" si="189">SUM(C757:C761)</f>
        <v>12012310</v>
      </c>
      <c r="D756" s="2">
        <f t="shared" si="189"/>
        <v>0</v>
      </c>
      <c r="E756" s="2">
        <f t="shared" si="189"/>
        <v>0</v>
      </c>
      <c r="F756" s="2">
        <f t="shared" si="189"/>
        <v>0</v>
      </c>
      <c r="G756" s="2">
        <f t="shared" si="189"/>
        <v>0</v>
      </c>
      <c r="H756" s="2">
        <f t="shared" si="189"/>
        <v>0</v>
      </c>
      <c r="I756" s="2">
        <f t="shared" si="189"/>
        <v>0</v>
      </c>
      <c r="J756" s="2">
        <f t="shared" si="189"/>
        <v>0</v>
      </c>
      <c r="K756" s="18">
        <f t="shared" si="189"/>
        <v>0</v>
      </c>
      <c r="L756" s="2">
        <f t="shared" si="189"/>
        <v>0</v>
      </c>
      <c r="M756" s="2">
        <f t="shared" si="189"/>
        <v>1600.35</v>
      </c>
      <c r="N756" s="2">
        <f t="shared" si="189"/>
        <v>10562310</v>
      </c>
      <c r="O756" s="2">
        <f t="shared" si="189"/>
        <v>0</v>
      </c>
      <c r="P756" s="2">
        <f t="shared" si="189"/>
        <v>0</v>
      </c>
      <c r="Q756" s="2">
        <f t="shared" si="189"/>
        <v>0</v>
      </c>
      <c r="R756" s="2">
        <f t="shared" si="189"/>
        <v>0</v>
      </c>
      <c r="S756" s="2">
        <f t="shared" si="189"/>
        <v>0</v>
      </c>
      <c r="T756" s="2">
        <f t="shared" si="189"/>
        <v>0</v>
      </c>
      <c r="U756" s="2">
        <f t="shared" si="189"/>
        <v>1450000</v>
      </c>
    </row>
    <row r="757" spans="1:22" ht="25.15" customHeight="1" x14ac:dyDescent="0.25">
      <c r="A757" s="21" t="s">
        <v>1605</v>
      </c>
      <c r="B757" s="1" t="s">
        <v>116</v>
      </c>
      <c r="C757" s="2">
        <f>D757+L757+N757+P757+R757+S757+T757+U757</f>
        <v>5514960</v>
      </c>
      <c r="D757" s="3">
        <f>SUM(E757:J757)</f>
        <v>0</v>
      </c>
      <c r="E757" s="3">
        <v>0</v>
      </c>
      <c r="F757" s="3">
        <v>0</v>
      </c>
      <c r="G757" s="3">
        <v>0</v>
      </c>
      <c r="H757" s="3">
        <v>0</v>
      </c>
      <c r="I757" s="3">
        <v>0</v>
      </c>
      <c r="J757" s="3">
        <v>0</v>
      </c>
      <c r="K757" s="4">
        <v>0</v>
      </c>
      <c r="L757" s="3">
        <v>0</v>
      </c>
      <c r="M757" s="13">
        <v>835.6</v>
      </c>
      <c r="N757" s="3">
        <f>M757*6600</f>
        <v>5514960</v>
      </c>
      <c r="O757" s="3">
        <v>0</v>
      </c>
      <c r="P757" s="3">
        <v>0</v>
      </c>
      <c r="Q757" s="3">
        <v>0</v>
      </c>
      <c r="R757" s="3">
        <f>Q757*3200</f>
        <v>0</v>
      </c>
      <c r="S757" s="3">
        <v>0</v>
      </c>
      <c r="T757" s="3">
        <v>0</v>
      </c>
      <c r="U757" s="3">
        <v>0</v>
      </c>
      <c r="V757" s="5">
        <f>N757/M757</f>
        <v>6600</v>
      </c>
    </row>
    <row r="758" spans="1:22" ht="25.15" customHeight="1" x14ac:dyDescent="0.25">
      <c r="A758" s="21" t="s">
        <v>1606</v>
      </c>
      <c r="B758" s="1" t="s">
        <v>117</v>
      </c>
      <c r="C758" s="2">
        <f>D758+L758+N758+P758+R758+S758+T758+U758</f>
        <v>1937100</v>
      </c>
      <c r="D758" s="3">
        <f>SUM(E758:J758)</f>
        <v>0</v>
      </c>
      <c r="E758" s="3">
        <v>0</v>
      </c>
      <c r="F758" s="3">
        <v>0</v>
      </c>
      <c r="G758" s="3">
        <v>0</v>
      </c>
      <c r="H758" s="3">
        <v>0</v>
      </c>
      <c r="I758" s="3">
        <v>0</v>
      </c>
      <c r="J758" s="3">
        <v>0</v>
      </c>
      <c r="K758" s="4">
        <v>0</v>
      </c>
      <c r="L758" s="3">
        <v>0</v>
      </c>
      <c r="M758" s="13">
        <v>293.5</v>
      </c>
      <c r="N758" s="3">
        <f>M758*6600</f>
        <v>1937100</v>
      </c>
      <c r="O758" s="3">
        <v>0</v>
      </c>
      <c r="P758" s="3">
        <v>0</v>
      </c>
      <c r="Q758" s="3">
        <v>0</v>
      </c>
      <c r="R758" s="3">
        <f>Q758*3200</f>
        <v>0</v>
      </c>
      <c r="S758" s="3">
        <v>0</v>
      </c>
      <c r="T758" s="3">
        <v>0</v>
      </c>
      <c r="U758" s="3">
        <v>0</v>
      </c>
      <c r="V758" s="5">
        <f>N758/M758</f>
        <v>6600</v>
      </c>
    </row>
    <row r="759" spans="1:22" ht="25.15" customHeight="1" x14ac:dyDescent="0.25">
      <c r="A759" s="21" t="s">
        <v>1607</v>
      </c>
      <c r="B759" s="1" t="s">
        <v>119</v>
      </c>
      <c r="C759" s="2">
        <f>D759+L759+N759+P759+R759+S759+T759+U759</f>
        <v>3960250</v>
      </c>
      <c r="D759" s="3">
        <f>SUM(E759:J759)</f>
        <v>0</v>
      </c>
      <c r="E759" s="3">
        <v>0</v>
      </c>
      <c r="F759" s="3">
        <v>0</v>
      </c>
      <c r="G759" s="3">
        <v>0</v>
      </c>
      <c r="H759" s="3">
        <v>0</v>
      </c>
      <c r="I759" s="3">
        <v>0</v>
      </c>
      <c r="J759" s="3">
        <v>0</v>
      </c>
      <c r="K759" s="14">
        <v>0</v>
      </c>
      <c r="L759" s="13">
        <v>0</v>
      </c>
      <c r="M759" s="13">
        <v>471.25</v>
      </c>
      <c r="N759" s="13">
        <f>M759*6600</f>
        <v>3110250</v>
      </c>
      <c r="O759" s="13">
        <v>0</v>
      </c>
      <c r="P759" s="13">
        <v>0</v>
      </c>
      <c r="Q759" s="13">
        <v>0</v>
      </c>
      <c r="R759" s="13">
        <v>0</v>
      </c>
      <c r="S759" s="13">
        <v>0</v>
      </c>
      <c r="T759" s="13">
        <v>0</v>
      </c>
      <c r="U759" s="13">
        <v>850000</v>
      </c>
      <c r="V759" s="5">
        <f>N759/M759</f>
        <v>6600</v>
      </c>
    </row>
    <row r="760" spans="1:22" ht="25.15" customHeight="1" x14ac:dyDescent="0.25">
      <c r="A760" s="21" t="s">
        <v>1608</v>
      </c>
      <c r="B760" s="1" t="s">
        <v>1179</v>
      </c>
      <c r="C760" s="2">
        <f>D760+L760+N760+P760+R760+S760+T760+U760</f>
        <v>300000</v>
      </c>
      <c r="D760" s="3">
        <f>SUM(E760:J760)</f>
        <v>0</v>
      </c>
      <c r="E760" s="3">
        <v>0</v>
      </c>
      <c r="F760" s="3">
        <v>0</v>
      </c>
      <c r="G760" s="3">
        <v>0</v>
      </c>
      <c r="H760" s="3">
        <v>0</v>
      </c>
      <c r="I760" s="3">
        <v>0</v>
      </c>
      <c r="J760" s="3">
        <v>0</v>
      </c>
      <c r="K760" s="4">
        <v>0</v>
      </c>
      <c r="L760" s="3">
        <v>0</v>
      </c>
      <c r="M760" s="13">
        <v>0</v>
      </c>
      <c r="N760" s="3">
        <v>0</v>
      </c>
      <c r="O760" s="3">
        <v>0</v>
      </c>
      <c r="P760" s="3">
        <v>0</v>
      </c>
      <c r="Q760" s="3">
        <v>0</v>
      </c>
      <c r="R760" s="3">
        <f>Q760*3200</f>
        <v>0</v>
      </c>
      <c r="S760" s="3">
        <v>0</v>
      </c>
      <c r="T760" s="3">
        <v>0</v>
      </c>
      <c r="U760" s="3">
        <v>300000</v>
      </c>
    </row>
    <row r="761" spans="1:22" ht="25.15" customHeight="1" x14ac:dyDescent="0.25">
      <c r="A761" s="21" t="s">
        <v>1609</v>
      </c>
      <c r="B761" s="1" t="s">
        <v>989</v>
      </c>
      <c r="C761" s="2">
        <f>D761+L761+N761+P761+R761+S761+T761+U761</f>
        <v>300000</v>
      </c>
      <c r="D761" s="3">
        <f>SUM(E761:J761)</f>
        <v>0</v>
      </c>
      <c r="E761" s="3">
        <v>0</v>
      </c>
      <c r="F761" s="3">
        <v>0</v>
      </c>
      <c r="G761" s="3">
        <v>0</v>
      </c>
      <c r="H761" s="3">
        <v>0</v>
      </c>
      <c r="I761" s="3">
        <v>0</v>
      </c>
      <c r="J761" s="3">
        <v>0</v>
      </c>
      <c r="K761" s="4">
        <v>0</v>
      </c>
      <c r="L761" s="3">
        <v>0</v>
      </c>
      <c r="M761" s="13">
        <v>0</v>
      </c>
      <c r="N761" s="3">
        <v>0</v>
      </c>
      <c r="O761" s="3">
        <v>0</v>
      </c>
      <c r="P761" s="3">
        <v>0</v>
      </c>
      <c r="Q761" s="3">
        <v>0</v>
      </c>
      <c r="R761" s="3">
        <f>Q761*3200</f>
        <v>0</v>
      </c>
      <c r="S761" s="3">
        <v>0</v>
      </c>
      <c r="T761" s="3">
        <v>0</v>
      </c>
      <c r="U761" s="3">
        <v>300000</v>
      </c>
    </row>
    <row r="762" spans="1:22" ht="40.15" customHeight="1" x14ac:dyDescent="0.25">
      <c r="A762" s="51" t="s">
        <v>124</v>
      </c>
      <c r="B762" s="51"/>
      <c r="C762" s="2">
        <f t="shared" ref="C762:U762" si="190">SUM(C763)</f>
        <v>2389200</v>
      </c>
      <c r="D762" s="2">
        <f t="shared" si="190"/>
        <v>0</v>
      </c>
      <c r="E762" s="2">
        <f t="shared" si="190"/>
        <v>0</v>
      </c>
      <c r="F762" s="2">
        <f t="shared" si="190"/>
        <v>0</v>
      </c>
      <c r="G762" s="2">
        <f t="shared" si="190"/>
        <v>0</v>
      </c>
      <c r="H762" s="2">
        <f t="shared" si="190"/>
        <v>0</v>
      </c>
      <c r="I762" s="2">
        <f t="shared" si="190"/>
        <v>0</v>
      </c>
      <c r="J762" s="2">
        <f t="shared" si="190"/>
        <v>0</v>
      </c>
      <c r="K762" s="18">
        <f t="shared" si="190"/>
        <v>0</v>
      </c>
      <c r="L762" s="2">
        <f t="shared" si="190"/>
        <v>0</v>
      </c>
      <c r="M762" s="2">
        <f t="shared" si="190"/>
        <v>362</v>
      </c>
      <c r="N762" s="2">
        <f t="shared" si="190"/>
        <v>2389200</v>
      </c>
      <c r="O762" s="2">
        <f t="shared" si="190"/>
        <v>0</v>
      </c>
      <c r="P762" s="2">
        <f t="shared" si="190"/>
        <v>0</v>
      </c>
      <c r="Q762" s="2">
        <f t="shared" si="190"/>
        <v>0</v>
      </c>
      <c r="R762" s="2">
        <f t="shared" si="190"/>
        <v>0</v>
      </c>
      <c r="S762" s="2">
        <f t="shared" si="190"/>
        <v>0</v>
      </c>
      <c r="T762" s="2">
        <f t="shared" si="190"/>
        <v>0</v>
      </c>
      <c r="U762" s="2">
        <f t="shared" si="190"/>
        <v>0</v>
      </c>
    </row>
    <row r="763" spans="1:22" ht="25.15" customHeight="1" x14ac:dyDescent="0.25">
      <c r="A763" s="21" t="s">
        <v>1610</v>
      </c>
      <c r="B763" s="28" t="s">
        <v>123</v>
      </c>
      <c r="C763" s="2">
        <f>D763+L763+N763+P763+R763+S763+T763+U763</f>
        <v>2389200</v>
      </c>
      <c r="D763" s="3">
        <f>SUM(E763:J763)</f>
        <v>0</v>
      </c>
      <c r="E763" s="3">
        <v>0</v>
      </c>
      <c r="F763" s="3">
        <v>0</v>
      </c>
      <c r="G763" s="3">
        <v>0</v>
      </c>
      <c r="H763" s="3">
        <v>0</v>
      </c>
      <c r="I763" s="3">
        <v>0</v>
      </c>
      <c r="J763" s="3">
        <v>0</v>
      </c>
      <c r="K763" s="4">
        <v>0</v>
      </c>
      <c r="L763" s="3">
        <v>0</v>
      </c>
      <c r="M763" s="3">
        <v>362</v>
      </c>
      <c r="N763" s="3">
        <f>M763*6600</f>
        <v>2389200</v>
      </c>
      <c r="O763" s="3">
        <v>0</v>
      </c>
      <c r="P763" s="3">
        <v>0</v>
      </c>
      <c r="Q763" s="3">
        <v>0</v>
      </c>
      <c r="R763" s="3">
        <f>Q763*3200</f>
        <v>0</v>
      </c>
      <c r="S763" s="3">
        <v>0</v>
      </c>
      <c r="T763" s="3">
        <v>0</v>
      </c>
      <c r="U763" s="3">
        <v>0</v>
      </c>
      <c r="V763" s="5">
        <f>N763/M763</f>
        <v>6600</v>
      </c>
    </row>
    <row r="764" spans="1:22" ht="40.15" customHeight="1" x14ac:dyDescent="0.25">
      <c r="A764" s="51" t="s">
        <v>845</v>
      </c>
      <c r="B764" s="51"/>
      <c r="C764" s="2">
        <f t="shared" ref="C764:U764" si="191">SUM(C765)</f>
        <v>11811440</v>
      </c>
      <c r="D764" s="2">
        <f t="shared" si="191"/>
        <v>3330000</v>
      </c>
      <c r="E764" s="2">
        <f t="shared" si="191"/>
        <v>777000</v>
      </c>
      <c r="F764" s="2">
        <f t="shared" si="191"/>
        <v>1443000</v>
      </c>
      <c r="G764" s="2">
        <f t="shared" si="191"/>
        <v>333000</v>
      </c>
      <c r="H764" s="2">
        <f t="shared" si="191"/>
        <v>444000</v>
      </c>
      <c r="I764" s="2">
        <f t="shared" si="191"/>
        <v>333000</v>
      </c>
      <c r="J764" s="2">
        <f t="shared" si="191"/>
        <v>0</v>
      </c>
      <c r="K764" s="18">
        <f t="shared" si="191"/>
        <v>0</v>
      </c>
      <c r="L764" s="2">
        <f t="shared" si="191"/>
        <v>0</v>
      </c>
      <c r="M764" s="2">
        <f t="shared" si="191"/>
        <v>780</v>
      </c>
      <c r="N764" s="2">
        <f t="shared" si="191"/>
        <v>5148000</v>
      </c>
      <c r="O764" s="2">
        <f t="shared" si="191"/>
        <v>0</v>
      </c>
      <c r="P764" s="2">
        <f t="shared" si="191"/>
        <v>0</v>
      </c>
      <c r="Q764" s="2">
        <f t="shared" si="191"/>
        <v>820</v>
      </c>
      <c r="R764" s="2">
        <f t="shared" si="191"/>
        <v>2624000</v>
      </c>
      <c r="S764" s="2">
        <f t="shared" si="191"/>
        <v>409440</v>
      </c>
      <c r="T764" s="2">
        <f t="shared" si="191"/>
        <v>0</v>
      </c>
      <c r="U764" s="2">
        <f t="shared" si="191"/>
        <v>300000</v>
      </c>
      <c r="V764" s="20">
        <f>C764</f>
        <v>11811440</v>
      </c>
    </row>
    <row r="765" spans="1:22" ht="25.15" customHeight="1" x14ac:dyDescent="0.25">
      <c r="A765" s="21" t="s">
        <v>1611</v>
      </c>
      <c r="B765" s="24" t="s">
        <v>846</v>
      </c>
      <c r="C765" s="2">
        <f>D765+L765+N765+P765+R765+S765+T765+U765</f>
        <v>11811440</v>
      </c>
      <c r="D765" s="3">
        <f>SUM(E765:J765)</f>
        <v>3330000</v>
      </c>
      <c r="E765" s="3">
        <f>700*1110</f>
        <v>777000</v>
      </c>
      <c r="F765" s="3">
        <f>1300*1110</f>
        <v>1443000</v>
      </c>
      <c r="G765" s="3">
        <f>300*1110</f>
        <v>333000</v>
      </c>
      <c r="H765" s="3">
        <f>400*1110</f>
        <v>444000</v>
      </c>
      <c r="I765" s="3">
        <f>300*1110</f>
        <v>333000</v>
      </c>
      <c r="J765" s="3">
        <v>0</v>
      </c>
      <c r="K765" s="4">
        <v>0</v>
      </c>
      <c r="L765" s="3">
        <v>0</v>
      </c>
      <c r="M765" s="3">
        <v>780</v>
      </c>
      <c r="N765" s="3">
        <f>M765*6600</f>
        <v>5148000</v>
      </c>
      <c r="O765" s="3">
        <v>0</v>
      </c>
      <c r="P765" s="3">
        <v>0</v>
      </c>
      <c r="Q765" s="3">
        <v>820</v>
      </c>
      <c r="R765" s="3">
        <f>Q765*3200</f>
        <v>2624000</v>
      </c>
      <c r="S765" s="3">
        <v>409440</v>
      </c>
      <c r="T765" s="3">
        <v>0</v>
      </c>
      <c r="U765" s="3">
        <v>300000</v>
      </c>
      <c r="V765" s="5">
        <f>N765/M765</f>
        <v>6600</v>
      </c>
    </row>
    <row r="766" spans="1:22" ht="40.15" customHeight="1" x14ac:dyDescent="0.25">
      <c r="A766" s="51" t="s">
        <v>127</v>
      </c>
      <c r="B766" s="51"/>
      <c r="C766" s="2">
        <f t="shared" ref="C766:U766" si="192">SUM(C767)</f>
        <v>6210420</v>
      </c>
      <c r="D766" s="2">
        <f t="shared" si="192"/>
        <v>0</v>
      </c>
      <c r="E766" s="2">
        <f t="shared" si="192"/>
        <v>0</v>
      </c>
      <c r="F766" s="2">
        <f t="shared" si="192"/>
        <v>0</v>
      </c>
      <c r="G766" s="2">
        <f t="shared" si="192"/>
        <v>0</v>
      </c>
      <c r="H766" s="2">
        <f t="shared" si="192"/>
        <v>0</v>
      </c>
      <c r="I766" s="2">
        <f t="shared" si="192"/>
        <v>0</v>
      </c>
      <c r="J766" s="2">
        <f t="shared" si="192"/>
        <v>0</v>
      </c>
      <c r="K766" s="18">
        <f t="shared" si="192"/>
        <v>0</v>
      </c>
      <c r="L766" s="2">
        <f t="shared" si="192"/>
        <v>0</v>
      </c>
      <c r="M766" s="2">
        <f t="shared" si="192"/>
        <v>1395.6</v>
      </c>
      <c r="N766" s="2">
        <f t="shared" si="192"/>
        <v>6210420</v>
      </c>
      <c r="O766" s="2">
        <f t="shared" si="192"/>
        <v>0</v>
      </c>
      <c r="P766" s="2">
        <f t="shared" si="192"/>
        <v>0</v>
      </c>
      <c r="Q766" s="2">
        <f t="shared" si="192"/>
        <v>0</v>
      </c>
      <c r="R766" s="2">
        <f t="shared" si="192"/>
        <v>0</v>
      </c>
      <c r="S766" s="2">
        <f t="shared" si="192"/>
        <v>0</v>
      </c>
      <c r="T766" s="2">
        <f t="shared" si="192"/>
        <v>0</v>
      </c>
      <c r="U766" s="2">
        <f t="shared" si="192"/>
        <v>0</v>
      </c>
    </row>
    <row r="767" spans="1:22" ht="25.15" customHeight="1" x14ac:dyDescent="0.25">
      <c r="A767" s="21" t="s">
        <v>1612</v>
      </c>
      <c r="B767" s="24" t="s">
        <v>1180</v>
      </c>
      <c r="C767" s="2">
        <f>D767+L767+N767+P767+R767+S767+T767+U767</f>
        <v>6210420</v>
      </c>
      <c r="D767" s="3">
        <f>SUM(E767:J767)</f>
        <v>0</v>
      </c>
      <c r="E767" s="3">
        <v>0</v>
      </c>
      <c r="F767" s="3">
        <v>0</v>
      </c>
      <c r="G767" s="3">
        <v>0</v>
      </c>
      <c r="H767" s="3">
        <v>0</v>
      </c>
      <c r="I767" s="3">
        <v>0</v>
      </c>
      <c r="J767" s="3">
        <v>0</v>
      </c>
      <c r="K767" s="4">
        <v>0</v>
      </c>
      <c r="L767" s="3">
        <v>0</v>
      </c>
      <c r="M767" s="3">
        <v>1395.6</v>
      </c>
      <c r="N767" s="3">
        <f>M767*4450</f>
        <v>6210420</v>
      </c>
      <c r="O767" s="3">
        <v>0</v>
      </c>
      <c r="P767" s="3">
        <v>0</v>
      </c>
      <c r="Q767" s="3">
        <v>0</v>
      </c>
      <c r="R767" s="3">
        <f>Q767*3200</f>
        <v>0</v>
      </c>
      <c r="S767" s="3">
        <v>0</v>
      </c>
      <c r="T767" s="3">
        <v>0</v>
      </c>
      <c r="U767" s="3">
        <v>0</v>
      </c>
      <c r="V767" s="5">
        <f>N767/M767</f>
        <v>4450</v>
      </c>
    </row>
    <row r="768" spans="1:22" ht="40.15" customHeight="1" x14ac:dyDescent="0.25">
      <c r="A768" s="51" t="s">
        <v>915</v>
      </c>
      <c r="B768" s="51"/>
      <c r="C768" s="2">
        <f t="shared" ref="C768:U768" si="193">SUM(C769)</f>
        <v>1914000</v>
      </c>
      <c r="D768" s="2">
        <f t="shared" si="193"/>
        <v>0</v>
      </c>
      <c r="E768" s="2">
        <f t="shared" si="193"/>
        <v>0</v>
      </c>
      <c r="F768" s="2">
        <f t="shared" si="193"/>
        <v>0</v>
      </c>
      <c r="G768" s="2">
        <f t="shared" si="193"/>
        <v>0</v>
      </c>
      <c r="H768" s="2">
        <f t="shared" si="193"/>
        <v>0</v>
      </c>
      <c r="I768" s="2">
        <f t="shared" si="193"/>
        <v>0</v>
      </c>
      <c r="J768" s="2">
        <f t="shared" si="193"/>
        <v>0</v>
      </c>
      <c r="K768" s="18">
        <f t="shared" si="193"/>
        <v>0</v>
      </c>
      <c r="L768" s="2">
        <f t="shared" si="193"/>
        <v>0</v>
      </c>
      <c r="M768" s="2">
        <f t="shared" si="193"/>
        <v>290</v>
      </c>
      <c r="N768" s="2">
        <f t="shared" si="193"/>
        <v>1914000</v>
      </c>
      <c r="O768" s="2">
        <f t="shared" si="193"/>
        <v>0</v>
      </c>
      <c r="P768" s="2">
        <f t="shared" si="193"/>
        <v>0</v>
      </c>
      <c r="Q768" s="2">
        <f t="shared" si="193"/>
        <v>0</v>
      </c>
      <c r="R768" s="2">
        <f t="shared" si="193"/>
        <v>0</v>
      </c>
      <c r="S768" s="2">
        <f t="shared" si="193"/>
        <v>0</v>
      </c>
      <c r="T768" s="2">
        <f t="shared" si="193"/>
        <v>0</v>
      </c>
      <c r="U768" s="2">
        <f t="shared" si="193"/>
        <v>0</v>
      </c>
      <c r="V768" s="20">
        <f>C768</f>
        <v>1914000</v>
      </c>
    </row>
    <row r="769" spans="1:22" ht="25.15" customHeight="1" x14ac:dyDescent="0.25">
      <c r="A769" s="21" t="s">
        <v>1613</v>
      </c>
      <c r="B769" s="24" t="s">
        <v>1807</v>
      </c>
      <c r="C769" s="2">
        <f>D769+L769+N769+P769+R769+S769+T769+U769</f>
        <v>1914000</v>
      </c>
      <c r="D769" s="3">
        <f>SUM(E769:J769)</f>
        <v>0</v>
      </c>
      <c r="E769" s="3">
        <v>0</v>
      </c>
      <c r="F769" s="3">
        <v>0</v>
      </c>
      <c r="G769" s="3">
        <v>0</v>
      </c>
      <c r="H769" s="3">
        <v>0</v>
      </c>
      <c r="I769" s="3">
        <v>0</v>
      </c>
      <c r="J769" s="3">
        <v>0</v>
      </c>
      <c r="K769" s="4">
        <v>0</v>
      </c>
      <c r="L769" s="3">
        <v>0</v>
      </c>
      <c r="M769" s="3">
        <v>290</v>
      </c>
      <c r="N769" s="3">
        <f>M769*6600</f>
        <v>1914000</v>
      </c>
      <c r="O769" s="3">
        <v>0</v>
      </c>
      <c r="P769" s="3">
        <v>0</v>
      </c>
      <c r="Q769" s="3">
        <v>0</v>
      </c>
      <c r="R769" s="3">
        <f>Q769*3200</f>
        <v>0</v>
      </c>
      <c r="S769" s="3">
        <v>0</v>
      </c>
      <c r="T769" s="3">
        <v>0</v>
      </c>
      <c r="U769" s="3">
        <v>0</v>
      </c>
      <c r="V769" s="5">
        <f>N769/M769</f>
        <v>6600</v>
      </c>
    </row>
    <row r="770" spans="1:22" ht="45" customHeight="1" x14ac:dyDescent="0.25">
      <c r="A770" s="52" t="s">
        <v>128</v>
      </c>
      <c r="B770" s="53"/>
      <c r="C770" s="2">
        <f t="shared" ref="C770:U770" si="194">SUM(C771)</f>
        <v>1742600</v>
      </c>
      <c r="D770" s="2">
        <f t="shared" si="194"/>
        <v>0</v>
      </c>
      <c r="E770" s="2">
        <f t="shared" si="194"/>
        <v>0</v>
      </c>
      <c r="F770" s="2">
        <f t="shared" si="194"/>
        <v>0</v>
      </c>
      <c r="G770" s="2">
        <f t="shared" si="194"/>
        <v>0</v>
      </c>
      <c r="H770" s="2">
        <f t="shared" si="194"/>
        <v>0</v>
      </c>
      <c r="I770" s="2">
        <f t="shared" si="194"/>
        <v>0</v>
      </c>
      <c r="J770" s="2">
        <f t="shared" si="194"/>
        <v>0</v>
      </c>
      <c r="K770" s="18">
        <f t="shared" si="194"/>
        <v>0</v>
      </c>
      <c r="L770" s="2">
        <f t="shared" si="194"/>
        <v>0</v>
      </c>
      <c r="M770" s="2">
        <f t="shared" si="194"/>
        <v>0</v>
      </c>
      <c r="N770" s="2">
        <f t="shared" si="194"/>
        <v>0</v>
      </c>
      <c r="O770" s="2">
        <f t="shared" si="194"/>
        <v>0</v>
      </c>
      <c r="P770" s="2">
        <f t="shared" si="194"/>
        <v>0</v>
      </c>
      <c r="Q770" s="2">
        <f t="shared" si="194"/>
        <v>496</v>
      </c>
      <c r="R770" s="2">
        <f t="shared" si="194"/>
        <v>1587200</v>
      </c>
      <c r="S770" s="2">
        <f t="shared" si="194"/>
        <v>155400</v>
      </c>
      <c r="T770" s="2">
        <f t="shared" si="194"/>
        <v>0</v>
      </c>
      <c r="U770" s="2">
        <f t="shared" si="194"/>
        <v>0</v>
      </c>
      <c r="V770" s="20" t="e">
        <f>C770+#REF!</f>
        <v>#REF!</v>
      </c>
    </row>
    <row r="771" spans="1:22" ht="25.15" customHeight="1" x14ac:dyDescent="0.25">
      <c r="A771" s="21" t="s">
        <v>1614</v>
      </c>
      <c r="B771" s="24" t="s">
        <v>877</v>
      </c>
      <c r="C771" s="2">
        <f>D771+L771+N771+P771+R771+S771+T771+U771</f>
        <v>1742600</v>
      </c>
      <c r="D771" s="3">
        <f>SUM(E771:J771)</f>
        <v>0</v>
      </c>
      <c r="E771" s="3">
        <v>0</v>
      </c>
      <c r="F771" s="3">
        <v>0</v>
      </c>
      <c r="G771" s="3">
        <v>0</v>
      </c>
      <c r="H771" s="3">
        <v>0</v>
      </c>
      <c r="I771" s="3">
        <v>0</v>
      </c>
      <c r="J771" s="3">
        <v>0</v>
      </c>
      <c r="K771" s="4">
        <v>0</v>
      </c>
      <c r="L771" s="3">
        <v>0</v>
      </c>
      <c r="M771" s="3">
        <v>0</v>
      </c>
      <c r="N771" s="3">
        <v>0</v>
      </c>
      <c r="O771" s="3">
        <v>0</v>
      </c>
      <c r="P771" s="3">
        <v>0</v>
      </c>
      <c r="Q771" s="3">
        <v>496</v>
      </c>
      <c r="R771" s="3">
        <f>Q771*3200</f>
        <v>1587200</v>
      </c>
      <c r="S771" s="3">
        <v>155400</v>
      </c>
      <c r="T771" s="3">
        <v>0</v>
      </c>
      <c r="U771" s="3">
        <v>0</v>
      </c>
      <c r="V771" s="5" t="e">
        <f>N771/M771</f>
        <v>#DIV/0!</v>
      </c>
    </row>
    <row r="772" spans="1:22" ht="45" customHeight="1" x14ac:dyDescent="0.25">
      <c r="A772" s="51" t="s">
        <v>138</v>
      </c>
      <c r="B772" s="51"/>
      <c r="C772" s="2">
        <f t="shared" ref="C772:U772" si="195">SUM(C773:C774)</f>
        <v>600000</v>
      </c>
      <c r="D772" s="2">
        <f t="shared" si="195"/>
        <v>0</v>
      </c>
      <c r="E772" s="2">
        <f t="shared" si="195"/>
        <v>0</v>
      </c>
      <c r="F772" s="2">
        <f t="shared" si="195"/>
        <v>0</v>
      </c>
      <c r="G772" s="2">
        <f t="shared" si="195"/>
        <v>0</v>
      </c>
      <c r="H772" s="2">
        <f t="shared" si="195"/>
        <v>0</v>
      </c>
      <c r="I772" s="2">
        <f t="shared" si="195"/>
        <v>0</v>
      </c>
      <c r="J772" s="2">
        <f t="shared" si="195"/>
        <v>0</v>
      </c>
      <c r="K772" s="18">
        <f t="shared" si="195"/>
        <v>0</v>
      </c>
      <c r="L772" s="2">
        <f t="shared" si="195"/>
        <v>0</v>
      </c>
      <c r="M772" s="2">
        <f t="shared" si="195"/>
        <v>0</v>
      </c>
      <c r="N772" s="2">
        <f t="shared" si="195"/>
        <v>0</v>
      </c>
      <c r="O772" s="2">
        <f t="shared" si="195"/>
        <v>0</v>
      </c>
      <c r="P772" s="2">
        <f t="shared" si="195"/>
        <v>0</v>
      </c>
      <c r="Q772" s="2">
        <f t="shared" si="195"/>
        <v>0</v>
      </c>
      <c r="R772" s="2">
        <f t="shared" si="195"/>
        <v>0</v>
      </c>
      <c r="S772" s="2">
        <f t="shared" si="195"/>
        <v>0</v>
      </c>
      <c r="T772" s="2">
        <f t="shared" si="195"/>
        <v>0</v>
      </c>
      <c r="U772" s="2">
        <f t="shared" si="195"/>
        <v>600000</v>
      </c>
      <c r="V772" s="20">
        <f>C772</f>
        <v>600000</v>
      </c>
    </row>
    <row r="773" spans="1:22" ht="25.15" customHeight="1" x14ac:dyDescent="0.25">
      <c r="A773" s="21" t="s">
        <v>1615</v>
      </c>
      <c r="B773" s="24" t="s">
        <v>139</v>
      </c>
      <c r="C773" s="2">
        <f>D773+L773+N773+P773+R773+S773+T773+U773</f>
        <v>300000</v>
      </c>
      <c r="D773" s="3">
        <f>SUM(E773:J773)</f>
        <v>0</v>
      </c>
      <c r="E773" s="3">
        <v>0</v>
      </c>
      <c r="F773" s="3">
        <v>0</v>
      </c>
      <c r="G773" s="3">
        <v>0</v>
      </c>
      <c r="H773" s="3">
        <v>0</v>
      </c>
      <c r="I773" s="3">
        <v>0</v>
      </c>
      <c r="J773" s="3">
        <v>0</v>
      </c>
      <c r="K773" s="4">
        <v>0</v>
      </c>
      <c r="L773" s="3">
        <v>0</v>
      </c>
      <c r="M773" s="3">
        <v>0</v>
      </c>
      <c r="N773" s="3">
        <f>M773*6600</f>
        <v>0</v>
      </c>
      <c r="O773" s="3">
        <v>0</v>
      </c>
      <c r="P773" s="3">
        <v>0</v>
      </c>
      <c r="Q773" s="3">
        <v>0</v>
      </c>
      <c r="R773" s="3">
        <f>Q773*3200</f>
        <v>0</v>
      </c>
      <c r="S773" s="3">
        <v>0</v>
      </c>
      <c r="T773" s="3">
        <v>0</v>
      </c>
      <c r="U773" s="3">
        <v>300000</v>
      </c>
      <c r="V773" s="5" t="e">
        <f>N773/M773</f>
        <v>#DIV/0!</v>
      </c>
    </row>
    <row r="774" spans="1:22" ht="25.15" customHeight="1" x14ac:dyDescent="0.25">
      <c r="A774" s="21" t="s">
        <v>1616</v>
      </c>
      <c r="B774" s="24" t="s">
        <v>140</v>
      </c>
      <c r="C774" s="2">
        <f>D774+L774+N774+P774+R774+S774+T774+U774</f>
        <v>300000</v>
      </c>
      <c r="D774" s="3">
        <f>SUM(E774:J774)</f>
        <v>0</v>
      </c>
      <c r="E774" s="3">
        <v>0</v>
      </c>
      <c r="F774" s="3">
        <v>0</v>
      </c>
      <c r="G774" s="3">
        <v>0</v>
      </c>
      <c r="H774" s="3">
        <v>0</v>
      </c>
      <c r="I774" s="3">
        <v>0</v>
      </c>
      <c r="J774" s="3">
        <v>0</v>
      </c>
      <c r="K774" s="4">
        <v>0</v>
      </c>
      <c r="L774" s="3">
        <v>0</v>
      </c>
      <c r="M774" s="3">
        <v>0</v>
      </c>
      <c r="N774" s="3">
        <f>M774*6600</f>
        <v>0</v>
      </c>
      <c r="O774" s="3">
        <v>0</v>
      </c>
      <c r="P774" s="3">
        <v>0</v>
      </c>
      <c r="Q774" s="3">
        <v>0</v>
      </c>
      <c r="R774" s="3">
        <f>Q774*3200</f>
        <v>0</v>
      </c>
      <c r="S774" s="3">
        <v>0</v>
      </c>
      <c r="T774" s="3">
        <v>0</v>
      </c>
      <c r="U774" s="3">
        <v>300000</v>
      </c>
      <c r="V774" s="5" t="e">
        <f>N774/M774</f>
        <v>#DIV/0!</v>
      </c>
    </row>
    <row r="775" spans="1:22" ht="45" customHeight="1" x14ac:dyDescent="0.25">
      <c r="A775" s="51" t="s">
        <v>142</v>
      </c>
      <c r="B775" s="51"/>
      <c r="C775" s="2">
        <f t="shared" ref="C775:U775" si="196">SUM(C776)</f>
        <v>4123023</v>
      </c>
      <c r="D775" s="2">
        <f t="shared" si="196"/>
        <v>223559</v>
      </c>
      <c r="E775" s="2">
        <f t="shared" si="196"/>
        <v>223559</v>
      </c>
      <c r="F775" s="2">
        <f t="shared" si="196"/>
        <v>0</v>
      </c>
      <c r="G775" s="2">
        <f t="shared" si="196"/>
        <v>0</v>
      </c>
      <c r="H775" s="2">
        <f t="shared" si="196"/>
        <v>0</v>
      </c>
      <c r="I775" s="2">
        <f t="shared" si="196"/>
        <v>0</v>
      </c>
      <c r="J775" s="2">
        <f t="shared" si="196"/>
        <v>0</v>
      </c>
      <c r="K775" s="18">
        <f t="shared" si="196"/>
        <v>0</v>
      </c>
      <c r="L775" s="2">
        <f t="shared" si="196"/>
        <v>0</v>
      </c>
      <c r="M775" s="2">
        <f t="shared" si="196"/>
        <v>283</v>
      </c>
      <c r="N775" s="2">
        <f t="shared" si="196"/>
        <v>1867800</v>
      </c>
      <c r="O775" s="2">
        <f t="shared" si="196"/>
        <v>126.2</v>
      </c>
      <c r="P775" s="2">
        <f t="shared" si="196"/>
        <v>151440</v>
      </c>
      <c r="Q775" s="2">
        <f t="shared" si="196"/>
        <v>493.82</v>
      </c>
      <c r="R775" s="2">
        <f t="shared" si="196"/>
        <v>1580224</v>
      </c>
      <c r="S775" s="2">
        <f t="shared" si="196"/>
        <v>0</v>
      </c>
      <c r="T775" s="2">
        <f t="shared" si="196"/>
        <v>0</v>
      </c>
      <c r="U775" s="2">
        <f t="shared" si="196"/>
        <v>300000</v>
      </c>
      <c r="V775" s="20">
        <f>C775</f>
        <v>4123023</v>
      </c>
    </row>
    <row r="776" spans="1:22" ht="25.15" customHeight="1" x14ac:dyDescent="0.25">
      <c r="A776" s="21" t="s">
        <v>1617</v>
      </c>
      <c r="B776" s="35" t="s">
        <v>143</v>
      </c>
      <c r="C776" s="2">
        <f>D776+L776+N776+P776+R776+S776+T776+U776</f>
        <v>4123023</v>
      </c>
      <c r="D776" s="3">
        <f>SUM(E776:J776)</f>
        <v>223559</v>
      </c>
      <c r="E776" s="3">
        <f>700*319.37</f>
        <v>223559</v>
      </c>
      <c r="F776" s="3">
        <v>0</v>
      </c>
      <c r="G776" s="3">
        <v>0</v>
      </c>
      <c r="H776" s="3">
        <v>0</v>
      </c>
      <c r="I776" s="3">
        <v>0</v>
      </c>
      <c r="J776" s="3">
        <v>0</v>
      </c>
      <c r="K776" s="4">
        <v>0</v>
      </c>
      <c r="L776" s="3">
        <v>0</v>
      </c>
      <c r="M776" s="3">
        <v>283</v>
      </c>
      <c r="N776" s="3">
        <f>M776*6600</f>
        <v>1867800</v>
      </c>
      <c r="O776" s="3">
        <v>126.2</v>
      </c>
      <c r="P776" s="3">
        <f>O776*1200</f>
        <v>151440</v>
      </c>
      <c r="Q776" s="3">
        <v>493.82</v>
      </c>
      <c r="R776" s="3">
        <f>Q776*3200</f>
        <v>1580224</v>
      </c>
      <c r="S776" s="3">
        <v>0</v>
      </c>
      <c r="T776" s="3">
        <v>0</v>
      </c>
      <c r="U776" s="3">
        <v>300000</v>
      </c>
      <c r="V776" s="5">
        <f>N776/M776</f>
        <v>6600</v>
      </c>
    </row>
    <row r="777" spans="1:22" ht="45" customHeight="1" x14ac:dyDescent="0.25">
      <c r="A777" s="51" t="s">
        <v>144</v>
      </c>
      <c r="B777" s="51"/>
      <c r="C777" s="2">
        <f t="shared" ref="C777:U777" si="197">SUM(C778:C783)</f>
        <v>26229114</v>
      </c>
      <c r="D777" s="2">
        <f t="shared" si="197"/>
        <v>0</v>
      </c>
      <c r="E777" s="2">
        <f t="shared" si="197"/>
        <v>0</v>
      </c>
      <c r="F777" s="2">
        <f t="shared" si="197"/>
        <v>0</v>
      </c>
      <c r="G777" s="2">
        <f t="shared" si="197"/>
        <v>0</v>
      </c>
      <c r="H777" s="2">
        <f t="shared" si="197"/>
        <v>0</v>
      </c>
      <c r="I777" s="2">
        <f t="shared" si="197"/>
        <v>0</v>
      </c>
      <c r="J777" s="2">
        <f t="shared" si="197"/>
        <v>0</v>
      </c>
      <c r="K777" s="18">
        <f t="shared" si="197"/>
        <v>0</v>
      </c>
      <c r="L777" s="2">
        <f t="shared" si="197"/>
        <v>0</v>
      </c>
      <c r="M777" s="2">
        <f t="shared" si="197"/>
        <v>3112.2900000000004</v>
      </c>
      <c r="N777" s="2">
        <f t="shared" si="197"/>
        <v>20541114</v>
      </c>
      <c r="O777" s="2">
        <f t="shared" si="197"/>
        <v>0</v>
      </c>
      <c r="P777" s="2">
        <f t="shared" si="197"/>
        <v>0</v>
      </c>
      <c r="Q777" s="2">
        <f t="shared" si="197"/>
        <v>1777.5</v>
      </c>
      <c r="R777" s="2">
        <f t="shared" si="197"/>
        <v>5688000</v>
      </c>
      <c r="S777" s="2">
        <f t="shared" si="197"/>
        <v>0</v>
      </c>
      <c r="T777" s="2">
        <f t="shared" si="197"/>
        <v>0</v>
      </c>
      <c r="U777" s="2">
        <f t="shared" si="197"/>
        <v>0</v>
      </c>
    </row>
    <row r="778" spans="1:22" ht="25.15" customHeight="1" x14ac:dyDescent="0.25">
      <c r="A778" s="21" t="s">
        <v>1618</v>
      </c>
      <c r="B778" s="24" t="s">
        <v>1955</v>
      </c>
      <c r="C778" s="2">
        <f t="shared" ref="C778:C783" si="198">D778+L778+N778+P778+R778+S778+T778+U778</f>
        <v>2864400</v>
      </c>
      <c r="D778" s="3">
        <f t="shared" ref="D778:D783" si="199">SUM(E778:J778)</f>
        <v>0</v>
      </c>
      <c r="E778" s="3">
        <v>0</v>
      </c>
      <c r="F778" s="3">
        <v>0</v>
      </c>
      <c r="G778" s="3">
        <v>0</v>
      </c>
      <c r="H778" s="3">
        <v>0</v>
      </c>
      <c r="I778" s="3">
        <v>0</v>
      </c>
      <c r="J778" s="3">
        <v>0</v>
      </c>
      <c r="K778" s="4">
        <v>0</v>
      </c>
      <c r="L778" s="3">
        <v>0</v>
      </c>
      <c r="M778" s="3">
        <v>434</v>
      </c>
      <c r="N778" s="3">
        <f t="shared" ref="N778:N783" si="200">M778*6600</f>
        <v>2864400</v>
      </c>
      <c r="O778" s="3">
        <v>0</v>
      </c>
      <c r="P778" s="3">
        <v>0</v>
      </c>
      <c r="Q778" s="3">
        <v>0</v>
      </c>
      <c r="R778" s="3">
        <v>0</v>
      </c>
      <c r="S778" s="3">
        <v>0</v>
      </c>
      <c r="T778" s="3">
        <v>0</v>
      </c>
      <c r="U778" s="3">
        <v>0</v>
      </c>
      <c r="V778" s="5">
        <f t="shared" ref="V778:V783" si="201">N778/M778</f>
        <v>6600</v>
      </c>
    </row>
    <row r="779" spans="1:22" ht="25.15" customHeight="1" x14ac:dyDescent="0.25">
      <c r="A779" s="21" t="s">
        <v>1619</v>
      </c>
      <c r="B779" s="24" t="s">
        <v>1956</v>
      </c>
      <c r="C779" s="2">
        <f t="shared" si="198"/>
        <v>2864400</v>
      </c>
      <c r="D779" s="3">
        <f t="shared" si="199"/>
        <v>0</v>
      </c>
      <c r="E779" s="3">
        <v>0</v>
      </c>
      <c r="F779" s="3">
        <v>0</v>
      </c>
      <c r="G779" s="3">
        <v>0</v>
      </c>
      <c r="H779" s="3">
        <v>0</v>
      </c>
      <c r="I779" s="3">
        <v>0</v>
      </c>
      <c r="J779" s="3">
        <v>0</v>
      </c>
      <c r="K779" s="4">
        <v>0</v>
      </c>
      <c r="L779" s="3">
        <v>0</v>
      </c>
      <c r="M779" s="3">
        <v>434</v>
      </c>
      <c r="N779" s="3">
        <f t="shared" si="200"/>
        <v>2864400</v>
      </c>
      <c r="O779" s="3">
        <v>0</v>
      </c>
      <c r="P779" s="3">
        <v>0</v>
      </c>
      <c r="Q779" s="3">
        <v>0</v>
      </c>
      <c r="R779" s="3">
        <v>0</v>
      </c>
      <c r="S779" s="3">
        <v>0</v>
      </c>
      <c r="T779" s="3">
        <v>0</v>
      </c>
      <c r="U779" s="3">
        <v>0</v>
      </c>
      <c r="V779" s="5">
        <f t="shared" si="201"/>
        <v>6600</v>
      </c>
    </row>
    <row r="780" spans="1:22" ht="25.15" customHeight="1" x14ac:dyDescent="0.25">
      <c r="A780" s="21" t="s">
        <v>1620</v>
      </c>
      <c r="B780" s="24" t="s">
        <v>1957</v>
      </c>
      <c r="C780" s="2">
        <f t="shared" si="198"/>
        <v>2760120</v>
      </c>
      <c r="D780" s="3">
        <f t="shared" si="199"/>
        <v>0</v>
      </c>
      <c r="E780" s="3">
        <v>0</v>
      </c>
      <c r="F780" s="3">
        <v>0</v>
      </c>
      <c r="G780" s="3">
        <v>0</v>
      </c>
      <c r="H780" s="3">
        <v>0</v>
      </c>
      <c r="I780" s="3">
        <v>0</v>
      </c>
      <c r="J780" s="3">
        <v>0</v>
      </c>
      <c r="K780" s="4">
        <v>0</v>
      </c>
      <c r="L780" s="3">
        <v>0</v>
      </c>
      <c r="M780" s="3">
        <v>418.2</v>
      </c>
      <c r="N780" s="3">
        <f t="shared" si="200"/>
        <v>2760120</v>
      </c>
      <c r="O780" s="3">
        <v>0</v>
      </c>
      <c r="P780" s="3">
        <v>0</v>
      </c>
      <c r="Q780" s="3">
        <v>0</v>
      </c>
      <c r="R780" s="3">
        <v>0</v>
      </c>
      <c r="S780" s="3">
        <v>0</v>
      </c>
      <c r="T780" s="3">
        <v>0</v>
      </c>
      <c r="U780" s="3">
        <v>0</v>
      </c>
      <c r="V780" s="5">
        <f t="shared" si="201"/>
        <v>6600</v>
      </c>
    </row>
    <row r="781" spans="1:22" ht="25.15" customHeight="1" x14ac:dyDescent="0.25">
      <c r="A781" s="21" t="s">
        <v>1621</v>
      </c>
      <c r="B781" s="24" t="s">
        <v>145</v>
      </c>
      <c r="C781" s="2">
        <f t="shared" si="198"/>
        <v>11342154</v>
      </c>
      <c r="D781" s="3">
        <f t="shared" si="199"/>
        <v>0</v>
      </c>
      <c r="E781" s="3">
        <v>0</v>
      </c>
      <c r="F781" s="3">
        <v>0</v>
      </c>
      <c r="G781" s="3">
        <v>0</v>
      </c>
      <c r="H781" s="3">
        <v>0</v>
      </c>
      <c r="I781" s="3">
        <v>0</v>
      </c>
      <c r="J781" s="3">
        <v>0</v>
      </c>
      <c r="K781" s="4">
        <v>0</v>
      </c>
      <c r="L781" s="3">
        <v>0</v>
      </c>
      <c r="M781" s="3">
        <v>856.69</v>
      </c>
      <c r="N781" s="3">
        <f t="shared" si="200"/>
        <v>5654154</v>
      </c>
      <c r="O781" s="3">
        <v>0</v>
      </c>
      <c r="P781" s="3">
        <v>0</v>
      </c>
      <c r="Q781" s="3">
        <v>1777.5</v>
      </c>
      <c r="R781" s="3">
        <f>Q781*3200</f>
        <v>5688000</v>
      </c>
      <c r="S781" s="3">
        <v>0</v>
      </c>
      <c r="T781" s="3">
        <v>0</v>
      </c>
      <c r="U781" s="3">
        <v>0</v>
      </c>
      <c r="V781" s="5">
        <f t="shared" si="201"/>
        <v>6600</v>
      </c>
    </row>
    <row r="782" spans="1:22" ht="25.15" customHeight="1" x14ac:dyDescent="0.25">
      <c r="A782" s="21" t="s">
        <v>1622</v>
      </c>
      <c r="B782" s="24" t="s">
        <v>147</v>
      </c>
      <c r="C782" s="2">
        <f t="shared" si="198"/>
        <v>3418800</v>
      </c>
      <c r="D782" s="3">
        <f t="shared" si="199"/>
        <v>0</v>
      </c>
      <c r="E782" s="3">
        <v>0</v>
      </c>
      <c r="F782" s="3">
        <v>0</v>
      </c>
      <c r="G782" s="3">
        <v>0</v>
      </c>
      <c r="H782" s="3">
        <v>0</v>
      </c>
      <c r="I782" s="3">
        <v>0</v>
      </c>
      <c r="J782" s="3">
        <v>0</v>
      </c>
      <c r="K782" s="4">
        <v>0</v>
      </c>
      <c r="L782" s="3">
        <v>0</v>
      </c>
      <c r="M782" s="3">
        <v>518</v>
      </c>
      <c r="N782" s="3">
        <f t="shared" si="200"/>
        <v>3418800</v>
      </c>
      <c r="O782" s="3">
        <v>0</v>
      </c>
      <c r="P782" s="3">
        <v>0</v>
      </c>
      <c r="Q782" s="3">
        <v>0</v>
      </c>
      <c r="R782" s="3">
        <f>Q782*3200</f>
        <v>0</v>
      </c>
      <c r="S782" s="3">
        <v>0</v>
      </c>
      <c r="T782" s="3">
        <v>0</v>
      </c>
      <c r="U782" s="3">
        <v>0</v>
      </c>
      <c r="V782" s="5">
        <f t="shared" si="201"/>
        <v>6600</v>
      </c>
    </row>
    <row r="783" spans="1:22" ht="25.15" customHeight="1" x14ac:dyDescent="0.25">
      <c r="A783" s="21" t="s">
        <v>1623</v>
      </c>
      <c r="B783" s="24" t="s">
        <v>1189</v>
      </c>
      <c r="C783" s="2">
        <f t="shared" si="198"/>
        <v>2979240</v>
      </c>
      <c r="D783" s="3">
        <f t="shared" si="199"/>
        <v>0</v>
      </c>
      <c r="E783" s="3">
        <v>0</v>
      </c>
      <c r="F783" s="3">
        <v>0</v>
      </c>
      <c r="G783" s="3">
        <v>0</v>
      </c>
      <c r="H783" s="3">
        <v>0</v>
      </c>
      <c r="I783" s="3">
        <v>0</v>
      </c>
      <c r="J783" s="3">
        <v>0</v>
      </c>
      <c r="K783" s="4">
        <v>0</v>
      </c>
      <c r="L783" s="3">
        <v>0</v>
      </c>
      <c r="M783" s="3">
        <v>451.4</v>
      </c>
      <c r="N783" s="3">
        <f t="shared" si="200"/>
        <v>2979240</v>
      </c>
      <c r="O783" s="3">
        <v>0</v>
      </c>
      <c r="P783" s="3">
        <v>0</v>
      </c>
      <c r="Q783" s="3">
        <v>0</v>
      </c>
      <c r="R783" s="3">
        <f>Q783*3200</f>
        <v>0</v>
      </c>
      <c r="S783" s="3">
        <v>0</v>
      </c>
      <c r="T783" s="3">
        <v>0</v>
      </c>
      <c r="U783" s="3">
        <v>0</v>
      </c>
      <c r="V783" s="5">
        <f t="shared" si="201"/>
        <v>6600</v>
      </c>
    </row>
    <row r="784" spans="1:22" ht="45" customHeight="1" x14ac:dyDescent="0.25">
      <c r="A784" s="51" t="s">
        <v>925</v>
      </c>
      <c r="B784" s="51"/>
      <c r="C784" s="2">
        <f t="shared" ref="C784:U784" si="202">SUM(C785)</f>
        <v>1764180</v>
      </c>
      <c r="D784" s="2">
        <f t="shared" si="202"/>
        <v>0</v>
      </c>
      <c r="E784" s="2">
        <f t="shared" si="202"/>
        <v>0</v>
      </c>
      <c r="F784" s="2">
        <f t="shared" si="202"/>
        <v>0</v>
      </c>
      <c r="G784" s="2">
        <f t="shared" si="202"/>
        <v>0</v>
      </c>
      <c r="H784" s="2">
        <f t="shared" si="202"/>
        <v>0</v>
      </c>
      <c r="I784" s="2">
        <f t="shared" si="202"/>
        <v>0</v>
      </c>
      <c r="J784" s="2">
        <f t="shared" si="202"/>
        <v>0</v>
      </c>
      <c r="K784" s="18">
        <f t="shared" si="202"/>
        <v>0</v>
      </c>
      <c r="L784" s="2">
        <f t="shared" si="202"/>
        <v>0</v>
      </c>
      <c r="M784" s="2">
        <f t="shared" si="202"/>
        <v>267.3</v>
      </c>
      <c r="N784" s="2">
        <f t="shared" si="202"/>
        <v>1764180</v>
      </c>
      <c r="O784" s="2">
        <f t="shared" si="202"/>
        <v>0</v>
      </c>
      <c r="P784" s="2">
        <f t="shared" si="202"/>
        <v>0</v>
      </c>
      <c r="Q784" s="2">
        <f t="shared" si="202"/>
        <v>0</v>
      </c>
      <c r="R784" s="2">
        <f t="shared" si="202"/>
        <v>0</v>
      </c>
      <c r="S784" s="2">
        <f t="shared" si="202"/>
        <v>0</v>
      </c>
      <c r="T784" s="2">
        <f t="shared" si="202"/>
        <v>0</v>
      </c>
      <c r="U784" s="2">
        <f t="shared" si="202"/>
        <v>0</v>
      </c>
    </row>
    <row r="785" spans="1:22" ht="25.15" customHeight="1" x14ac:dyDescent="0.25">
      <c r="A785" s="21" t="s">
        <v>1624</v>
      </c>
      <c r="B785" s="24" t="s">
        <v>151</v>
      </c>
      <c r="C785" s="2">
        <f>D785+L785+N785+P785+R785+S785+T785+U785</f>
        <v>1764180</v>
      </c>
      <c r="D785" s="3">
        <f>SUM(E785:J785)</f>
        <v>0</v>
      </c>
      <c r="E785" s="3">
        <v>0</v>
      </c>
      <c r="F785" s="3">
        <v>0</v>
      </c>
      <c r="G785" s="3">
        <v>0</v>
      </c>
      <c r="H785" s="3">
        <v>0</v>
      </c>
      <c r="I785" s="3">
        <v>0</v>
      </c>
      <c r="J785" s="3">
        <v>0</v>
      </c>
      <c r="K785" s="4">
        <v>0</v>
      </c>
      <c r="L785" s="3">
        <v>0</v>
      </c>
      <c r="M785" s="3">
        <v>267.3</v>
      </c>
      <c r="N785" s="3">
        <f>M785*6600</f>
        <v>1764180</v>
      </c>
      <c r="O785" s="3">
        <v>0</v>
      </c>
      <c r="P785" s="3">
        <v>0</v>
      </c>
      <c r="Q785" s="3">
        <v>0</v>
      </c>
      <c r="R785" s="3">
        <f>Q785*3200</f>
        <v>0</v>
      </c>
      <c r="S785" s="3">
        <v>0</v>
      </c>
      <c r="T785" s="3">
        <v>0</v>
      </c>
      <c r="U785" s="3">
        <v>0</v>
      </c>
      <c r="V785" s="5">
        <f>N785/M785</f>
        <v>6600</v>
      </c>
    </row>
    <row r="786" spans="1:22" ht="45" customHeight="1" x14ac:dyDescent="0.25">
      <c r="A786" s="51" t="s">
        <v>1194</v>
      </c>
      <c r="B786" s="51"/>
      <c r="C786" s="2">
        <f t="shared" ref="C786:U786" si="203">SUM(C787)</f>
        <v>300000</v>
      </c>
      <c r="D786" s="2">
        <f t="shared" si="203"/>
        <v>0</v>
      </c>
      <c r="E786" s="2">
        <f t="shared" si="203"/>
        <v>0</v>
      </c>
      <c r="F786" s="2">
        <f t="shared" si="203"/>
        <v>0</v>
      </c>
      <c r="G786" s="2">
        <f t="shared" si="203"/>
        <v>0</v>
      </c>
      <c r="H786" s="2">
        <f t="shared" si="203"/>
        <v>0</v>
      </c>
      <c r="I786" s="2">
        <f t="shared" si="203"/>
        <v>0</v>
      </c>
      <c r="J786" s="2">
        <f t="shared" si="203"/>
        <v>0</v>
      </c>
      <c r="K786" s="18">
        <f t="shared" si="203"/>
        <v>0</v>
      </c>
      <c r="L786" s="2">
        <f t="shared" si="203"/>
        <v>0</v>
      </c>
      <c r="M786" s="2">
        <f t="shared" si="203"/>
        <v>0</v>
      </c>
      <c r="N786" s="2">
        <f t="shared" si="203"/>
        <v>0</v>
      </c>
      <c r="O786" s="2">
        <f t="shared" si="203"/>
        <v>0</v>
      </c>
      <c r="P786" s="2">
        <f t="shared" si="203"/>
        <v>0</v>
      </c>
      <c r="Q786" s="2">
        <f t="shared" si="203"/>
        <v>0</v>
      </c>
      <c r="R786" s="2">
        <f t="shared" si="203"/>
        <v>0</v>
      </c>
      <c r="S786" s="2">
        <f t="shared" si="203"/>
        <v>0</v>
      </c>
      <c r="T786" s="2">
        <f t="shared" si="203"/>
        <v>0</v>
      </c>
      <c r="U786" s="2">
        <f t="shared" si="203"/>
        <v>300000</v>
      </c>
    </row>
    <row r="787" spans="1:22" ht="25.15" customHeight="1" x14ac:dyDescent="0.25">
      <c r="A787" s="21" t="s">
        <v>1625</v>
      </c>
      <c r="B787" s="24" t="s">
        <v>1195</v>
      </c>
      <c r="C787" s="2">
        <f>D787+L787+N787+P787+R787+S787+T787+U787</f>
        <v>300000</v>
      </c>
      <c r="D787" s="3">
        <f>SUM(E787:J787)</f>
        <v>0</v>
      </c>
      <c r="E787" s="3">
        <v>0</v>
      </c>
      <c r="F787" s="3">
        <v>0</v>
      </c>
      <c r="G787" s="3">
        <v>0</v>
      </c>
      <c r="H787" s="3">
        <v>0</v>
      </c>
      <c r="I787" s="3">
        <v>0</v>
      </c>
      <c r="J787" s="3">
        <v>0</v>
      </c>
      <c r="K787" s="4">
        <v>0</v>
      </c>
      <c r="L787" s="3">
        <v>0</v>
      </c>
      <c r="M787" s="3">
        <v>0</v>
      </c>
      <c r="N787" s="3">
        <f>M787*6600</f>
        <v>0</v>
      </c>
      <c r="O787" s="3">
        <v>0</v>
      </c>
      <c r="P787" s="3">
        <v>0</v>
      </c>
      <c r="Q787" s="3">
        <v>0</v>
      </c>
      <c r="R787" s="3">
        <f>Q787*3200</f>
        <v>0</v>
      </c>
      <c r="S787" s="3">
        <v>0</v>
      </c>
      <c r="T787" s="3">
        <v>0</v>
      </c>
      <c r="U787" s="3">
        <v>300000</v>
      </c>
      <c r="V787" s="5" t="e">
        <f>N787/M787</f>
        <v>#DIV/0!</v>
      </c>
    </row>
    <row r="788" spans="1:22" ht="45" customHeight="1" x14ac:dyDescent="0.25">
      <c r="A788" s="51" t="s">
        <v>154</v>
      </c>
      <c r="B788" s="51"/>
      <c r="C788" s="2">
        <f>SUM(C789:C805)</f>
        <v>121433323.72</v>
      </c>
      <c r="D788" s="2">
        <f t="shared" ref="D788:U788" si="204">SUM(D789:D805)</f>
        <v>36783555</v>
      </c>
      <c r="E788" s="2">
        <f t="shared" si="204"/>
        <v>13976200</v>
      </c>
      <c r="F788" s="2">
        <f t="shared" si="204"/>
        <v>15736465</v>
      </c>
      <c r="G788" s="2">
        <f t="shared" si="204"/>
        <v>3583680</v>
      </c>
      <c r="H788" s="2">
        <f t="shared" si="204"/>
        <v>0</v>
      </c>
      <c r="I788" s="2">
        <f t="shared" si="204"/>
        <v>3487210</v>
      </c>
      <c r="J788" s="2">
        <f t="shared" si="204"/>
        <v>0</v>
      </c>
      <c r="K788" s="2">
        <f t="shared" si="204"/>
        <v>0</v>
      </c>
      <c r="L788" s="2">
        <f t="shared" si="204"/>
        <v>0</v>
      </c>
      <c r="M788" s="2">
        <f t="shared" si="204"/>
        <v>8162.04</v>
      </c>
      <c r="N788" s="2">
        <f t="shared" si="204"/>
        <v>50773555</v>
      </c>
      <c r="O788" s="2">
        <f t="shared" si="204"/>
        <v>0</v>
      </c>
      <c r="P788" s="2">
        <f t="shared" si="204"/>
        <v>0</v>
      </c>
      <c r="Q788" s="2">
        <f t="shared" si="204"/>
        <v>9372.1700000000019</v>
      </c>
      <c r="R788" s="2">
        <f t="shared" si="204"/>
        <v>29729244</v>
      </c>
      <c r="S788" s="2">
        <f t="shared" si="204"/>
        <v>0</v>
      </c>
      <c r="T788" s="2">
        <f t="shared" si="204"/>
        <v>0</v>
      </c>
      <c r="U788" s="2">
        <f t="shared" si="204"/>
        <v>4146969.72</v>
      </c>
    </row>
    <row r="789" spans="1:22" ht="25.15" customHeight="1" x14ac:dyDescent="0.25">
      <c r="A789" s="21" t="s">
        <v>1626</v>
      </c>
      <c r="B789" s="25" t="s">
        <v>159</v>
      </c>
      <c r="C789" s="2">
        <f t="shared" ref="C789:C805" si="205">D789+L789+N789+P789+R789+S789+T789+U789</f>
        <v>5297180</v>
      </c>
      <c r="D789" s="3">
        <f t="shared" ref="D789:D805" si="206">SUM(E789:J789)</f>
        <v>5297180</v>
      </c>
      <c r="E789" s="3">
        <f>7567.4*700</f>
        <v>5297180</v>
      </c>
      <c r="F789" s="3">
        <v>0</v>
      </c>
      <c r="G789" s="3">
        <v>0</v>
      </c>
      <c r="H789" s="3">
        <v>0</v>
      </c>
      <c r="I789" s="3">
        <v>0</v>
      </c>
      <c r="J789" s="3">
        <v>0</v>
      </c>
      <c r="K789" s="4">
        <v>0</v>
      </c>
      <c r="L789" s="3">
        <v>0</v>
      </c>
      <c r="M789" s="3">
        <v>0</v>
      </c>
      <c r="N789" s="3">
        <v>0</v>
      </c>
      <c r="O789" s="3">
        <v>0</v>
      </c>
      <c r="P789" s="3">
        <v>0</v>
      </c>
      <c r="Q789" s="13">
        <v>0</v>
      </c>
      <c r="R789" s="3">
        <v>0</v>
      </c>
      <c r="S789" s="3">
        <v>0</v>
      </c>
      <c r="T789" s="3">
        <v>0</v>
      </c>
      <c r="U789" s="3">
        <v>0</v>
      </c>
      <c r="V789" s="5" t="e">
        <f t="shared" ref="V789:V805" si="207">N789/M789</f>
        <v>#DIV/0!</v>
      </c>
    </row>
    <row r="790" spans="1:22" ht="25.15" customHeight="1" x14ac:dyDescent="0.25">
      <c r="A790" s="21" t="s">
        <v>1971</v>
      </c>
      <c r="B790" s="1" t="s">
        <v>182</v>
      </c>
      <c r="C790" s="2">
        <f t="shared" si="205"/>
        <v>8568040</v>
      </c>
      <c r="D790" s="3">
        <f t="shared" si="206"/>
        <v>0</v>
      </c>
      <c r="E790" s="3">
        <v>0</v>
      </c>
      <c r="F790" s="3">
        <v>0</v>
      </c>
      <c r="G790" s="3">
        <v>0</v>
      </c>
      <c r="H790" s="3">
        <v>0</v>
      </c>
      <c r="I790" s="3">
        <v>0</v>
      </c>
      <c r="J790" s="3">
        <v>0</v>
      </c>
      <c r="K790" s="4">
        <v>0</v>
      </c>
      <c r="L790" s="3">
        <v>0</v>
      </c>
      <c r="M790" s="3">
        <v>851</v>
      </c>
      <c r="N790" s="3">
        <f>M790*6600</f>
        <v>5616600</v>
      </c>
      <c r="O790" s="3">
        <v>0</v>
      </c>
      <c r="P790" s="3">
        <f>O790*410</f>
        <v>0</v>
      </c>
      <c r="Q790" s="3">
        <v>656.7</v>
      </c>
      <c r="R790" s="3">
        <f>Q790*3200</f>
        <v>2101440</v>
      </c>
      <c r="S790" s="3">
        <f>S856</f>
        <v>0</v>
      </c>
      <c r="T790" s="3">
        <v>0</v>
      </c>
      <c r="U790" s="3">
        <v>850000</v>
      </c>
      <c r="V790" s="5">
        <f t="shared" si="207"/>
        <v>6600</v>
      </c>
    </row>
    <row r="791" spans="1:22" ht="25.15" customHeight="1" x14ac:dyDescent="0.25">
      <c r="A791" s="21" t="s">
        <v>1627</v>
      </c>
      <c r="B791" s="25" t="s">
        <v>176</v>
      </c>
      <c r="C791" s="2">
        <f t="shared" si="205"/>
        <v>13846530</v>
      </c>
      <c r="D791" s="3">
        <f t="shared" si="206"/>
        <v>3762330</v>
      </c>
      <c r="E791" s="3">
        <f>350*1929.4</f>
        <v>675290</v>
      </c>
      <c r="F791" s="3">
        <f>1050*1929.4</f>
        <v>2025870</v>
      </c>
      <c r="G791" s="3">
        <f>300*1929.4</f>
        <v>578820</v>
      </c>
      <c r="H791" s="3">
        <f>400*0</f>
        <v>0</v>
      </c>
      <c r="I791" s="3">
        <f>250*1929.4</f>
        <v>482350</v>
      </c>
      <c r="J791" s="3">
        <f>350*0</f>
        <v>0</v>
      </c>
      <c r="K791" s="4">
        <v>0</v>
      </c>
      <c r="L791" s="3">
        <v>0</v>
      </c>
      <c r="M791" s="13">
        <v>1083.4000000000001</v>
      </c>
      <c r="N791" s="13">
        <f>M791*5500</f>
        <v>5958700.0000000009</v>
      </c>
      <c r="O791" s="3">
        <v>0</v>
      </c>
      <c r="P791" s="3">
        <v>0</v>
      </c>
      <c r="Q791" s="3">
        <v>1308.5</v>
      </c>
      <c r="R791" s="3">
        <f>Q791*3000</f>
        <v>3925500</v>
      </c>
      <c r="S791" s="3">
        <v>0</v>
      </c>
      <c r="T791" s="3">
        <v>0</v>
      </c>
      <c r="U791" s="3">
        <v>200000</v>
      </c>
      <c r="V791" s="5">
        <f t="shared" si="207"/>
        <v>5500</v>
      </c>
    </row>
    <row r="792" spans="1:22" ht="25.15" customHeight="1" x14ac:dyDescent="0.25">
      <c r="A792" s="21" t="s">
        <v>1628</v>
      </c>
      <c r="B792" s="1" t="s">
        <v>174</v>
      </c>
      <c r="C792" s="2">
        <f t="shared" si="205"/>
        <v>689535</v>
      </c>
      <c r="D792" s="3">
        <f t="shared" si="206"/>
        <v>689535</v>
      </c>
      <c r="E792" s="3">
        <v>0</v>
      </c>
      <c r="F792" s="3">
        <f>1050*656.7</f>
        <v>689535</v>
      </c>
      <c r="G792" s="3">
        <v>0</v>
      </c>
      <c r="H792" s="3">
        <f>400*0</f>
        <v>0</v>
      </c>
      <c r="I792" s="3">
        <v>0</v>
      </c>
      <c r="J792" s="3">
        <f>350*0</f>
        <v>0</v>
      </c>
      <c r="K792" s="4">
        <v>0</v>
      </c>
      <c r="L792" s="3">
        <v>0</v>
      </c>
      <c r="M792" s="3">
        <v>0</v>
      </c>
      <c r="N792" s="3">
        <v>0</v>
      </c>
      <c r="O792" s="3">
        <v>0</v>
      </c>
      <c r="P792" s="3">
        <v>0</v>
      </c>
      <c r="Q792" s="13">
        <v>0</v>
      </c>
      <c r="R792" s="3">
        <v>0</v>
      </c>
      <c r="S792" s="3">
        <f>S1590</f>
        <v>0</v>
      </c>
      <c r="T792" s="3">
        <v>0</v>
      </c>
      <c r="U792" s="3">
        <v>0</v>
      </c>
      <c r="V792" s="5" t="e">
        <f t="shared" si="207"/>
        <v>#DIV/0!</v>
      </c>
    </row>
    <row r="793" spans="1:22" ht="25.15" customHeight="1" x14ac:dyDescent="0.25">
      <c r="A793" s="21" t="s">
        <v>1629</v>
      </c>
      <c r="B793" s="1" t="s">
        <v>183</v>
      </c>
      <c r="C793" s="2">
        <f t="shared" si="205"/>
        <v>7192900.7999999998</v>
      </c>
      <c r="D793" s="3">
        <f t="shared" si="206"/>
        <v>2397720</v>
      </c>
      <c r="E793" s="3">
        <f>700*922.2</f>
        <v>645540</v>
      </c>
      <c r="F793" s="3">
        <f>1300*922.2</f>
        <v>1198860</v>
      </c>
      <c r="G793" s="3">
        <f>300*922.2</f>
        <v>276660</v>
      </c>
      <c r="H793" s="3">
        <v>0</v>
      </c>
      <c r="I793" s="3">
        <f>300*922.2</f>
        <v>276660</v>
      </c>
      <c r="J793" s="3">
        <v>0</v>
      </c>
      <c r="K793" s="4">
        <v>0</v>
      </c>
      <c r="L793" s="3">
        <v>0</v>
      </c>
      <c r="M793" s="3">
        <v>340</v>
      </c>
      <c r="N793" s="3">
        <f t="shared" ref="N793:N799" si="208">M793*6600</f>
        <v>2244000</v>
      </c>
      <c r="O793" s="3">
        <v>0</v>
      </c>
      <c r="P793" s="3">
        <f>O793*410</f>
        <v>0</v>
      </c>
      <c r="Q793" s="3">
        <v>733</v>
      </c>
      <c r="R793" s="3">
        <f t="shared" ref="R793:R805" si="209">Q793*3200</f>
        <v>2345600</v>
      </c>
      <c r="S793" s="3">
        <f>S860</f>
        <v>0</v>
      </c>
      <c r="T793" s="3">
        <v>0</v>
      </c>
      <c r="U793" s="3">
        <v>205580.79999999999</v>
      </c>
      <c r="V793" s="5">
        <f t="shared" si="207"/>
        <v>6600</v>
      </c>
    </row>
    <row r="794" spans="1:22" ht="25.15" customHeight="1" x14ac:dyDescent="0.25">
      <c r="A794" s="21" t="s">
        <v>1630</v>
      </c>
      <c r="B794" s="1" t="s">
        <v>184</v>
      </c>
      <c r="C794" s="2">
        <f t="shared" si="205"/>
        <v>7411960</v>
      </c>
      <c r="D794" s="3">
        <f t="shared" si="206"/>
        <v>767200</v>
      </c>
      <c r="E794" s="3">
        <f>700*1096</f>
        <v>767200</v>
      </c>
      <c r="F794" s="3">
        <v>0</v>
      </c>
      <c r="G794" s="3">
        <v>0</v>
      </c>
      <c r="H794" s="3">
        <v>0</v>
      </c>
      <c r="I794" s="3">
        <v>0</v>
      </c>
      <c r="J794" s="3">
        <v>0</v>
      </c>
      <c r="K794" s="4">
        <v>0</v>
      </c>
      <c r="L794" s="3">
        <v>0</v>
      </c>
      <c r="M794" s="3">
        <v>688.6</v>
      </c>
      <c r="N794" s="3">
        <f t="shared" si="208"/>
        <v>4544760</v>
      </c>
      <c r="O794" s="3">
        <v>0</v>
      </c>
      <c r="P794" s="3">
        <f>O794*410</f>
        <v>0</v>
      </c>
      <c r="Q794" s="3">
        <v>625</v>
      </c>
      <c r="R794" s="3">
        <f t="shared" si="209"/>
        <v>2000000</v>
      </c>
      <c r="S794" s="3">
        <f>S868</f>
        <v>0</v>
      </c>
      <c r="T794" s="3">
        <v>0</v>
      </c>
      <c r="U794" s="3">
        <v>100000</v>
      </c>
      <c r="V794" s="5">
        <f t="shared" si="207"/>
        <v>6600</v>
      </c>
    </row>
    <row r="795" spans="1:22" ht="25.15" customHeight="1" x14ac:dyDescent="0.25">
      <c r="A795" s="21" t="s">
        <v>1631</v>
      </c>
      <c r="B795" s="1" t="s">
        <v>185</v>
      </c>
      <c r="C795" s="2">
        <f t="shared" si="205"/>
        <v>8249480</v>
      </c>
      <c r="D795" s="3">
        <f t="shared" si="206"/>
        <v>3218800</v>
      </c>
      <c r="E795" s="3">
        <f>700*1238</f>
        <v>866600</v>
      </c>
      <c r="F795" s="3">
        <f>1300*1238</f>
        <v>1609400</v>
      </c>
      <c r="G795" s="3">
        <f>300*1238</f>
        <v>371400</v>
      </c>
      <c r="H795" s="3">
        <v>0</v>
      </c>
      <c r="I795" s="3">
        <f>300*1238</f>
        <v>371400</v>
      </c>
      <c r="J795" s="3">
        <f>350*0</f>
        <v>0</v>
      </c>
      <c r="K795" s="4">
        <v>0</v>
      </c>
      <c r="L795" s="3">
        <v>0</v>
      </c>
      <c r="M795" s="3">
        <v>476.2</v>
      </c>
      <c r="N795" s="3">
        <f t="shared" si="208"/>
        <v>3142920</v>
      </c>
      <c r="O795" s="3">
        <v>0</v>
      </c>
      <c r="P795" s="3">
        <f>O795*410</f>
        <v>0</v>
      </c>
      <c r="Q795" s="3">
        <v>324.3</v>
      </c>
      <c r="R795" s="3">
        <f t="shared" si="209"/>
        <v>1037760</v>
      </c>
      <c r="S795" s="3">
        <f>S869</f>
        <v>0</v>
      </c>
      <c r="T795" s="3">
        <v>0</v>
      </c>
      <c r="U795" s="3">
        <v>850000</v>
      </c>
      <c r="V795" s="5">
        <f t="shared" si="207"/>
        <v>6600</v>
      </c>
    </row>
    <row r="796" spans="1:22" ht="25.15" customHeight="1" x14ac:dyDescent="0.25">
      <c r="A796" s="21" t="s">
        <v>1988</v>
      </c>
      <c r="B796" s="1" t="s">
        <v>1987</v>
      </c>
      <c r="C796" s="2">
        <f t="shared" si="205"/>
        <v>8889680</v>
      </c>
      <c r="D796" s="3">
        <f t="shared" si="206"/>
        <v>3406000</v>
      </c>
      <c r="E796" s="3">
        <f>700*1310</f>
        <v>917000</v>
      </c>
      <c r="F796" s="3">
        <f>1300*1310</f>
        <v>1703000</v>
      </c>
      <c r="G796" s="3">
        <f>300*1310</f>
        <v>393000</v>
      </c>
      <c r="H796" s="3">
        <v>0</v>
      </c>
      <c r="I796" s="3">
        <f>300*1310</f>
        <v>393000</v>
      </c>
      <c r="J796" s="3">
        <f>350*0</f>
        <v>0</v>
      </c>
      <c r="K796" s="4">
        <v>0</v>
      </c>
      <c r="L796" s="3">
        <v>0</v>
      </c>
      <c r="M796" s="3">
        <v>582.79999999999995</v>
      </c>
      <c r="N796" s="3">
        <f t="shared" si="208"/>
        <v>3846479.9999999995</v>
      </c>
      <c r="O796" s="3">
        <v>0</v>
      </c>
      <c r="P796" s="3">
        <f>O796*410</f>
        <v>0</v>
      </c>
      <c r="Q796" s="3">
        <v>246</v>
      </c>
      <c r="R796" s="3">
        <f t="shared" si="209"/>
        <v>787200</v>
      </c>
      <c r="S796" s="3">
        <f>S873</f>
        <v>0</v>
      </c>
      <c r="T796" s="3">
        <v>0</v>
      </c>
      <c r="U796" s="3">
        <v>850000</v>
      </c>
    </row>
    <row r="797" spans="1:22" ht="25.15" customHeight="1" x14ac:dyDescent="0.25">
      <c r="A797" s="21" t="s">
        <v>1989</v>
      </c>
      <c r="B797" s="1" t="s">
        <v>186</v>
      </c>
      <c r="C797" s="2">
        <f t="shared" si="205"/>
        <v>2467050</v>
      </c>
      <c r="D797" s="3">
        <f t="shared" si="206"/>
        <v>225190</v>
      </c>
      <c r="E797" s="3">
        <f>700*321.7</f>
        <v>225190</v>
      </c>
      <c r="F797" s="3">
        <v>0</v>
      </c>
      <c r="G797" s="3">
        <v>0</v>
      </c>
      <c r="H797" s="3">
        <v>0</v>
      </c>
      <c r="I797" s="3">
        <v>0</v>
      </c>
      <c r="J797" s="3">
        <v>0</v>
      </c>
      <c r="K797" s="4">
        <v>0</v>
      </c>
      <c r="L797" s="3">
        <v>0</v>
      </c>
      <c r="M797" s="3">
        <v>176.5</v>
      </c>
      <c r="N797" s="3">
        <f t="shared" si="208"/>
        <v>1164900</v>
      </c>
      <c r="O797" s="3">
        <v>0</v>
      </c>
      <c r="P797" s="3">
        <v>0</v>
      </c>
      <c r="Q797" s="3">
        <v>305.3</v>
      </c>
      <c r="R797" s="3">
        <f t="shared" si="209"/>
        <v>976960</v>
      </c>
      <c r="S797" s="3">
        <f>S873</f>
        <v>0</v>
      </c>
      <c r="T797" s="3">
        <v>0</v>
      </c>
      <c r="U797" s="3">
        <v>100000</v>
      </c>
      <c r="V797" s="5">
        <f t="shared" si="207"/>
        <v>6600</v>
      </c>
    </row>
    <row r="798" spans="1:22" ht="25.15" customHeight="1" x14ac:dyDescent="0.25">
      <c r="A798" s="21" t="s">
        <v>1990</v>
      </c>
      <c r="B798" s="1" t="s">
        <v>187</v>
      </c>
      <c r="C798" s="2">
        <f t="shared" si="205"/>
        <v>14865771.939999999</v>
      </c>
      <c r="D798" s="3">
        <f t="shared" si="206"/>
        <v>5680219.9999999991</v>
      </c>
      <c r="E798" s="3">
        <f>700*2184.7</f>
        <v>1529289.9999999998</v>
      </c>
      <c r="F798" s="3">
        <f>1300*2184.7</f>
        <v>2840109.9999999995</v>
      </c>
      <c r="G798" s="3">
        <f>300*2184.7</f>
        <v>655410</v>
      </c>
      <c r="H798" s="3">
        <v>0</v>
      </c>
      <c r="I798" s="3">
        <f>300*2184.7</f>
        <v>655410</v>
      </c>
      <c r="J798" s="3">
        <v>0</v>
      </c>
      <c r="K798" s="4">
        <v>0</v>
      </c>
      <c r="L798" s="3">
        <v>0</v>
      </c>
      <c r="M798" s="3">
        <v>739.3</v>
      </c>
      <c r="N798" s="3">
        <f t="shared" si="208"/>
        <v>4879380</v>
      </c>
      <c r="O798" s="3">
        <v>0</v>
      </c>
      <c r="P798" s="3">
        <v>0</v>
      </c>
      <c r="Q798" s="3">
        <v>1287</v>
      </c>
      <c r="R798" s="3">
        <f t="shared" si="209"/>
        <v>4118400</v>
      </c>
      <c r="S798" s="3">
        <f>S875</f>
        <v>0</v>
      </c>
      <c r="T798" s="3">
        <v>0</v>
      </c>
      <c r="U798" s="3">
        <v>187771.94</v>
      </c>
      <c r="V798" s="5">
        <f t="shared" si="207"/>
        <v>6600</v>
      </c>
    </row>
    <row r="799" spans="1:22" ht="25.15" customHeight="1" x14ac:dyDescent="0.25">
      <c r="A799" s="21" t="s">
        <v>1991</v>
      </c>
      <c r="B799" s="1" t="s">
        <v>188</v>
      </c>
      <c r="C799" s="2">
        <f t="shared" si="205"/>
        <v>9942486.8499999996</v>
      </c>
      <c r="D799" s="3">
        <f t="shared" si="206"/>
        <v>2528500</v>
      </c>
      <c r="E799" s="3">
        <f>700*972.5</f>
        <v>680750</v>
      </c>
      <c r="F799" s="3">
        <f>1300*972.5</f>
        <v>1264250</v>
      </c>
      <c r="G799" s="3">
        <f>300*972.5</f>
        <v>291750</v>
      </c>
      <c r="H799" s="3">
        <v>0</v>
      </c>
      <c r="I799" s="3">
        <f>300*972.5</f>
        <v>291750</v>
      </c>
      <c r="J799" s="3">
        <v>0</v>
      </c>
      <c r="K799" s="4">
        <v>0</v>
      </c>
      <c r="L799" s="3">
        <v>0</v>
      </c>
      <c r="M799" s="3">
        <v>665.88</v>
      </c>
      <c r="N799" s="3">
        <f t="shared" si="208"/>
        <v>4394808</v>
      </c>
      <c r="O799" s="3">
        <v>0</v>
      </c>
      <c r="P799" s="3">
        <f>O799*1200</f>
        <v>0</v>
      </c>
      <c r="Q799" s="3">
        <v>895.4</v>
      </c>
      <c r="R799" s="3">
        <f t="shared" si="209"/>
        <v>2865280</v>
      </c>
      <c r="S799" s="3">
        <v>0</v>
      </c>
      <c r="T799" s="3">
        <v>0</v>
      </c>
      <c r="U799" s="3">
        <v>153898.85</v>
      </c>
      <c r="V799" s="5">
        <f t="shared" si="207"/>
        <v>6600</v>
      </c>
    </row>
    <row r="800" spans="1:22" ht="25.15" customHeight="1" x14ac:dyDescent="0.25">
      <c r="A800" s="21" t="s">
        <v>1992</v>
      </c>
      <c r="B800" s="1" t="s">
        <v>189</v>
      </c>
      <c r="C800" s="2">
        <f t="shared" si="205"/>
        <v>3941187</v>
      </c>
      <c r="D800" s="3">
        <f t="shared" si="206"/>
        <v>0</v>
      </c>
      <c r="E800" s="3">
        <v>0</v>
      </c>
      <c r="F800" s="3">
        <v>0</v>
      </c>
      <c r="G800" s="3">
        <v>0</v>
      </c>
      <c r="H800" s="3">
        <v>0</v>
      </c>
      <c r="I800" s="3">
        <v>0</v>
      </c>
      <c r="J800" s="3">
        <v>0</v>
      </c>
      <c r="K800" s="4">
        <v>0</v>
      </c>
      <c r="L800" s="3">
        <v>0</v>
      </c>
      <c r="M800" s="3">
        <v>885.66</v>
      </c>
      <c r="N800" s="3">
        <f>M800*4450</f>
        <v>3941187</v>
      </c>
      <c r="O800" s="3">
        <v>0</v>
      </c>
      <c r="P800" s="3">
        <v>0</v>
      </c>
      <c r="Q800" s="3">
        <v>0</v>
      </c>
      <c r="R800" s="3">
        <f t="shared" si="209"/>
        <v>0</v>
      </c>
      <c r="S800" s="3">
        <v>0</v>
      </c>
      <c r="T800" s="3">
        <v>0</v>
      </c>
      <c r="U800" s="3">
        <v>0</v>
      </c>
      <c r="V800" s="5">
        <f t="shared" si="207"/>
        <v>4450</v>
      </c>
    </row>
    <row r="801" spans="1:22" ht="25.15" customHeight="1" x14ac:dyDescent="0.25">
      <c r="A801" s="21" t="s">
        <v>1993</v>
      </c>
      <c r="B801" s="25" t="s">
        <v>190</v>
      </c>
      <c r="C801" s="2">
        <f t="shared" si="205"/>
        <v>19232732.699999999</v>
      </c>
      <c r="D801" s="3">
        <f t="shared" si="206"/>
        <v>7004660</v>
      </c>
      <c r="E801" s="3">
        <f>700*2694.1</f>
        <v>1885870</v>
      </c>
      <c r="F801" s="3">
        <f>1300*2694.1</f>
        <v>3502330</v>
      </c>
      <c r="G801" s="3">
        <f>300*2694.1</f>
        <v>808230</v>
      </c>
      <c r="H801" s="3">
        <v>0</v>
      </c>
      <c r="I801" s="3">
        <f>300*2694.1</f>
        <v>808230</v>
      </c>
      <c r="J801" s="3">
        <v>0</v>
      </c>
      <c r="K801" s="4">
        <v>0</v>
      </c>
      <c r="L801" s="3">
        <v>0</v>
      </c>
      <c r="M801" s="3">
        <v>852.4</v>
      </c>
      <c r="N801" s="3">
        <f>M801*6600</f>
        <v>5625840</v>
      </c>
      <c r="O801" s="3">
        <v>0</v>
      </c>
      <c r="P801" s="3">
        <v>0</v>
      </c>
      <c r="Q801" s="3">
        <v>1974</v>
      </c>
      <c r="R801" s="3">
        <f t="shared" si="209"/>
        <v>6316800</v>
      </c>
      <c r="S801" s="3">
        <f>S877</f>
        <v>0</v>
      </c>
      <c r="T801" s="3">
        <v>0</v>
      </c>
      <c r="U801" s="3">
        <v>285432.7</v>
      </c>
      <c r="V801" s="5">
        <f t="shared" si="207"/>
        <v>6600</v>
      </c>
    </row>
    <row r="802" spans="1:22" ht="25.15" customHeight="1" x14ac:dyDescent="0.25">
      <c r="A802" s="21" t="s">
        <v>1994</v>
      </c>
      <c r="B802" s="1" t="s">
        <v>194</v>
      </c>
      <c r="C802" s="2">
        <f t="shared" si="205"/>
        <v>4605144</v>
      </c>
      <c r="D802" s="3">
        <f t="shared" si="206"/>
        <v>0</v>
      </c>
      <c r="E802" s="3">
        <v>0</v>
      </c>
      <c r="F802" s="3">
        <v>0</v>
      </c>
      <c r="G802" s="3">
        <v>0</v>
      </c>
      <c r="H802" s="3">
        <v>0</v>
      </c>
      <c r="I802" s="3">
        <v>0</v>
      </c>
      <c r="J802" s="3">
        <v>0</v>
      </c>
      <c r="K802" s="4">
        <v>0</v>
      </c>
      <c r="L802" s="3">
        <v>0</v>
      </c>
      <c r="M802" s="3">
        <v>447.8</v>
      </c>
      <c r="N802" s="3">
        <f>M802*6600</f>
        <v>2955480</v>
      </c>
      <c r="O802" s="3">
        <v>0</v>
      </c>
      <c r="P802" s="3">
        <v>0</v>
      </c>
      <c r="Q802" s="3">
        <v>515.52</v>
      </c>
      <c r="R802" s="3">
        <f t="shared" si="209"/>
        <v>1649664</v>
      </c>
      <c r="S802" s="3">
        <f>S880</f>
        <v>0</v>
      </c>
      <c r="T802" s="3">
        <v>0</v>
      </c>
      <c r="U802" s="3">
        <v>0</v>
      </c>
      <c r="V802" s="5">
        <f t="shared" si="207"/>
        <v>6600</v>
      </c>
    </row>
    <row r="803" spans="1:22" ht="25.15" customHeight="1" x14ac:dyDescent="0.25">
      <c r="A803" s="21" t="s">
        <v>1995</v>
      </c>
      <c r="B803" s="1" t="s">
        <v>191</v>
      </c>
      <c r="C803" s="2">
        <f t="shared" si="205"/>
        <v>6007449.04</v>
      </c>
      <c r="D803" s="3">
        <f t="shared" si="206"/>
        <v>1806220.0000000002</v>
      </c>
      <c r="E803" s="3">
        <f>700*694.7</f>
        <v>486290.00000000006</v>
      </c>
      <c r="F803" s="3">
        <f>1300*694.7</f>
        <v>903110.00000000012</v>
      </c>
      <c r="G803" s="3">
        <f>300*694.7</f>
        <v>208410</v>
      </c>
      <c r="H803" s="3">
        <v>0</v>
      </c>
      <c r="I803" s="3">
        <f>300*694.7</f>
        <v>208410</v>
      </c>
      <c r="J803" s="3">
        <v>0</v>
      </c>
      <c r="K803" s="4">
        <v>0</v>
      </c>
      <c r="L803" s="3">
        <v>0</v>
      </c>
      <c r="M803" s="3">
        <v>372.5</v>
      </c>
      <c r="N803" s="3">
        <f>M803*6600</f>
        <v>2458500</v>
      </c>
      <c r="O803" s="3">
        <v>0</v>
      </c>
      <c r="P803" s="3">
        <v>0</v>
      </c>
      <c r="Q803" s="3">
        <v>501.45</v>
      </c>
      <c r="R803" s="3">
        <f t="shared" si="209"/>
        <v>1604640</v>
      </c>
      <c r="S803" s="3">
        <f>S883</f>
        <v>0</v>
      </c>
      <c r="T803" s="3">
        <v>0</v>
      </c>
      <c r="U803" s="3">
        <v>138089.04</v>
      </c>
      <c r="V803" s="5">
        <f t="shared" si="207"/>
        <v>6600</v>
      </c>
    </row>
    <row r="804" spans="1:22" ht="25.15" customHeight="1" x14ac:dyDescent="0.25">
      <c r="A804" s="21" t="s">
        <v>1996</v>
      </c>
      <c r="B804" s="1" t="s">
        <v>192</v>
      </c>
      <c r="C804" s="2">
        <f t="shared" si="205"/>
        <v>113242.92</v>
      </c>
      <c r="D804" s="3">
        <f t="shared" si="206"/>
        <v>0</v>
      </c>
      <c r="E804" s="3">
        <v>0</v>
      </c>
      <c r="F804" s="3">
        <v>0</v>
      </c>
      <c r="G804" s="3">
        <v>0</v>
      </c>
      <c r="H804" s="3">
        <v>0</v>
      </c>
      <c r="I804" s="3">
        <v>0</v>
      </c>
      <c r="J804" s="3">
        <v>0</v>
      </c>
      <c r="K804" s="4">
        <v>0</v>
      </c>
      <c r="L804" s="3">
        <v>0</v>
      </c>
      <c r="M804" s="3">
        <v>0</v>
      </c>
      <c r="N804" s="3">
        <f>M804*6600</f>
        <v>0</v>
      </c>
      <c r="O804" s="3">
        <v>0</v>
      </c>
      <c r="P804" s="3">
        <v>0</v>
      </c>
      <c r="Q804" s="3">
        <v>0</v>
      </c>
      <c r="R804" s="3">
        <f t="shared" si="209"/>
        <v>0</v>
      </c>
      <c r="S804" s="3">
        <f>S884</f>
        <v>0</v>
      </c>
      <c r="T804" s="3">
        <v>0</v>
      </c>
      <c r="U804" s="3">
        <v>113242.92</v>
      </c>
      <c r="V804" s="5" t="e">
        <f t="shared" si="207"/>
        <v>#DIV/0!</v>
      </c>
    </row>
    <row r="805" spans="1:22" ht="25.15" customHeight="1" x14ac:dyDescent="0.25">
      <c r="A805" s="21" t="s">
        <v>1997</v>
      </c>
      <c r="B805" s="1" t="s">
        <v>193</v>
      </c>
      <c r="C805" s="2">
        <f t="shared" si="205"/>
        <v>112953.47</v>
      </c>
      <c r="D805" s="3">
        <f t="shared" si="206"/>
        <v>0</v>
      </c>
      <c r="E805" s="3">
        <v>0</v>
      </c>
      <c r="F805" s="3">
        <v>0</v>
      </c>
      <c r="G805" s="3">
        <v>0</v>
      </c>
      <c r="H805" s="3">
        <v>0</v>
      </c>
      <c r="I805" s="3">
        <v>0</v>
      </c>
      <c r="J805" s="3">
        <v>0</v>
      </c>
      <c r="K805" s="4">
        <v>0</v>
      </c>
      <c r="L805" s="3">
        <v>0</v>
      </c>
      <c r="M805" s="3">
        <v>0</v>
      </c>
      <c r="N805" s="3">
        <f>M805*6600</f>
        <v>0</v>
      </c>
      <c r="O805" s="3">
        <v>0</v>
      </c>
      <c r="P805" s="3">
        <v>0</v>
      </c>
      <c r="Q805" s="3">
        <v>0</v>
      </c>
      <c r="R805" s="3">
        <f t="shared" si="209"/>
        <v>0</v>
      </c>
      <c r="S805" s="3">
        <v>0</v>
      </c>
      <c r="T805" s="3">
        <v>0</v>
      </c>
      <c r="U805" s="3">
        <v>112953.47</v>
      </c>
      <c r="V805" s="5" t="e">
        <f t="shared" si="207"/>
        <v>#DIV/0!</v>
      </c>
    </row>
    <row r="806" spans="1:22" ht="45" customHeight="1" x14ac:dyDescent="0.25">
      <c r="A806" s="51" t="s">
        <v>210</v>
      </c>
      <c r="B806" s="51"/>
      <c r="C806" s="2">
        <f t="shared" ref="C806:U806" si="210">SUM(C807)</f>
        <v>4394944</v>
      </c>
      <c r="D806" s="2">
        <f t="shared" si="210"/>
        <v>0</v>
      </c>
      <c r="E806" s="2">
        <f t="shared" si="210"/>
        <v>0</v>
      </c>
      <c r="F806" s="2">
        <f t="shared" si="210"/>
        <v>0</v>
      </c>
      <c r="G806" s="2">
        <f t="shared" si="210"/>
        <v>0</v>
      </c>
      <c r="H806" s="2">
        <f t="shared" si="210"/>
        <v>0</v>
      </c>
      <c r="I806" s="2">
        <f t="shared" si="210"/>
        <v>0</v>
      </c>
      <c r="J806" s="2">
        <f t="shared" si="210"/>
        <v>0</v>
      </c>
      <c r="K806" s="18">
        <f t="shared" si="210"/>
        <v>0</v>
      </c>
      <c r="L806" s="2">
        <f t="shared" si="210"/>
        <v>0</v>
      </c>
      <c r="M806" s="2">
        <f t="shared" si="210"/>
        <v>395.68</v>
      </c>
      <c r="N806" s="2">
        <f t="shared" si="210"/>
        <v>2611488</v>
      </c>
      <c r="O806" s="2">
        <f t="shared" si="210"/>
        <v>0</v>
      </c>
      <c r="P806" s="2">
        <f t="shared" si="210"/>
        <v>0</v>
      </c>
      <c r="Q806" s="2">
        <f t="shared" si="210"/>
        <v>526.08000000000004</v>
      </c>
      <c r="R806" s="2">
        <f t="shared" si="210"/>
        <v>1683456.0000000002</v>
      </c>
      <c r="S806" s="2">
        <f t="shared" si="210"/>
        <v>0</v>
      </c>
      <c r="T806" s="2">
        <f t="shared" si="210"/>
        <v>0</v>
      </c>
      <c r="U806" s="2">
        <f t="shared" si="210"/>
        <v>100000</v>
      </c>
    </row>
    <row r="807" spans="1:22" ht="25.15" customHeight="1" x14ac:dyDescent="0.25">
      <c r="A807" s="21" t="s">
        <v>1998</v>
      </c>
      <c r="B807" s="24" t="s">
        <v>212</v>
      </c>
      <c r="C807" s="2">
        <f>D807+L807+N807+P807+R807+S807+T807+U807</f>
        <v>4394944</v>
      </c>
      <c r="D807" s="3">
        <f>SUM(E807:J807)</f>
        <v>0</v>
      </c>
      <c r="E807" s="3">
        <v>0</v>
      </c>
      <c r="F807" s="3">
        <f>1050*0</f>
        <v>0</v>
      </c>
      <c r="G807" s="3">
        <f>300*0</f>
        <v>0</v>
      </c>
      <c r="H807" s="3">
        <f>400*0</f>
        <v>0</v>
      </c>
      <c r="I807" s="3">
        <f>250*0</f>
        <v>0</v>
      </c>
      <c r="J807" s="3">
        <f>350*0</f>
        <v>0</v>
      </c>
      <c r="K807" s="4">
        <v>0</v>
      </c>
      <c r="L807" s="3">
        <v>0</v>
      </c>
      <c r="M807" s="3">
        <v>395.68</v>
      </c>
      <c r="N807" s="3">
        <f>M807*6600</f>
        <v>2611488</v>
      </c>
      <c r="O807" s="3">
        <v>0</v>
      </c>
      <c r="P807" s="3">
        <v>0</v>
      </c>
      <c r="Q807" s="3">
        <v>526.08000000000004</v>
      </c>
      <c r="R807" s="3">
        <f>Q807*3200</f>
        <v>1683456.0000000002</v>
      </c>
      <c r="S807" s="3">
        <v>0</v>
      </c>
      <c r="T807" s="3">
        <v>0</v>
      </c>
      <c r="U807" s="3">
        <v>100000</v>
      </c>
      <c r="V807" s="5">
        <f>N807/M807</f>
        <v>6600</v>
      </c>
    </row>
    <row r="808" spans="1:22" ht="45" customHeight="1" x14ac:dyDescent="0.25">
      <c r="A808" s="51" t="s">
        <v>209</v>
      </c>
      <c r="B808" s="51"/>
      <c r="C808" s="2">
        <f t="shared" ref="C808:U808" si="211">SUM(C809:C817)</f>
        <v>35450830.329999998</v>
      </c>
      <c r="D808" s="2">
        <f t="shared" si="211"/>
        <v>6038019</v>
      </c>
      <c r="E808" s="2">
        <f t="shared" si="211"/>
        <v>3077991</v>
      </c>
      <c r="F808" s="2">
        <f t="shared" si="211"/>
        <v>2320149</v>
      </c>
      <c r="G808" s="2">
        <f t="shared" si="211"/>
        <v>407409</v>
      </c>
      <c r="H808" s="2">
        <f t="shared" si="211"/>
        <v>0</v>
      </c>
      <c r="I808" s="2">
        <f t="shared" si="211"/>
        <v>232470</v>
      </c>
      <c r="J808" s="2">
        <f t="shared" si="211"/>
        <v>0</v>
      </c>
      <c r="K808" s="18">
        <f t="shared" si="211"/>
        <v>0</v>
      </c>
      <c r="L808" s="2">
        <f t="shared" si="211"/>
        <v>0</v>
      </c>
      <c r="M808" s="2">
        <f t="shared" si="211"/>
        <v>2755.81</v>
      </c>
      <c r="N808" s="2">
        <f t="shared" si="211"/>
        <v>18188346</v>
      </c>
      <c r="O808" s="2">
        <f t="shared" si="211"/>
        <v>0</v>
      </c>
      <c r="P808" s="2">
        <f t="shared" si="211"/>
        <v>0</v>
      </c>
      <c r="Q808" s="2">
        <f t="shared" si="211"/>
        <v>3081.6</v>
      </c>
      <c r="R808" s="2">
        <f t="shared" si="211"/>
        <v>9861120</v>
      </c>
      <c r="S808" s="2">
        <f t="shared" si="211"/>
        <v>0</v>
      </c>
      <c r="T808" s="2">
        <f t="shared" si="211"/>
        <v>0</v>
      </c>
      <c r="U808" s="2">
        <f t="shared" si="211"/>
        <v>1363345.3299999998</v>
      </c>
    </row>
    <row r="809" spans="1:22" ht="25.15" customHeight="1" x14ac:dyDescent="0.25">
      <c r="A809" s="21" t="s">
        <v>1999</v>
      </c>
      <c r="B809" s="24" t="s">
        <v>200</v>
      </c>
      <c r="C809" s="2">
        <f t="shared" ref="C809:C817" si="212">D809+L809+N809+P809+R809+S809+T809+U809</f>
        <v>310000</v>
      </c>
      <c r="D809" s="3">
        <f t="shared" ref="D809:D817" si="213">SUM(E809:J809)</f>
        <v>0</v>
      </c>
      <c r="E809" s="3">
        <v>0</v>
      </c>
      <c r="F809" s="3">
        <v>0</v>
      </c>
      <c r="G809" s="3">
        <v>0</v>
      </c>
      <c r="H809" s="3">
        <f>400*0</f>
        <v>0</v>
      </c>
      <c r="I809" s="3">
        <f>250*0</f>
        <v>0</v>
      </c>
      <c r="J809" s="3">
        <f>350*0</f>
        <v>0</v>
      </c>
      <c r="K809" s="4">
        <v>0</v>
      </c>
      <c r="L809" s="3">
        <v>0</v>
      </c>
      <c r="M809" s="13">
        <v>0</v>
      </c>
      <c r="N809" s="3">
        <f>M809*5500</f>
        <v>0</v>
      </c>
      <c r="O809" s="3">
        <v>0</v>
      </c>
      <c r="P809" s="3">
        <v>0</v>
      </c>
      <c r="Q809" s="3">
        <v>0</v>
      </c>
      <c r="R809" s="3">
        <v>0</v>
      </c>
      <c r="S809" s="3">
        <v>0</v>
      </c>
      <c r="T809" s="3">
        <v>0</v>
      </c>
      <c r="U809" s="3">
        <v>310000</v>
      </c>
      <c r="V809" s="5" t="e">
        <f t="shared" ref="V809:V817" si="214">N809/M809</f>
        <v>#DIV/0!</v>
      </c>
    </row>
    <row r="810" spans="1:22" ht="25.15" customHeight="1" x14ac:dyDescent="0.25">
      <c r="A810" s="21" t="s">
        <v>2000</v>
      </c>
      <c r="B810" s="24" t="s">
        <v>201</v>
      </c>
      <c r="C810" s="2">
        <f t="shared" si="212"/>
        <v>5787327</v>
      </c>
      <c r="D810" s="3">
        <f t="shared" si="213"/>
        <v>1341199</v>
      </c>
      <c r="E810" s="3">
        <f>700*583.13</f>
        <v>408191</v>
      </c>
      <c r="F810" s="3">
        <f>1300*583.13</f>
        <v>758069</v>
      </c>
      <c r="G810" s="3">
        <f>300*583.13</f>
        <v>174939</v>
      </c>
      <c r="H810" s="3">
        <v>0</v>
      </c>
      <c r="I810" s="3">
        <v>0</v>
      </c>
      <c r="J810" s="3">
        <f>350*0</f>
        <v>0</v>
      </c>
      <c r="K810" s="4">
        <v>0</v>
      </c>
      <c r="L810" s="3">
        <v>0</v>
      </c>
      <c r="M810" s="13">
        <v>427.28</v>
      </c>
      <c r="N810" s="3">
        <f>M810*6600</f>
        <v>2820048</v>
      </c>
      <c r="O810" s="3">
        <v>0</v>
      </c>
      <c r="P810" s="3">
        <v>0</v>
      </c>
      <c r="Q810" s="3">
        <v>476.9</v>
      </c>
      <c r="R810" s="3">
        <f t="shared" ref="R810:R817" si="215">Q810*3200</f>
        <v>1526080</v>
      </c>
      <c r="S810" s="3">
        <v>0</v>
      </c>
      <c r="T810" s="3">
        <v>0</v>
      </c>
      <c r="U810" s="3">
        <v>100000</v>
      </c>
      <c r="V810" s="5">
        <f t="shared" si="214"/>
        <v>6600</v>
      </c>
    </row>
    <row r="811" spans="1:22" ht="25.15" customHeight="1" x14ac:dyDescent="0.25">
      <c r="A811" s="21" t="s">
        <v>2001</v>
      </c>
      <c r="B811" s="24" t="s">
        <v>202</v>
      </c>
      <c r="C811" s="2">
        <f t="shared" si="212"/>
        <v>5640650</v>
      </c>
      <c r="D811" s="3">
        <f t="shared" si="213"/>
        <v>853400</v>
      </c>
      <c r="E811" s="3">
        <f>700*426.7</f>
        <v>298690</v>
      </c>
      <c r="F811" s="3">
        <f>1300*426.7</f>
        <v>554710</v>
      </c>
      <c r="G811" s="3">
        <v>0</v>
      </c>
      <c r="H811" s="3">
        <v>0</v>
      </c>
      <c r="I811" s="3">
        <v>0</v>
      </c>
      <c r="J811" s="3">
        <f>350*0</f>
        <v>0</v>
      </c>
      <c r="K811" s="14">
        <v>0</v>
      </c>
      <c r="L811" s="13">
        <v>0</v>
      </c>
      <c r="M811" s="13">
        <v>554.65</v>
      </c>
      <c r="N811" s="3">
        <f>M811*6600</f>
        <v>3660690</v>
      </c>
      <c r="O811" s="13">
        <v>0</v>
      </c>
      <c r="P811" s="13">
        <v>0</v>
      </c>
      <c r="Q811" s="13">
        <v>320.8</v>
      </c>
      <c r="R811" s="3">
        <f t="shared" si="215"/>
        <v>1026560</v>
      </c>
      <c r="S811" s="13">
        <v>0</v>
      </c>
      <c r="T811" s="3">
        <v>0</v>
      </c>
      <c r="U811" s="13">
        <v>100000</v>
      </c>
      <c r="V811" s="5">
        <f t="shared" si="214"/>
        <v>6600</v>
      </c>
    </row>
    <row r="812" spans="1:22" ht="25.15" customHeight="1" x14ac:dyDescent="0.25">
      <c r="A812" s="21" t="s">
        <v>2002</v>
      </c>
      <c r="B812" s="24" t="s">
        <v>204</v>
      </c>
      <c r="C812" s="2">
        <f t="shared" si="212"/>
        <v>4796983.51</v>
      </c>
      <c r="D812" s="3">
        <f t="shared" si="213"/>
        <v>0</v>
      </c>
      <c r="E812" s="3">
        <v>0</v>
      </c>
      <c r="F812" s="3">
        <v>0</v>
      </c>
      <c r="G812" s="3">
        <v>0</v>
      </c>
      <c r="H812" s="3">
        <v>0</v>
      </c>
      <c r="I812" s="3">
        <v>0</v>
      </c>
      <c r="J812" s="3">
        <f>350*0</f>
        <v>0</v>
      </c>
      <c r="K812" s="4">
        <v>0</v>
      </c>
      <c r="L812" s="3">
        <v>0</v>
      </c>
      <c r="M812" s="3">
        <v>487.88</v>
      </c>
      <c r="N812" s="3">
        <f>M812*6600</f>
        <v>3220008</v>
      </c>
      <c r="O812" s="3">
        <v>0</v>
      </c>
      <c r="P812" s="3">
        <v>0</v>
      </c>
      <c r="Q812" s="3">
        <v>457.2</v>
      </c>
      <c r="R812" s="3">
        <f t="shared" si="215"/>
        <v>1463040</v>
      </c>
      <c r="S812" s="3">
        <v>0</v>
      </c>
      <c r="T812" s="3">
        <v>0</v>
      </c>
      <c r="U812" s="3">
        <v>113935.51</v>
      </c>
      <c r="V812" s="5">
        <f t="shared" si="214"/>
        <v>6600</v>
      </c>
    </row>
    <row r="813" spans="1:22" ht="24.6" customHeight="1" x14ac:dyDescent="0.25">
      <c r="A813" s="21" t="s">
        <v>2003</v>
      </c>
      <c r="B813" s="24" t="s">
        <v>205</v>
      </c>
      <c r="C813" s="2">
        <f t="shared" si="212"/>
        <v>4085718.84</v>
      </c>
      <c r="D813" s="3">
        <f t="shared" si="213"/>
        <v>0</v>
      </c>
      <c r="E813" s="3">
        <v>0</v>
      </c>
      <c r="F813" s="3">
        <v>0</v>
      </c>
      <c r="G813" s="3">
        <v>0</v>
      </c>
      <c r="H813" s="3">
        <v>0</v>
      </c>
      <c r="I813" s="3">
        <v>0</v>
      </c>
      <c r="J813" s="3">
        <f>350*0</f>
        <v>0</v>
      </c>
      <c r="K813" s="4">
        <v>0</v>
      </c>
      <c r="L813" s="3">
        <v>0</v>
      </c>
      <c r="M813" s="3">
        <v>371.5</v>
      </c>
      <c r="N813" s="3">
        <f>M813*6600</f>
        <v>2451900</v>
      </c>
      <c r="O813" s="3">
        <v>0</v>
      </c>
      <c r="P813" s="3">
        <v>0</v>
      </c>
      <c r="Q813" s="3">
        <v>478</v>
      </c>
      <c r="R813" s="3">
        <f t="shared" si="215"/>
        <v>1529600</v>
      </c>
      <c r="S813" s="3">
        <v>0</v>
      </c>
      <c r="T813" s="3">
        <v>0</v>
      </c>
      <c r="U813" s="3">
        <v>104218.84</v>
      </c>
      <c r="V813" s="5">
        <f t="shared" si="214"/>
        <v>6600</v>
      </c>
    </row>
    <row r="814" spans="1:22" ht="25.15" customHeight="1" x14ac:dyDescent="0.25">
      <c r="A814" s="21" t="s">
        <v>2004</v>
      </c>
      <c r="B814" s="24" t="s">
        <v>206</v>
      </c>
      <c r="C814" s="2">
        <f t="shared" si="212"/>
        <v>3436020</v>
      </c>
      <c r="D814" s="3">
        <f t="shared" si="213"/>
        <v>0</v>
      </c>
      <c r="E814" s="3">
        <v>0</v>
      </c>
      <c r="F814" s="3">
        <v>0</v>
      </c>
      <c r="G814" s="3">
        <v>0</v>
      </c>
      <c r="H814" s="3">
        <v>0</v>
      </c>
      <c r="I814" s="3">
        <v>0</v>
      </c>
      <c r="J814" s="3">
        <v>0</v>
      </c>
      <c r="K814" s="4">
        <v>0</v>
      </c>
      <c r="L814" s="3">
        <v>0</v>
      </c>
      <c r="M814" s="3">
        <v>273.7</v>
      </c>
      <c r="N814" s="3">
        <f>M814*6600</f>
        <v>1806420</v>
      </c>
      <c r="O814" s="3">
        <v>0</v>
      </c>
      <c r="P814" s="3">
        <v>0</v>
      </c>
      <c r="Q814" s="3">
        <v>478</v>
      </c>
      <c r="R814" s="3">
        <f t="shared" si="215"/>
        <v>1529600</v>
      </c>
      <c r="S814" s="3">
        <v>0</v>
      </c>
      <c r="T814" s="3">
        <v>0</v>
      </c>
      <c r="U814" s="3">
        <v>100000</v>
      </c>
      <c r="V814" s="5">
        <f t="shared" si="214"/>
        <v>6600</v>
      </c>
    </row>
    <row r="815" spans="1:22" ht="25.15" customHeight="1" x14ac:dyDescent="0.25">
      <c r="A815" s="21" t="s">
        <v>2005</v>
      </c>
      <c r="B815" s="24" t="s">
        <v>987</v>
      </c>
      <c r="C815" s="2">
        <f t="shared" si="212"/>
        <v>1931817.83</v>
      </c>
      <c r="D815" s="3">
        <f t="shared" si="213"/>
        <v>1828680</v>
      </c>
      <c r="E815" s="3">
        <f>700*2612.4</f>
        <v>1828680</v>
      </c>
      <c r="F815" s="3">
        <v>0</v>
      </c>
      <c r="G815" s="3">
        <v>0</v>
      </c>
      <c r="H815" s="3">
        <v>0</v>
      </c>
      <c r="I815" s="3">
        <v>0</v>
      </c>
      <c r="J815" s="3">
        <v>0</v>
      </c>
      <c r="K815" s="4">
        <v>0</v>
      </c>
      <c r="L815" s="3">
        <v>0</v>
      </c>
      <c r="M815" s="3">
        <v>0</v>
      </c>
      <c r="N815" s="3">
        <v>0</v>
      </c>
      <c r="O815" s="3">
        <v>0</v>
      </c>
      <c r="P815" s="3">
        <v>0</v>
      </c>
      <c r="Q815" s="3">
        <v>0</v>
      </c>
      <c r="R815" s="3">
        <f t="shared" si="215"/>
        <v>0</v>
      </c>
      <c r="S815" s="3">
        <v>0</v>
      </c>
      <c r="T815" s="3">
        <v>0</v>
      </c>
      <c r="U815" s="3">
        <v>103137.83</v>
      </c>
      <c r="V815" s="5" t="e">
        <f t="shared" si="214"/>
        <v>#DIV/0!</v>
      </c>
    </row>
    <row r="816" spans="1:22" ht="25.15" customHeight="1" x14ac:dyDescent="0.25">
      <c r="A816" s="21" t="s">
        <v>2006</v>
      </c>
      <c r="B816" s="24" t="s">
        <v>207</v>
      </c>
      <c r="C816" s="2">
        <f t="shared" si="212"/>
        <v>5424880</v>
      </c>
      <c r="D816" s="3">
        <f t="shared" si="213"/>
        <v>1141140</v>
      </c>
      <c r="E816" s="3">
        <f>700*438.9</f>
        <v>307230</v>
      </c>
      <c r="F816" s="3">
        <f>1300*438.9</f>
        <v>570570</v>
      </c>
      <c r="G816" s="3">
        <f>300*438.9</f>
        <v>131670</v>
      </c>
      <c r="H816" s="3">
        <v>0</v>
      </c>
      <c r="I816" s="3">
        <f>300*438.9</f>
        <v>131670</v>
      </c>
      <c r="J816" s="3">
        <v>0</v>
      </c>
      <c r="K816" s="4">
        <v>0</v>
      </c>
      <c r="L816" s="3">
        <v>0</v>
      </c>
      <c r="M816" s="3">
        <v>371.5</v>
      </c>
      <c r="N816" s="3">
        <f>M816*6600</f>
        <v>2451900</v>
      </c>
      <c r="O816" s="3">
        <v>0</v>
      </c>
      <c r="P816" s="3">
        <v>0</v>
      </c>
      <c r="Q816" s="3">
        <v>478.7</v>
      </c>
      <c r="R816" s="3">
        <f t="shared" si="215"/>
        <v>1531840</v>
      </c>
      <c r="S816" s="3">
        <v>0</v>
      </c>
      <c r="T816" s="3">
        <v>0</v>
      </c>
      <c r="U816" s="3">
        <v>300000</v>
      </c>
      <c r="V816" s="5">
        <f t="shared" si="214"/>
        <v>6600</v>
      </c>
    </row>
    <row r="817" spans="1:22" ht="25.15" customHeight="1" x14ac:dyDescent="0.25">
      <c r="A817" s="21" t="s">
        <v>2007</v>
      </c>
      <c r="B817" s="24" t="s">
        <v>208</v>
      </c>
      <c r="C817" s="2">
        <f t="shared" si="212"/>
        <v>4037433.15</v>
      </c>
      <c r="D817" s="3">
        <f t="shared" si="213"/>
        <v>873600</v>
      </c>
      <c r="E817" s="3">
        <f>700*336</f>
        <v>235200</v>
      </c>
      <c r="F817" s="3">
        <f>1300*336</f>
        <v>436800</v>
      </c>
      <c r="G817" s="3">
        <f>300*336</f>
        <v>100800</v>
      </c>
      <c r="H817" s="3">
        <v>0</v>
      </c>
      <c r="I817" s="3">
        <f>300*336</f>
        <v>100800</v>
      </c>
      <c r="J817" s="3">
        <v>0</v>
      </c>
      <c r="K817" s="4">
        <v>0</v>
      </c>
      <c r="L817" s="3">
        <v>0</v>
      </c>
      <c r="M817" s="3">
        <v>269.3</v>
      </c>
      <c r="N817" s="3">
        <f>M817*6600</f>
        <v>1777380</v>
      </c>
      <c r="O817" s="3">
        <v>0</v>
      </c>
      <c r="P817" s="3">
        <v>0</v>
      </c>
      <c r="Q817" s="3">
        <v>392</v>
      </c>
      <c r="R817" s="3">
        <f t="shared" si="215"/>
        <v>1254400</v>
      </c>
      <c r="S817" s="3">
        <v>0</v>
      </c>
      <c r="T817" s="3">
        <v>0</v>
      </c>
      <c r="U817" s="3">
        <v>132053.15</v>
      </c>
      <c r="V817" s="5">
        <f t="shared" si="214"/>
        <v>6600</v>
      </c>
    </row>
    <row r="818" spans="1:22" ht="45" customHeight="1" x14ac:dyDescent="0.25">
      <c r="A818" s="51" t="s">
        <v>213</v>
      </c>
      <c r="B818" s="51"/>
      <c r="C818" s="2">
        <f t="shared" ref="C818:U818" si="216">SUM(C819:C826)</f>
        <v>35955312</v>
      </c>
      <c r="D818" s="2">
        <f t="shared" si="216"/>
        <v>4656960</v>
      </c>
      <c r="E818" s="2">
        <f t="shared" si="216"/>
        <v>1031380</v>
      </c>
      <c r="F818" s="2">
        <f t="shared" si="216"/>
        <v>1454460</v>
      </c>
      <c r="G818" s="2">
        <f t="shared" si="216"/>
        <v>914670</v>
      </c>
      <c r="H818" s="2">
        <f t="shared" si="216"/>
        <v>554080</v>
      </c>
      <c r="I818" s="2">
        <f t="shared" si="216"/>
        <v>702370</v>
      </c>
      <c r="J818" s="2">
        <f t="shared" si="216"/>
        <v>0</v>
      </c>
      <c r="K818" s="18">
        <f t="shared" si="216"/>
        <v>0</v>
      </c>
      <c r="L818" s="2">
        <f t="shared" si="216"/>
        <v>0</v>
      </c>
      <c r="M818" s="2">
        <f t="shared" si="216"/>
        <v>2877.0999999999995</v>
      </c>
      <c r="N818" s="2">
        <f t="shared" si="216"/>
        <v>17834960</v>
      </c>
      <c r="O818" s="2">
        <f t="shared" si="216"/>
        <v>0</v>
      </c>
      <c r="P818" s="2">
        <f t="shared" si="216"/>
        <v>0</v>
      </c>
      <c r="Q818" s="2">
        <f t="shared" si="216"/>
        <v>3964.84</v>
      </c>
      <c r="R818" s="2">
        <f t="shared" si="216"/>
        <v>12431888</v>
      </c>
      <c r="S818" s="2">
        <f t="shared" si="216"/>
        <v>231504</v>
      </c>
      <c r="T818" s="2">
        <f t="shared" si="216"/>
        <v>0</v>
      </c>
      <c r="U818" s="2">
        <f t="shared" si="216"/>
        <v>800000</v>
      </c>
    </row>
    <row r="819" spans="1:22" ht="25.15" customHeight="1" x14ac:dyDescent="0.25">
      <c r="A819" s="21" t="s">
        <v>2008</v>
      </c>
      <c r="B819" s="24" t="s">
        <v>214</v>
      </c>
      <c r="C819" s="2">
        <f t="shared" ref="C819:C826" si="217">D819+L819+N819+P819+R819+S819+T819+U819</f>
        <v>6193000</v>
      </c>
      <c r="D819" s="3">
        <f t="shared" ref="D819:D826" si="218">SUM(E819:J819)</f>
        <v>1385200</v>
      </c>
      <c r="E819" s="3">
        <v>0</v>
      </c>
      <c r="F819" s="3">
        <f>1050*692.6</f>
        <v>727230</v>
      </c>
      <c r="G819" s="3">
        <f>300*692.6</f>
        <v>207780</v>
      </c>
      <c r="H819" s="3">
        <f>400*692.6</f>
        <v>277040</v>
      </c>
      <c r="I819" s="3">
        <f>250*692.6</f>
        <v>173150</v>
      </c>
      <c r="J819" s="3">
        <f t="shared" ref="J819:J824" si="219">350*0</f>
        <v>0</v>
      </c>
      <c r="K819" s="4">
        <v>0</v>
      </c>
      <c r="L819" s="3">
        <v>0</v>
      </c>
      <c r="M819" s="3">
        <v>525.6</v>
      </c>
      <c r="N819" s="3">
        <f>M819*5500</f>
        <v>2890800</v>
      </c>
      <c r="O819" s="3">
        <v>0</v>
      </c>
      <c r="P819" s="3">
        <v>0</v>
      </c>
      <c r="Q819" s="3">
        <v>639</v>
      </c>
      <c r="R819" s="3">
        <f>Q819*3000</f>
        <v>1917000</v>
      </c>
      <c r="S819" s="3">
        <v>0</v>
      </c>
      <c r="T819" s="3">
        <v>0</v>
      </c>
      <c r="U819" s="3">
        <v>0</v>
      </c>
      <c r="V819" s="5">
        <f t="shared" ref="V819:V826" si="220">N819/M819</f>
        <v>5500</v>
      </c>
    </row>
    <row r="820" spans="1:22" ht="25.15" customHeight="1" x14ac:dyDescent="0.25">
      <c r="A820" s="21" t="s">
        <v>2009</v>
      </c>
      <c r="B820" s="24" t="s">
        <v>215</v>
      </c>
      <c r="C820" s="2">
        <f t="shared" si="217"/>
        <v>6180900</v>
      </c>
      <c r="D820" s="3">
        <f t="shared" si="218"/>
        <v>1385200</v>
      </c>
      <c r="E820" s="3">
        <v>0</v>
      </c>
      <c r="F820" s="3">
        <f>1050*692.6</f>
        <v>727230</v>
      </c>
      <c r="G820" s="3">
        <f>300*692.6</f>
        <v>207780</v>
      </c>
      <c r="H820" s="3">
        <f>400*692.6</f>
        <v>277040</v>
      </c>
      <c r="I820" s="3">
        <f>250*692.6</f>
        <v>173150</v>
      </c>
      <c r="J820" s="3">
        <f t="shared" si="219"/>
        <v>0</v>
      </c>
      <c r="K820" s="4">
        <v>0</v>
      </c>
      <c r="L820" s="3">
        <v>0</v>
      </c>
      <c r="M820" s="3">
        <v>523.4</v>
      </c>
      <c r="N820" s="3">
        <f>M820*5500</f>
        <v>2878700</v>
      </c>
      <c r="O820" s="3">
        <v>0</v>
      </c>
      <c r="P820" s="3">
        <v>0</v>
      </c>
      <c r="Q820" s="3">
        <v>639</v>
      </c>
      <c r="R820" s="3">
        <f>Q820*3000</f>
        <v>1917000</v>
      </c>
      <c r="S820" s="3">
        <v>0</v>
      </c>
      <c r="T820" s="3">
        <v>0</v>
      </c>
      <c r="U820" s="3">
        <v>0</v>
      </c>
      <c r="V820" s="5">
        <f t="shared" si="220"/>
        <v>5500</v>
      </c>
    </row>
    <row r="821" spans="1:22" ht="25.15" customHeight="1" x14ac:dyDescent="0.25">
      <c r="A821" s="21" t="s">
        <v>2010</v>
      </c>
      <c r="B821" s="24" t="s">
        <v>220</v>
      </c>
      <c r="C821" s="2">
        <f t="shared" si="217"/>
        <v>4967000</v>
      </c>
      <c r="D821" s="3">
        <f t="shared" si="218"/>
        <v>615680</v>
      </c>
      <c r="E821" s="3">
        <f>700*473.6</f>
        <v>331520</v>
      </c>
      <c r="F821" s="3">
        <v>0</v>
      </c>
      <c r="G821" s="3">
        <f>300*473.6</f>
        <v>142080</v>
      </c>
      <c r="H821" s="3">
        <v>0</v>
      </c>
      <c r="I821" s="3">
        <f>300*473.6</f>
        <v>142080</v>
      </c>
      <c r="J821" s="3">
        <f t="shared" si="219"/>
        <v>0</v>
      </c>
      <c r="K821" s="4">
        <v>0</v>
      </c>
      <c r="L821" s="3">
        <v>0</v>
      </c>
      <c r="M821" s="3">
        <v>379.8</v>
      </c>
      <c r="N821" s="3">
        <f t="shared" ref="N821:N826" si="221">M821*6600</f>
        <v>2506680</v>
      </c>
      <c r="O821" s="3">
        <v>0</v>
      </c>
      <c r="P821" s="3">
        <v>0</v>
      </c>
      <c r="Q821" s="3">
        <v>545.20000000000005</v>
      </c>
      <c r="R821" s="3">
        <f t="shared" ref="R821:R826" si="222">Q821*3200</f>
        <v>1744640.0000000002</v>
      </c>
      <c r="S821" s="3">
        <v>0</v>
      </c>
      <c r="T821" s="3">
        <v>0</v>
      </c>
      <c r="U821" s="3">
        <v>100000</v>
      </c>
      <c r="V821" s="5">
        <f t="shared" si="220"/>
        <v>6600</v>
      </c>
    </row>
    <row r="822" spans="1:22" ht="25.15" customHeight="1" x14ac:dyDescent="0.25">
      <c r="A822" s="21" t="s">
        <v>2011</v>
      </c>
      <c r="B822" s="24" t="s">
        <v>223</v>
      </c>
      <c r="C822" s="2">
        <f t="shared" si="217"/>
        <v>3694890</v>
      </c>
      <c r="D822" s="3">
        <f t="shared" si="218"/>
        <v>466050</v>
      </c>
      <c r="E822" s="3">
        <f>700*358.5</f>
        <v>250950</v>
      </c>
      <c r="F822" s="3">
        <v>0</v>
      </c>
      <c r="G822" s="3">
        <f>300*358.5</f>
        <v>107550</v>
      </c>
      <c r="H822" s="3">
        <v>0</v>
      </c>
      <c r="I822" s="3">
        <f>300*358.5</f>
        <v>107550</v>
      </c>
      <c r="J822" s="3">
        <f t="shared" si="219"/>
        <v>0</v>
      </c>
      <c r="K822" s="4">
        <v>0</v>
      </c>
      <c r="L822" s="3">
        <v>0</v>
      </c>
      <c r="M822" s="3">
        <v>257</v>
      </c>
      <c r="N822" s="3">
        <f t="shared" si="221"/>
        <v>1696200</v>
      </c>
      <c r="O822" s="3">
        <v>0</v>
      </c>
      <c r="P822" s="3">
        <v>0</v>
      </c>
      <c r="Q822" s="3">
        <v>447.7</v>
      </c>
      <c r="R822" s="3">
        <f t="shared" si="222"/>
        <v>1432640</v>
      </c>
      <c r="S822" s="3">
        <v>0</v>
      </c>
      <c r="T822" s="3">
        <v>0</v>
      </c>
      <c r="U822" s="3">
        <v>100000</v>
      </c>
      <c r="V822" s="5">
        <f t="shared" si="220"/>
        <v>6600</v>
      </c>
    </row>
    <row r="823" spans="1:22" ht="25.15" customHeight="1" x14ac:dyDescent="0.25">
      <c r="A823" s="21" t="s">
        <v>2012</v>
      </c>
      <c r="B823" s="24" t="s">
        <v>221</v>
      </c>
      <c r="C823" s="2">
        <f t="shared" si="217"/>
        <v>3991306</v>
      </c>
      <c r="D823" s="3">
        <f t="shared" si="218"/>
        <v>461240</v>
      </c>
      <c r="E823" s="3">
        <f>700*354.8</f>
        <v>248360</v>
      </c>
      <c r="F823" s="3">
        <v>0</v>
      </c>
      <c r="G823" s="3">
        <f>300*354.8</f>
        <v>106440</v>
      </c>
      <c r="H823" s="3">
        <v>0</v>
      </c>
      <c r="I823" s="3">
        <f>300*354.8</f>
        <v>106440</v>
      </c>
      <c r="J823" s="3">
        <f t="shared" si="219"/>
        <v>0</v>
      </c>
      <c r="K823" s="4">
        <v>0</v>
      </c>
      <c r="L823" s="3">
        <v>0</v>
      </c>
      <c r="M823" s="3">
        <v>255.83</v>
      </c>
      <c r="N823" s="3">
        <f t="shared" si="221"/>
        <v>1688478</v>
      </c>
      <c r="O823" s="3">
        <v>0</v>
      </c>
      <c r="P823" s="3">
        <v>0</v>
      </c>
      <c r="Q823" s="3">
        <v>443.5</v>
      </c>
      <c r="R823" s="3">
        <f t="shared" si="222"/>
        <v>1419200</v>
      </c>
      <c r="S823" s="3">
        <v>122388</v>
      </c>
      <c r="T823" s="3">
        <v>0</v>
      </c>
      <c r="U823" s="3">
        <v>300000</v>
      </c>
      <c r="V823" s="5">
        <f t="shared" si="220"/>
        <v>6600</v>
      </c>
    </row>
    <row r="824" spans="1:22" ht="25.15" customHeight="1" x14ac:dyDescent="0.25">
      <c r="A824" s="21" t="s">
        <v>2013</v>
      </c>
      <c r="B824" s="24" t="s">
        <v>222</v>
      </c>
      <c r="C824" s="2">
        <f t="shared" si="217"/>
        <v>4097080</v>
      </c>
      <c r="D824" s="3">
        <f t="shared" si="218"/>
        <v>143040</v>
      </c>
      <c r="E824" s="3">
        <v>0</v>
      </c>
      <c r="F824" s="3">
        <v>0</v>
      </c>
      <c r="G824" s="3">
        <f>300*476.8</f>
        <v>143040</v>
      </c>
      <c r="H824" s="3">
        <v>0</v>
      </c>
      <c r="I824" s="3">
        <v>0</v>
      </c>
      <c r="J824" s="3">
        <f t="shared" si="219"/>
        <v>0</v>
      </c>
      <c r="K824" s="4">
        <v>0</v>
      </c>
      <c r="L824" s="3">
        <v>0</v>
      </c>
      <c r="M824" s="3">
        <v>365.4</v>
      </c>
      <c r="N824" s="3">
        <f t="shared" si="221"/>
        <v>2411640</v>
      </c>
      <c r="O824" s="3">
        <v>0</v>
      </c>
      <c r="P824" s="3">
        <v>0</v>
      </c>
      <c r="Q824" s="3">
        <v>482</v>
      </c>
      <c r="R824" s="3">
        <f t="shared" si="222"/>
        <v>1542400</v>
      </c>
      <c r="S824" s="3">
        <v>0</v>
      </c>
      <c r="T824" s="3">
        <v>0</v>
      </c>
      <c r="U824" s="3">
        <v>0</v>
      </c>
      <c r="V824" s="5">
        <f t="shared" si="220"/>
        <v>6600</v>
      </c>
    </row>
    <row r="825" spans="1:22" ht="25.15" customHeight="1" x14ac:dyDescent="0.25">
      <c r="A825" s="21" t="s">
        <v>2014</v>
      </c>
      <c r="B825" s="24" t="s">
        <v>225</v>
      </c>
      <c r="C825" s="2">
        <f t="shared" si="217"/>
        <v>3292960</v>
      </c>
      <c r="D825" s="3">
        <f t="shared" si="218"/>
        <v>0</v>
      </c>
      <c r="E825" s="3">
        <v>0</v>
      </c>
      <c r="F825" s="3">
        <f>800*0</f>
        <v>0</v>
      </c>
      <c r="G825" s="3">
        <v>0</v>
      </c>
      <c r="H825" s="3">
        <f>400*0</f>
        <v>0</v>
      </c>
      <c r="I825" s="3">
        <v>0</v>
      </c>
      <c r="J825" s="3">
        <v>0</v>
      </c>
      <c r="K825" s="4">
        <v>0</v>
      </c>
      <c r="L825" s="3">
        <v>0</v>
      </c>
      <c r="M825" s="3">
        <v>301.60000000000002</v>
      </c>
      <c r="N825" s="3">
        <f t="shared" si="221"/>
        <v>1990560.0000000002</v>
      </c>
      <c r="O825" s="3">
        <v>0</v>
      </c>
      <c r="P825" s="3">
        <v>0</v>
      </c>
      <c r="Q825" s="3">
        <v>407</v>
      </c>
      <c r="R825" s="3">
        <f t="shared" si="222"/>
        <v>1302400</v>
      </c>
      <c r="S825" s="3">
        <v>0</v>
      </c>
      <c r="T825" s="3">
        <v>0</v>
      </c>
      <c r="U825" s="3">
        <v>0</v>
      </c>
      <c r="V825" s="5">
        <f t="shared" si="220"/>
        <v>6600</v>
      </c>
    </row>
    <row r="826" spans="1:22" ht="24.6" customHeight="1" x14ac:dyDescent="0.25">
      <c r="A826" s="21" t="s">
        <v>1632</v>
      </c>
      <c r="B826" s="24" t="s">
        <v>224</v>
      </c>
      <c r="C826" s="2">
        <f t="shared" si="217"/>
        <v>3538176</v>
      </c>
      <c r="D826" s="3">
        <f t="shared" si="218"/>
        <v>200550</v>
      </c>
      <c r="E826" s="3">
        <f>700*286.5</f>
        <v>200550</v>
      </c>
      <c r="F826" s="3">
        <v>0</v>
      </c>
      <c r="G826" s="3">
        <v>0</v>
      </c>
      <c r="H826" s="3">
        <v>0</v>
      </c>
      <c r="I826" s="3">
        <v>0</v>
      </c>
      <c r="J826" s="3">
        <f>350*0</f>
        <v>0</v>
      </c>
      <c r="K826" s="4">
        <v>0</v>
      </c>
      <c r="L826" s="3">
        <v>0</v>
      </c>
      <c r="M826" s="3">
        <v>268.47000000000003</v>
      </c>
      <c r="N826" s="3">
        <f t="shared" si="221"/>
        <v>1771902.0000000002</v>
      </c>
      <c r="O826" s="3">
        <v>0</v>
      </c>
      <c r="P826" s="3">
        <v>0</v>
      </c>
      <c r="Q826" s="3">
        <v>361.44</v>
      </c>
      <c r="R826" s="3">
        <f t="shared" si="222"/>
        <v>1156608</v>
      </c>
      <c r="S826" s="3">
        <v>109116</v>
      </c>
      <c r="T826" s="3">
        <v>0</v>
      </c>
      <c r="U826" s="3">
        <v>300000</v>
      </c>
      <c r="V826" s="5">
        <f t="shared" si="220"/>
        <v>6600</v>
      </c>
    </row>
    <row r="827" spans="1:22" ht="45" customHeight="1" x14ac:dyDescent="0.25">
      <c r="A827" s="51" t="s">
        <v>230</v>
      </c>
      <c r="B827" s="51"/>
      <c r="C827" s="2">
        <f t="shared" ref="C827:U827" si="223">SUM(C828:C830)</f>
        <v>11513482.970000001</v>
      </c>
      <c r="D827" s="2">
        <f t="shared" si="223"/>
        <v>1868310</v>
      </c>
      <c r="E827" s="2">
        <f t="shared" si="223"/>
        <v>622965</v>
      </c>
      <c r="F827" s="2">
        <f t="shared" si="223"/>
        <v>432900</v>
      </c>
      <c r="G827" s="2">
        <f t="shared" si="223"/>
        <v>434070</v>
      </c>
      <c r="H827" s="2">
        <f t="shared" si="223"/>
        <v>0</v>
      </c>
      <c r="I827" s="2">
        <f t="shared" si="223"/>
        <v>378375</v>
      </c>
      <c r="J827" s="2">
        <f t="shared" si="223"/>
        <v>0</v>
      </c>
      <c r="K827" s="18">
        <f t="shared" si="223"/>
        <v>0</v>
      </c>
      <c r="L827" s="2">
        <f t="shared" si="223"/>
        <v>0</v>
      </c>
      <c r="M827" s="2">
        <f t="shared" si="223"/>
        <v>772</v>
      </c>
      <c r="N827" s="2">
        <f t="shared" si="223"/>
        <v>5095200</v>
      </c>
      <c r="O827" s="2">
        <f t="shared" si="223"/>
        <v>0</v>
      </c>
      <c r="P827" s="2">
        <f t="shared" si="223"/>
        <v>0</v>
      </c>
      <c r="Q827" s="2">
        <f t="shared" si="223"/>
        <v>1418.9</v>
      </c>
      <c r="R827" s="2">
        <f t="shared" si="223"/>
        <v>4343300</v>
      </c>
      <c r="S827" s="2">
        <f t="shared" si="223"/>
        <v>0</v>
      </c>
      <c r="T827" s="2">
        <f t="shared" si="223"/>
        <v>0</v>
      </c>
      <c r="U827" s="2">
        <f t="shared" si="223"/>
        <v>206672.97</v>
      </c>
      <c r="V827" s="20">
        <f>C827</f>
        <v>11513482.970000001</v>
      </c>
    </row>
    <row r="828" spans="1:22" ht="24.6" customHeight="1" x14ac:dyDescent="0.25">
      <c r="A828" s="21" t="s">
        <v>1633</v>
      </c>
      <c r="B828" s="24" t="s">
        <v>228</v>
      </c>
      <c r="C828" s="2">
        <f>D828+L828+N828+P828+R828+S828+T828+U828</f>
        <v>4060210</v>
      </c>
      <c r="D828" s="3">
        <f>SUM(E828:J828)</f>
        <v>1002510</v>
      </c>
      <c r="E828" s="3">
        <f>350*1113.9</f>
        <v>389865.00000000006</v>
      </c>
      <c r="F828" s="3">
        <v>0</v>
      </c>
      <c r="G828" s="3">
        <f>300*1113.9</f>
        <v>334170</v>
      </c>
      <c r="H828" s="3">
        <v>0</v>
      </c>
      <c r="I828" s="3">
        <f>250*1113.9</f>
        <v>278475</v>
      </c>
      <c r="J828" s="3">
        <f>350*0</f>
        <v>0</v>
      </c>
      <c r="K828" s="4">
        <v>0</v>
      </c>
      <c r="L828" s="3">
        <v>0</v>
      </c>
      <c r="M828" s="3">
        <v>0</v>
      </c>
      <c r="N828" s="3">
        <f>M828*5500</f>
        <v>0</v>
      </c>
      <c r="O828" s="3">
        <v>0</v>
      </c>
      <c r="P828" s="3">
        <v>0</v>
      </c>
      <c r="Q828" s="3">
        <v>985.9</v>
      </c>
      <c r="R828" s="3">
        <f>Q828*3000</f>
        <v>2957700</v>
      </c>
      <c r="S828" s="3">
        <v>0</v>
      </c>
      <c r="T828" s="3">
        <v>0</v>
      </c>
      <c r="U828" s="3">
        <v>100000</v>
      </c>
      <c r="V828" s="5" t="e">
        <f>N828/M828</f>
        <v>#DIV/0!</v>
      </c>
    </row>
    <row r="829" spans="1:22" ht="25.15" customHeight="1" x14ac:dyDescent="0.25">
      <c r="A829" s="21" t="s">
        <v>1634</v>
      </c>
      <c r="B829" s="24" t="s">
        <v>1181</v>
      </c>
      <c r="C829" s="2">
        <f>D829+L829+N829+P829+R829+S829+T829+U829</f>
        <v>3300000</v>
      </c>
      <c r="D829" s="3">
        <f>SUM(E829:J829)</f>
        <v>0</v>
      </c>
      <c r="E829" s="3">
        <v>0</v>
      </c>
      <c r="F829" s="3">
        <v>0</v>
      </c>
      <c r="G829" s="3">
        <v>0</v>
      </c>
      <c r="H829" s="3">
        <v>0</v>
      </c>
      <c r="I829" s="3">
        <v>0</v>
      </c>
      <c r="J829" s="3">
        <f>350*0</f>
        <v>0</v>
      </c>
      <c r="K829" s="4">
        <v>0</v>
      </c>
      <c r="L829" s="3">
        <v>0</v>
      </c>
      <c r="M829" s="3">
        <v>500</v>
      </c>
      <c r="N829" s="3">
        <f>M829*6600</f>
        <v>3300000</v>
      </c>
      <c r="O829" s="3">
        <v>0</v>
      </c>
      <c r="P829" s="3">
        <v>0</v>
      </c>
      <c r="Q829" s="3">
        <v>0</v>
      </c>
      <c r="R829" s="3">
        <f>Q829*3200</f>
        <v>0</v>
      </c>
      <c r="S829" s="3">
        <v>0</v>
      </c>
      <c r="T829" s="3">
        <v>0</v>
      </c>
      <c r="U829" s="3">
        <v>0</v>
      </c>
      <c r="V829" s="5">
        <f>N829/M829</f>
        <v>6600</v>
      </c>
    </row>
    <row r="830" spans="1:22" ht="25.15" customHeight="1" x14ac:dyDescent="0.25">
      <c r="A830" s="21" t="s">
        <v>1635</v>
      </c>
      <c r="B830" s="24" t="s">
        <v>229</v>
      </c>
      <c r="C830" s="2">
        <f>D830+L830+N830+P830+R830+S830+T830+U830</f>
        <v>4153272.97</v>
      </c>
      <c r="D830" s="3">
        <f>SUM(E830:J830)</f>
        <v>865800</v>
      </c>
      <c r="E830" s="3">
        <f>700*333</f>
        <v>233100</v>
      </c>
      <c r="F830" s="3">
        <f>1300*333</f>
        <v>432900</v>
      </c>
      <c r="G830" s="3">
        <f>300*333</f>
        <v>99900</v>
      </c>
      <c r="H830" s="3">
        <v>0</v>
      </c>
      <c r="I830" s="3">
        <f>300*333</f>
        <v>99900</v>
      </c>
      <c r="J830" s="3">
        <f>350*0</f>
        <v>0</v>
      </c>
      <c r="K830" s="4">
        <v>0</v>
      </c>
      <c r="L830" s="3">
        <v>0</v>
      </c>
      <c r="M830" s="3">
        <v>272</v>
      </c>
      <c r="N830" s="3">
        <f>M830*6600</f>
        <v>1795200</v>
      </c>
      <c r="O830" s="3">
        <v>0</v>
      </c>
      <c r="P830" s="3">
        <v>0</v>
      </c>
      <c r="Q830" s="3">
        <v>433</v>
      </c>
      <c r="R830" s="3">
        <f>Q830*3200</f>
        <v>1385600</v>
      </c>
      <c r="S830" s="3">
        <v>0</v>
      </c>
      <c r="T830" s="3">
        <v>0</v>
      </c>
      <c r="U830" s="3">
        <v>106672.97</v>
      </c>
      <c r="V830" s="5">
        <f>N830/M830</f>
        <v>6600</v>
      </c>
    </row>
    <row r="831" spans="1:22" ht="45" customHeight="1" x14ac:dyDescent="0.25">
      <c r="A831" s="51" t="s">
        <v>255</v>
      </c>
      <c r="B831" s="51"/>
      <c r="C831" s="2">
        <f t="shared" ref="C831:U831" si="224">SUM(C832:C848)</f>
        <v>147821086.71000001</v>
      </c>
      <c r="D831" s="2">
        <f t="shared" si="224"/>
        <v>40912992</v>
      </c>
      <c r="E831" s="2">
        <f t="shared" si="224"/>
        <v>10222604</v>
      </c>
      <c r="F831" s="2">
        <f t="shared" si="224"/>
        <v>20988446</v>
      </c>
      <c r="G831" s="2">
        <f t="shared" si="224"/>
        <v>4898676</v>
      </c>
      <c r="H831" s="2">
        <f t="shared" si="224"/>
        <v>0</v>
      </c>
      <c r="I831" s="2">
        <f t="shared" si="224"/>
        <v>4803266</v>
      </c>
      <c r="J831" s="2">
        <f t="shared" si="224"/>
        <v>0</v>
      </c>
      <c r="K831" s="18">
        <f t="shared" si="224"/>
        <v>0</v>
      </c>
      <c r="L831" s="2">
        <f t="shared" si="224"/>
        <v>0</v>
      </c>
      <c r="M831" s="2">
        <f t="shared" si="224"/>
        <v>8937.1999999999989</v>
      </c>
      <c r="N831" s="2">
        <f t="shared" si="224"/>
        <v>50105390</v>
      </c>
      <c r="O831" s="2">
        <f t="shared" si="224"/>
        <v>1939.0000000000002</v>
      </c>
      <c r="P831" s="2">
        <f t="shared" si="224"/>
        <v>2326800</v>
      </c>
      <c r="Q831" s="2">
        <f t="shared" si="224"/>
        <v>16183.900000000001</v>
      </c>
      <c r="R831" s="2">
        <f t="shared" si="224"/>
        <v>51047680</v>
      </c>
      <c r="S831" s="2">
        <f t="shared" si="224"/>
        <v>1880443.6</v>
      </c>
      <c r="T831" s="2">
        <f t="shared" si="224"/>
        <v>0</v>
      </c>
      <c r="U831" s="2">
        <f t="shared" si="224"/>
        <v>1547781.1099999999</v>
      </c>
    </row>
    <row r="832" spans="1:22" ht="25.15" customHeight="1" x14ac:dyDescent="0.25">
      <c r="A832" s="21" t="s">
        <v>1636</v>
      </c>
      <c r="B832" s="24" t="s">
        <v>913</v>
      </c>
      <c r="C832" s="2">
        <f t="shared" ref="C832:C848" si="225">D832+L832+N832+P832+R832+S832+T832+U832</f>
        <v>5382000</v>
      </c>
      <c r="D832" s="3">
        <f t="shared" ref="D832:D848" si="226">SUM(E832:J832)</f>
        <v>5382000</v>
      </c>
      <c r="E832" s="3">
        <f>700*2070</f>
        <v>1449000</v>
      </c>
      <c r="F832" s="3">
        <f>1300*2070</f>
        <v>2691000</v>
      </c>
      <c r="G832" s="3">
        <f>300*2070</f>
        <v>621000</v>
      </c>
      <c r="H832" s="3">
        <v>0</v>
      </c>
      <c r="I832" s="3">
        <f>300*2070</f>
        <v>621000</v>
      </c>
      <c r="J832" s="3">
        <v>0</v>
      </c>
      <c r="K832" s="14">
        <v>0</v>
      </c>
      <c r="L832" s="13">
        <v>0</v>
      </c>
      <c r="M832" s="13">
        <v>0</v>
      </c>
      <c r="N832" s="13">
        <v>0</v>
      </c>
      <c r="O832" s="13">
        <v>0</v>
      </c>
      <c r="P832" s="13">
        <v>0</v>
      </c>
      <c r="Q832" s="13">
        <v>0</v>
      </c>
      <c r="R832" s="3">
        <f>Q832*3200</f>
        <v>0</v>
      </c>
      <c r="S832" s="13">
        <v>0</v>
      </c>
      <c r="T832" s="13">
        <v>0</v>
      </c>
      <c r="U832" s="13">
        <v>0</v>
      </c>
      <c r="V832" s="5" t="e">
        <f t="shared" ref="V832:V841" si="227">N832/M832</f>
        <v>#DIV/0!</v>
      </c>
    </row>
    <row r="833" spans="1:22" ht="25.15" customHeight="1" x14ac:dyDescent="0.25">
      <c r="A833" s="21" t="s">
        <v>1637</v>
      </c>
      <c r="B833" s="24" t="s">
        <v>900</v>
      </c>
      <c r="C833" s="2">
        <f t="shared" si="225"/>
        <v>3280200</v>
      </c>
      <c r="D833" s="3">
        <f t="shared" si="226"/>
        <v>0</v>
      </c>
      <c r="E833" s="13">
        <v>0</v>
      </c>
      <c r="F833" s="13">
        <v>0</v>
      </c>
      <c r="G833" s="13">
        <v>0</v>
      </c>
      <c r="H833" s="13">
        <v>0</v>
      </c>
      <c r="I833" s="13">
        <v>0</v>
      </c>
      <c r="J833" s="13">
        <v>0</v>
      </c>
      <c r="K833" s="14">
        <v>0</v>
      </c>
      <c r="L833" s="13">
        <v>0</v>
      </c>
      <c r="M833" s="13">
        <v>497</v>
      </c>
      <c r="N833" s="13">
        <f>M833*6600</f>
        <v>3280200</v>
      </c>
      <c r="O833" s="13">
        <v>0</v>
      </c>
      <c r="P833" s="13">
        <v>0</v>
      </c>
      <c r="Q833" s="13">
        <v>0</v>
      </c>
      <c r="R833" s="3">
        <f>Q833*3200</f>
        <v>0</v>
      </c>
      <c r="S833" s="13">
        <v>0</v>
      </c>
      <c r="T833" s="13">
        <v>0</v>
      </c>
      <c r="U833" s="13">
        <v>0</v>
      </c>
      <c r="V833" s="5">
        <f t="shared" si="227"/>
        <v>6600</v>
      </c>
    </row>
    <row r="834" spans="1:22" ht="25.15" customHeight="1" x14ac:dyDescent="0.25">
      <c r="A834" s="21" t="s">
        <v>1638</v>
      </c>
      <c r="B834" s="26" t="s">
        <v>235</v>
      </c>
      <c r="C834" s="2">
        <f t="shared" si="225"/>
        <v>17698500</v>
      </c>
      <c r="D834" s="3">
        <f t="shared" si="226"/>
        <v>9053200</v>
      </c>
      <c r="E834" s="3">
        <f>700*3482</f>
        <v>2437400</v>
      </c>
      <c r="F834" s="3">
        <f>1300*3482</f>
        <v>4526600</v>
      </c>
      <c r="G834" s="3">
        <f>300*3482</f>
        <v>1044600</v>
      </c>
      <c r="H834" s="3">
        <v>0</v>
      </c>
      <c r="I834" s="3">
        <f>300*3482</f>
        <v>1044600</v>
      </c>
      <c r="J834" s="3">
        <f t="shared" ref="J834:J840" si="228">350*0</f>
        <v>0</v>
      </c>
      <c r="K834" s="4">
        <v>0</v>
      </c>
      <c r="L834" s="3">
        <v>0</v>
      </c>
      <c r="M834" s="3">
        <v>0</v>
      </c>
      <c r="N834" s="3">
        <v>0</v>
      </c>
      <c r="O834" s="3">
        <v>817.75</v>
      </c>
      <c r="P834" s="3">
        <f>O834*1200</f>
        <v>981300</v>
      </c>
      <c r="Q834" s="3">
        <v>2395</v>
      </c>
      <c r="R834" s="3">
        <f>Q834*3200</f>
        <v>7664000</v>
      </c>
      <c r="S834" s="3">
        <v>0</v>
      </c>
      <c r="T834" s="3">
        <v>0</v>
      </c>
      <c r="U834" s="3">
        <v>0</v>
      </c>
      <c r="V834" s="5" t="e">
        <f t="shared" si="227"/>
        <v>#DIV/0!</v>
      </c>
    </row>
    <row r="835" spans="1:22" ht="25.15" customHeight="1" x14ac:dyDescent="0.25">
      <c r="A835" s="21" t="s">
        <v>1639</v>
      </c>
      <c r="B835" s="26" t="s">
        <v>236</v>
      </c>
      <c r="C835" s="2">
        <f t="shared" si="225"/>
        <v>9530400</v>
      </c>
      <c r="D835" s="3">
        <f t="shared" si="226"/>
        <v>1880000</v>
      </c>
      <c r="E835" s="3">
        <f>700*940</f>
        <v>658000</v>
      </c>
      <c r="F835" s="3">
        <f>1300*940</f>
        <v>1222000</v>
      </c>
      <c r="G835" s="3">
        <v>0</v>
      </c>
      <c r="H835" s="3">
        <f>400*0</f>
        <v>0</v>
      </c>
      <c r="I835" s="3">
        <v>0</v>
      </c>
      <c r="J835" s="3">
        <f t="shared" si="228"/>
        <v>0</v>
      </c>
      <c r="K835" s="4">
        <v>0</v>
      </c>
      <c r="L835" s="3">
        <v>0</v>
      </c>
      <c r="M835" s="3">
        <v>690</v>
      </c>
      <c r="N835" s="3">
        <f>M835*6600</f>
        <v>4554000</v>
      </c>
      <c r="O835" s="3">
        <v>0</v>
      </c>
      <c r="P835" s="3">
        <v>0</v>
      </c>
      <c r="Q835" s="3">
        <v>827</v>
      </c>
      <c r="R835" s="3">
        <f>Q835*3200</f>
        <v>2646400</v>
      </c>
      <c r="S835" s="3">
        <v>250000</v>
      </c>
      <c r="T835" s="3">
        <v>0</v>
      </c>
      <c r="U835" s="3">
        <v>200000</v>
      </c>
      <c r="V835" s="5">
        <f t="shared" si="227"/>
        <v>6600</v>
      </c>
    </row>
    <row r="836" spans="1:22" ht="24.6" customHeight="1" x14ac:dyDescent="0.25">
      <c r="A836" s="21" t="s">
        <v>1640</v>
      </c>
      <c r="B836" s="26" t="s">
        <v>234</v>
      </c>
      <c r="C836" s="2">
        <f t="shared" si="225"/>
        <v>6309640</v>
      </c>
      <c r="D836" s="3">
        <f t="shared" si="226"/>
        <v>454200</v>
      </c>
      <c r="E836" s="3">
        <v>0</v>
      </c>
      <c r="F836" s="3">
        <v>0</v>
      </c>
      <c r="G836" s="3">
        <f>300*757</f>
        <v>227100</v>
      </c>
      <c r="H836" s="3">
        <f>400*0</f>
        <v>0</v>
      </c>
      <c r="I836" s="3">
        <f>300*757</f>
        <v>227100</v>
      </c>
      <c r="J836" s="3">
        <f t="shared" si="228"/>
        <v>0</v>
      </c>
      <c r="K836" s="4">
        <v>0</v>
      </c>
      <c r="L836" s="3">
        <v>0</v>
      </c>
      <c r="M836" s="3">
        <v>544.4</v>
      </c>
      <c r="N836" s="3">
        <f>M836*6600</f>
        <v>3593040</v>
      </c>
      <c r="O836" s="3">
        <v>0</v>
      </c>
      <c r="P836" s="3">
        <v>0</v>
      </c>
      <c r="Q836" s="3">
        <v>707</v>
      </c>
      <c r="R836" s="3">
        <f>Q836*3200</f>
        <v>2262400</v>
      </c>
      <c r="S836" s="3">
        <v>0</v>
      </c>
      <c r="T836" s="3">
        <v>0</v>
      </c>
      <c r="U836" s="3">
        <v>0</v>
      </c>
      <c r="V836" s="5">
        <f t="shared" si="227"/>
        <v>6600</v>
      </c>
    </row>
    <row r="837" spans="1:22" ht="25.15" customHeight="1" x14ac:dyDescent="0.25">
      <c r="A837" s="21" t="s">
        <v>1641</v>
      </c>
      <c r="B837" s="26" t="s">
        <v>241</v>
      </c>
      <c r="C837" s="2">
        <f t="shared" si="225"/>
        <v>7355120</v>
      </c>
      <c r="D837" s="3">
        <f t="shared" si="226"/>
        <v>3053120</v>
      </c>
      <c r="E837" s="3">
        <v>0</v>
      </c>
      <c r="F837" s="3">
        <f>1050*1908.2</f>
        <v>2003610</v>
      </c>
      <c r="G837" s="3">
        <f>300*1908.2</f>
        <v>572460</v>
      </c>
      <c r="H837" s="3">
        <f>400*0</f>
        <v>0</v>
      </c>
      <c r="I837" s="3">
        <f>250*1908.2</f>
        <v>477050</v>
      </c>
      <c r="J837" s="3">
        <f t="shared" si="228"/>
        <v>0</v>
      </c>
      <c r="K837" s="4">
        <v>0</v>
      </c>
      <c r="L837" s="3">
        <v>0</v>
      </c>
      <c r="M837" s="3">
        <v>0</v>
      </c>
      <c r="N837" s="3">
        <v>0</v>
      </c>
      <c r="O837" s="3">
        <v>0</v>
      </c>
      <c r="P837" s="3">
        <v>0</v>
      </c>
      <c r="Q837" s="3">
        <v>1434</v>
      </c>
      <c r="R837" s="3">
        <f>Q837*3000</f>
        <v>4302000</v>
      </c>
      <c r="S837" s="3">
        <v>0</v>
      </c>
      <c r="T837" s="3">
        <v>0</v>
      </c>
      <c r="U837" s="3">
        <v>0</v>
      </c>
      <c r="V837" s="5" t="e">
        <f t="shared" si="227"/>
        <v>#DIV/0!</v>
      </c>
    </row>
    <row r="838" spans="1:22" ht="25.15" customHeight="1" x14ac:dyDescent="0.25">
      <c r="A838" s="21" t="s">
        <v>1642</v>
      </c>
      <c r="B838" s="26" t="s">
        <v>243</v>
      </c>
      <c r="C838" s="2">
        <f t="shared" si="225"/>
        <v>8400145.7400000002</v>
      </c>
      <c r="D838" s="3">
        <f t="shared" si="226"/>
        <v>1985958</v>
      </c>
      <c r="E838" s="3">
        <f>700*763.83</f>
        <v>534681</v>
      </c>
      <c r="F838" s="3">
        <f>1300*763.83</f>
        <v>992979</v>
      </c>
      <c r="G838" s="3">
        <f>300*763.83</f>
        <v>229149</v>
      </c>
      <c r="H838" s="3">
        <v>0</v>
      </c>
      <c r="I838" s="3">
        <f>300*763.83</f>
        <v>229149</v>
      </c>
      <c r="J838" s="3">
        <f t="shared" si="228"/>
        <v>0</v>
      </c>
      <c r="K838" s="4">
        <v>0</v>
      </c>
      <c r="L838" s="3">
        <v>0</v>
      </c>
      <c r="M838" s="3">
        <v>620</v>
      </c>
      <c r="N838" s="3">
        <f>M838*6600</f>
        <v>4092000</v>
      </c>
      <c r="O838" s="3">
        <v>42.7</v>
      </c>
      <c r="P838" s="3">
        <f>O838*1200</f>
        <v>51240</v>
      </c>
      <c r="Q838" s="3">
        <v>672</v>
      </c>
      <c r="R838" s="3">
        <f>Q838*3200</f>
        <v>2150400</v>
      </c>
      <c r="S838" s="3">
        <v>0</v>
      </c>
      <c r="T838" s="3">
        <v>0</v>
      </c>
      <c r="U838" s="3">
        <v>120547.74</v>
      </c>
      <c r="V838" s="5">
        <f t="shared" si="227"/>
        <v>6600</v>
      </c>
    </row>
    <row r="839" spans="1:22" ht="25.15" customHeight="1" x14ac:dyDescent="0.25">
      <c r="A839" s="21" t="s">
        <v>1643</v>
      </c>
      <c r="B839" s="26" t="s">
        <v>247</v>
      </c>
      <c r="C839" s="2">
        <f t="shared" si="225"/>
        <v>14600400</v>
      </c>
      <c r="D839" s="3">
        <f t="shared" si="226"/>
        <v>0</v>
      </c>
      <c r="E839" s="3">
        <v>0</v>
      </c>
      <c r="F839" s="3">
        <v>0</v>
      </c>
      <c r="G839" s="3">
        <v>0</v>
      </c>
      <c r="H839" s="3">
        <f>400*0</f>
        <v>0</v>
      </c>
      <c r="I839" s="3">
        <v>0</v>
      </c>
      <c r="J839" s="3">
        <f t="shared" si="228"/>
        <v>0</v>
      </c>
      <c r="K839" s="4">
        <v>0</v>
      </c>
      <c r="L839" s="3">
        <v>0</v>
      </c>
      <c r="M839" s="3">
        <v>1212</v>
      </c>
      <c r="N839" s="3">
        <f>M839*5500</f>
        <v>6666000</v>
      </c>
      <c r="O839" s="3">
        <v>937</v>
      </c>
      <c r="P839" s="3">
        <f>O839*1200</f>
        <v>1124400</v>
      </c>
      <c r="Q839" s="3">
        <v>2270</v>
      </c>
      <c r="R839" s="3">
        <f>Q839*3000</f>
        <v>6810000</v>
      </c>
      <c r="S839" s="3">
        <v>0</v>
      </c>
      <c r="T839" s="3">
        <v>0</v>
      </c>
      <c r="U839" s="3">
        <v>0</v>
      </c>
      <c r="V839" s="5">
        <f t="shared" si="227"/>
        <v>5500</v>
      </c>
    </row>
    <row r="840" spans="1:22" ht="25.15" customHeight="1" x14ac:dyDescent="0.25">
      <c r="A840" s="21" t="s">
        <v>1644</v>
      </c>
      <c r="B840" s="26" t="s">
        <v>245</v>
      </c>
      <c r="C840" s="2">
        <f t="shared" si="225"/>
        <v>5863040</v>
      </c>
      <c r="D840" s="3">
        <f t="shared" si="226"/>
        <v>0</v>
      </c>
      <c r="E840" s="3">
        <v>0</v>
      </c>
      <c r="F840" s="3">
        <v>0</v>
      </c>
      <c r="G840" s="3">
        <v>0</v>
      </c>
      <c r="H840" s="3">
        <f>400*0</f>
        <v>0</v>
      </c>
      <c r="I840" s="3">
        <v>0</v>
      </c>
      <c r="J840" s="3">
        <f t="shared" si="228"/>
        <v>0</v>
      </c>
      <c r="K840" s="4">
        <v>0</v>
      </c>
      <c r="L840" s="3">
        <v>0</v>
      </c>
      <c r="M840" s="3">
        <v>0</v>
      </c>
      <c r="N840" s="3">
        <f>M840*5500</f>
        <v>0</v>
      </c>
      <c r="O840" s="3">
        <v>0</v>
      </c>
      <c r="P840" s="3">
        <v>0</v>
      </c>
      <c r="Q840" s="3">
        <v>1832.2</v>
      </c>
      <c r="R840" s="3">
        <f t="shared" ref="R840:R848" si="229">Q840*3200</f>
        <v>5863040</v>
      </c>
      <c r="S840" s="3">
        <v>0</v>
      </c>
      <c r="T840" s="3">
        <v>0</v>
      </c>
      <c r="U840" s="3">
        <v>0</v>
      </c>
      <c r="V840" s="5" t="e">
        <f t="shared" si="227"/>
        <v>#DIV/0!</v>
      </c>
    </row>
    <row r="841" spans="1:22" ht="25.15" customHeight="1" x14ac:dyDescent="0.25">
      <c r="A841" s="21" t="s">
        <v>1645</v>
      </c>
      <c r="B841" s="26" t="s">
        <v>248</v>
      </c>
      <c r="C841" s="2">
        <f t="shared" si="225"/>
        <v>4316400</v>
      </c>
      <c r="D841" s="3">
        <f t="shared" si="226"/>
        <v>0</v>
      </c>
      <c r="E841" s="13">
        <v>0</v>
      </c>
      <c r="F841" s="13">
        <v>0</v>
      </c>
      <c r="G841" s="13">
        <v>0</v>
      </c>
      <c r="H841" s="13">
        <v>0</v>
      </c>
      <c r="I841" s="13">
        <v>0</v>
      </c>
      <c r="J841" s="13">
        <v>0</v>
      </c>
      <c r="K841" s="4">
        <v>0</v>
      </c>
      <c r="L841" s="3">
        <v>0</v>
      </c>
      <c r="M841" s="3">
        <v>654</v>
      </c>
      <c r="N841" s="3">
        <f>M841*6600</f>
        <v>4316400</v>
      </c>
      <c r="O841" s="3">
        <v>0</v>
      </c>
      <c r="P841" s="3">
        <v>0</v>
      </c>
      <c r="Q841" s="3">
        <v>0</v>
      </c>
      <c r="R841" s="3">
        <f t="shared" si="229"/>
        <v>0</v>
      </c>
      <c r="S841" s="3">
        <v>0</v>
      </c>
      <c r="T841" s="3">
        <v>0</v>
      </c>
      <c r="U841" s="3">
        <v>0</v>
      </c>
      <c r="V841" s="5">
        <f t="shared" si="227"/>
        <v>6600</v>
      </c>
    </row>
    <row r="842" spans="1:22" ht="25.15" customHeight="1" x14ac:dyDescent="0.25">
      <c r="A842" s="21" t="s">
        <v>1646</v>
      </c>
      <c r="B842" s="26" t="s">
        <v>1182</v>
      </c>
      <c r="C842" s="2">
        <f t="shared" si="225"/>
        <v>4752600</v>
      </c>
      <c r="D842" s="3">
        <f t="shared" si="226"/>
        <v>0</v>
      </c>
      <c r="E842" s="13">
        <v>0</v>
      </c>
      <c r="F842" s="13">
        <v>0</v>
      </c>
      <c r="G842" s="13">
        <v>0</v>
      </c>
      <c r="H842" s="13">
        <v>0</v>
      </c>
      <c r="I842" s="13">
        <v>0</v>
      </c>
      <c r="J842" s="13">
        <v>0</v>
      </c>
      <c r="K842" s="4">
        <v>0</v>
      </c>
      <c r="L842" s="3">
        <v>0</v>
      </c>
      <c r="M842" s="3">
        <v>1068</v>
      </c>
      <c r="N842" s="3">
        <f>M842*4450</f>
        <v>4752600</v>
      </c>
      <c r="O842" s="3">
        <v>0</v>
      </c>
      <c r="P842" s="3">
        <v>0</v>
      </c>
      <c r="Q842" s="3">
        <v>0</v>
      </c>
      <c r="R842" s="3">
        <f t="shared" si="229"/>
        <v>0</v>
      </c>
      <c r="S842" s="3">
        <v>0</v>
      </c>
      <c r="T842" s="3">
        <v>0</v>
      </c>
      <c r="U842" s="3">
        <v>0</v>
      </c>
    </row>
    <row r="843" spans="1:22" ht="25.15" customHeight="1" x14ac:dyDescent="0.25">
      <c r="A843" s="21" t="s">
        <v>1647</v>
      </c>
      <c r="B843" s="26" t="s">
        <v>249</v>
      </c>
      <c r="C843" s="2">
        <f t="shared" si="225"/>
        <v>15376589.869999999</v>
      </c>
      <c r="D843" s="3">
        <f t="shared" si="226"/>
        <v>4713800</v>
      </c>
      <c r="E843" s="3">
        <f>700*1813</f>
        <v>1269100</v>
      </c>
      <c r="F843" s="3">
        <f>1300*1813</f>
        <v>2356900</v>
      </c>
      <c r="G843" s="3">
        <f>300*1813</f>
        <v>543900</v>
      </c>
      <c r="H843" s="3">
        <v>0</v>
      </c>
      <c r="I843" s="3">
        <f>300*1813</f>
        <v>543900</v>
      </c>
      <c r="J843" s="3">
        <f t="shared" ref="J843:J848" si="230">350*0</f>
        <v>0</v>
      </c>
      <c r="K843" s="4">
        <v>0</v>
      </c>
      <c r="L843" s="3">
        <v>0</v>
      </c>
      <c r="M843" s="3">
        <v>866.2</v>
      </c>
      <c r="N843" s="3">
        <f>M843*4450</f>
        <v>3854590</v>
      </c>
      <c r="O843" s="3">
        <v>35.450000000000003</v>
      </c>
      <c r="P843" s="3">
        <f>O843*1200</f>
        <v>42540</v>
      </c>
      <c r="Q843" s="3">
        <v>1442.1</v>
      </c>
      <c r="R843" s="3">
        <f t="shared" si="229"/>
        <v>4614720</v>
      </c>
      <c r="S843" s="3">
        <v>1630443.6</v>
      </c>
      <c r="T843" s="3">
        <v>0</v>
      </c>
      <c r="U843" s="3">
        <v>520496.27</v>
      </c>
      <c r="V843" s="5">
        <f t="shared" ref="V843:V848" si="231">N843/M843</f>
        <v>4450</v>
      </c>
    </row>
    <row r="844" spans="1:22" ht="25.15" customHeight="1" x14ac:dyDescent="0.25">
      <c r="A844" s="21" t="s">
        <v>1648</v>
      </c>
      <c r="B844" s="26" t="s">
        <v>250</v>
      </c>
      <c r="C844" s="2">
        <f t="shared" si="225"/>
        <v>12882599.1</v>
      </c>
      <c r="D844" s="3">
        <f t="shared" si="226"/>
        <v>4761900</v>
      </c>
      <c r="E844" s="3">
        <f>700*1831.5</f>
        <v>1282050</v>
      </c>
      <c r="F844" s="3">
        <f>1300*1831.5</f>
        <v>2380950</v>
      </c>
      <c r="G844" s="3">
        <f>300*1831.5</f>
        <v>549450</v>
      </c>
      <c r="H844" s="3">
        <v>0</v>
      </c>
      <c r="I844" s="3">
        <f>300*1831.5</f>
        <v>549450</v>
      </c>
      <c r="J844" s="3">
        <f t="shared" si="230"/>
        <v>0</v>
      </c>
      <c r="K844" s="4">
        <v>0</v>
      </c>
      <c r="L844" s="3">
        <v>0</v>
      </c>
      <c r="M844" s="3">
        <v>786</v>
      </c>
      <c r="N844" s="3">
        <f>M844*4450</f>
        <v>3497700</v>
      </c>
      <c r="O844" s="3">
        <v>52.7</v>
      </c>
      <c r="P844" s="3">
        <f>O844*1200</f>
        <v>63240</v>
      </c>
      <c r="Q844" s="3">
        <v>1368</v>
      </c>
      <c r="R844" s="3">
        <f t="shared" si="229"/>
        <v>4377600</v>
      </c>
      <c r="S844" s="3">
        <v>0</v>
      </c>
      <c r="T844" s="3">
        <v>0</v>
      </c>
      <c r="U844" s="3">
        <v>182159.1</v>
      </c>
      <c r="V844" s="5">
        <f t="shared" si="231"/>
        <v>4450</v>
      </c>
    </row>
    <row r="845" spans="1:22" ht="25.15" customHeight="1" x14ac:dyDescent="0.25">
      <c r="A845" s="21" t="s">
        <v>1649</v>
      </c>
      <c r="B845" s="26" t="s">
        <v>251</v>
      </c>
      <c r="C845" s="2">
        <f t="shared" si="225"/>
        <v>12937484.18</v>
      </c>
      <c r="D845" s="3">
        <f t="shared" si="226"/>
        <v>4799964</v>
      </c>
      <c r="E845" s="3">
        <f>700*1846.14</f>
        <v>1292298</v>
      </c>
      <c r="F845" s="3">
        <f>1300*1846.14</f>
        <v>2399982</v>
      </c>
      <c r="G845" s="3">
        <f>300*1846.14</f>
        <v>553842</v>
      </c>
      <c r="H845" s="3">
        <v>0</v>
      </c>
      <c r="I845" s="3">
        <f>300*1846.14</f>
        <v>553842</v>
      </c>
      <c r="J845" s="3">
        <f t="shared" si="230"/>
        <v>0</v>
      </c>
      <c r="K845" s="4">
        <v>0</v>
      </c>
      <c r="L845" s="3">
        <v>0</v>
      </c>
      <c r="M845" s="3">
        <v>790</v>
      </c>
      <c r="N845" s="3">
        <f>M845*4450</f>
        <v>3515500</v>
      </c>
      <c r="O845" s="3">
        <v>53.4</v>
      </c>
      <c r="P845" s="3">
        <f>O845*1200</f>
        <v>64080</v>
      </c>
      <c r="Q845" s="3">
        <v>1368</v>
      </c>
      <c r="R845" s="3">
        <f t="shared" si="229"/>
        <v>4377600</v>
      </c>
      <c r="S845" s="3">
        <v>0</v>
      </c>
      <c r="T845" s="3">
        <v>0</v>
      </c>
      <c r="U845" s="3">
        <v>180340.18</v>
      </c>
      <c r="V845" s="5">
        <f t="shared" si="231"/>
        <v>4450</v>
      </c>
    </row>
    <row r="846" spans="1:22" ht="25.15" customHeight="1" x14ac:dyDescent="0.25">
      <c r="A846" s="21" t="s">
        <v>1650</v>
      </c>
      <c r="B846" s="26" t="s">
        <v>252</v>
      </c>
      <c r="C846" s="2">
        <f t="shared" si="225"/>
        <v>8480774.6600000001</v>
      </c>
      <c r="D846" s="3">
        <f t="shared" si="226"/>
        <v>2012010</v>
      </c>
      <c r="E846" s="3">
        <f>700*773.85</f>
        <v>541695</v>
      </c>
      <c r="F846" s="3">
        <f>1300*773.85</f>
        <v>1006005</v>
      </c>
      <c r="G846" s="3">
        <f>300*773.85</f>
        <v>232155</v>
      </c>
      <c r="H846" s="3">
        <v>0</v>
      </c>
      <c r="I846" s="3">
        <f>300*773.85</f>
        <v>232155</v>
      </c>
      <c r="J846" s="3">
        <f t="shared" si="230"/>
        <v>0</v>
      </c>
      <c r="K846" s="4">
        <v>0</v>
      </c>
      <c r="L846" s="3">
        <v>0</v>
      </c>
      <c r="M846" s="3">
        <v>606.20000000000005</v>
      </c>
      <c r="N846" s="3">
        <f>M846*6600</f>
        <v>4000920.0000000005</v>
      </c>
      <c r="O846" s="3">
        <v>0</v>
      </c>
      <c r="P846" s="3">
        <v>0</v>
      </c>
      <c r="Q846" s="3">
        <v>734</v>
      </c>
      <c r="R846" s="3">
        <f t="shared" si="229"/>
        <v>2348800</v>
      </c>
      <c r="S846" s="3">
        <v>0</v>
      </c>
      <c r="T846" s="3">
        <v>0</v>
      </c>
      <c r="U846" s="3">
        <v>119044.66</v>
      </c>
      <c r="V846" s="5">
        <f t="shared" si="231"/>
        <v>6600</v>
      </c>
    </row>
    <row r="847" spans="1:22" ht="25.15" customHeight="1" x14ac:dyDescent="0.25">
      <c r="A847" s="21" t="s">
        <v>1651</v>
      </c>
      <c r="B847" s="26" t="s">
        <v>253</v>
      </c>
      <c r="C847" s="2">
        <f t="shared" si="225"/>
        <v>8193248.6600000001</v>
      </c>
      <c r="D847" s="3">
        <f t="shared" si="226"/>
        <v>1838720.0000000002</v>
      </c>
      <c r="E847" s="3">
        <f>700*707.2</f>
        <v>495040.00000000006</v>
      </c>
      <c r="F847" s="3">
        <f>1300*707.2</f>
        <v>919360.00000000012</v>
      </c>
      <c r="G847" s="3">
        <f>300*707.2</f>
        <v>212160</v>
      </c>
      <c r="H847" s="3">
        <v>0</v>
      </c>
      <c r="I847" s="3">
        <f>300*707.2</f>
        <v>212160</v>
      </c>
      <c r="J847" s="3">
        <f t="shared" si="230"/>
        <v>0</v>
      </c>
      <c r="K847" s="4">
        <v>0</v>
      </c>
      <c r="L847" s="3">
        <v>0</v>
      </c>
      <c r="M847" s="3">
        <v>603.4</v>
      </c>
      <c r="N847" s="3">
        <f>M847*6600</f>
        <v>3982440</v>
      </c>
      <c r="O847" s="3">
        <v>0</v>
      </c>
      <c r="P847" s="3">
        <v>0</v>
      </c>
      <c r="Q847" s="3">
        <v>704</v>
      </c>
      <c r="R847" s="3">
        <f t="shared" si="229"/>
        <v>2252800</v>
      </c>
      <c r="S847" s="3">
        <v>0</v>
      </c>
      <c r="T847" s="3">
        <v>0</v>
      </c>
      <c r="U847" s="3">
        <v>119288.66</v>
      </c>
      <c r="V847" s="5">
        <f t="shared" si="231"/>
        <v>6600</v>
      </c>
    </row>
    <row r="848" spans="1:22" ht="25.15" customHeight="1" x14ac:dyDescent="0.25">
      <c r="A848" s="21" t="s">
        <v>1652</v>
      </c>
      <c r="B848" s="26" t="s">
        <v>254</v>
      </c>
      <c r="C848" s="2">
        <f t="shared" si="225"/>
        <v>2461944.5</v>
      </c>
      <c r="D848" s="3">
        <f t="shared" si="226"/>
        <v>978120</v>
      </c>
      <c r="E848" s="3">
        <f>700*376.2</f>
        <v>263340</v>
      </c>
      <c r="F848" s="3">
        <f>1300*376.2</f>
        <v>489060</v>
      </c>
      <c r="G848" s="3">
        <f>300*376.2</f>
        <v>112860</v>
      </c>
      <c r="H848" s="3">
        <v>0</v>
      </c>
      <c r="I848" s="3">
        <f>300*376.2</f>
        <v>112860</v>
      </c>
      <c r="J848" s="3">
        <f t="shared" si="230"/>
        <v>0</v>
      </c>
      <c r="K848" s="4">
        <v>0</v>
      </c>
      <c r="L848" s="3">
        <v>0</v>
      </c>
      <c r="M848" s="3">
        <v>0</v>
      </c>
      <c r="N848" s="3">
        <v>0</v>
      </c>
      <c r="O848" s="3">
        <v>0</v>
      </c>
      <c r="P848" s="3">
        <v>0</v>
      </c>
      <c r="Q848" s="3">
        <v>430.6</v>
      </c>
      <c r="R848" s="3">
        <f t="shared" si="229"/>
        <v>1377920</v>
      </c>
      <c r="S848" s="3">
        <v>0</v>
      </c>
      <c r="T848" s="3">
        <v>0</v>
      </c>
      <c r="U848" s="3">
        <v>105904.5</v>
      </c>
      <c r="V848" s="5" t="e">
        <f t="shared" si="231"/>
        <v>#DIV/0!</v>
      </c>
    </row>
    <row r="849" spans="1:191" ht="45" customHeight="1" x14ac:dyDescent="0.25">
      <c r="A849" s="51" t="s">
        <v>256</v>
      </c>
      <c r="B849" s="51"/>
      <c r="C849" s="2">
        <f t="shared" ref="C849:U849" si="232">SUM(C850)</f>
        <v>3507900</v>
      </c>
      <c r="D849" s="2">
        <f t="shared" si="232"/>
        <v>0</v>
      </c>
      <c r="E849" s="2">
        <f t="shared" si="232"/>
        <v>0</v>
      </c>
      <c r="F849" s="2">
        <f t="shared" si="232"/>
        <v>0</v>
      </c>
      <c r="G849" s="2">
        <f t="shared" si="232"/>
        <v>0</v>
      </c>
      <c r="H849" s="2">
        <f t="shared" si="232"/>
        <v>0</v>
      </c>
      <c r="I849" s="2">
        <f t="shared" si="232"/>
        <v>0</v>
      </c>
      <c r="J849" s="2">
        <f t="shared" si="232"/>
        <v>0</v>
      </c>
      <c r="K849" s="18">
        <f t="shared" si="232"/>
        <v>0</v>
      </c>
      <c r="L849" s="2">
        <f t="shared" si="232"/>
        <v>0</v>
      </c>
      <c r="M849" s="2">
        <f t="shared" si="232"/>
        <v>531.5</v>
      </c>
      <c r="N849" s="2">
        <f t="shared" si="232"/>
        <v>3507900</v>
      </c>
      <c r="O849" s="2">
        <f t="shared" si="232"/>
        <v>0</v>
      </c>
      <c r="P849" s="2">
        <f t="shared" si="232"/>
        <v>0</v>
      </c>
      <c r="Q849" s="2">
        <f t="shared" si="232"/>
        <v>0</v>
      </c>
      <c r="R849" s="2">
        <f t="shared" si="232"/>
        <v>0</v>
      </c>
      <c r="S849" s="2">
        <f t="shared" si="232"/>
        <v>0</v>
      </c>
      <c r="T849" s="2">
        <f t="shared" si="232"/>
        <v>0</v>
      </c>
      <c r="U849" s="2">
        <f t="shared" si="232"/>
        <v>0</v>
      </c>
      <c r="V849" s="20">
        <f>C849</f>
        <v>3507900</v>
      </c>
    </row>
    <row r="850" spans="1:191" ht="25.15" customHeight="1" x14ac:dyDescent="0.25">
      <c r="A850" s="21" t="s">
        <v>1653</v>
      </c>
      <c r="B850" s="26" t="s">
        <v>1196</v>
      </c>
      <c r="C850" s="2">
        <f>D850+L850+N850+P850+R850+S850+T850+U850</f>
        <v>3507900</v>
      </c>
      <c r="D850" s="3">
        <f>SUM(E850:J850)</f>
        <v>0</v>
      </c>
      <c r="E850" s="3">
        <v>0</v>
      </c>
      <c r="F850" s="3">
        <v>0</v>
      </c>
      <c r="G850" s="3">
        <v>0</v>
      </c>
      <c r="H850" s="3">
        <v>0</v>
      </c>
      <c r="I850" s="3">
        <v>0</v>
      </c>
      <c r="J850" s="3">
        <f>350*0</f>
        <v>0</v>
      </c>
      <c r="K850" s="4">
        <v>0</v>
      </c>
      <c r="L850" s="3">
        <v>0</v>
      </c>
      <c r="M850" s="3">
        <v>531.5</v>
      </c>
      <c r="N850" s="3">
        <f>M850*6600</f>
        <v>3507900</v>
      </c>
      <c r="O850" s="3">
        <v>0</v>
      </c>
      <c r="P850" s="3">
        <v>0</v>
      </c>
      <c r="Q850" s="3">
        <v>0</v>
      </c>
      <c r="R850" s="3">
        <v>0</v>
      </c>
      <c r="S850" s="3">
        <v>0</v>
      </c>
      <c r="T850" s="3">
        <v>0</v>
      </c>
      <c r="U850" s="3">
        <v>0</v>
      </c>
      <c r="V850" s="5">
        <f>N850/M850</f>
        <v>6600</v>
      </c>
    </row>
    <row r="851" spans="1:191" ht="45" customHeight="1" x14ac:dyDescent="0.25">
      <c r="A851" s="51" t="s">
        <v>258</v>
      </c>
      <c r="B851" s="51"/>
      <c r="C851" s="2">
        <f t="shared" ref="C851:U851" si="233">SUM(C852:C853)</f>
        <v>5930660</v>
      </c>
      <c r="D851" s="2">
        <f t="shared" si="233"/>
        <v>1127460</v>
      </c>
      <c r="E851" s="2">
        <f t="shared" si="233"/>
        <v>343140</v>
      </c>
      <c r="F851" s="2">
        <f t="shared" si="233"/>
        <v>637260</v>
      </c>
      <c r="G851" s="2">
        <f t="shared" si="233"/>
        <v>147060</v>
      </c>
      <c r="H851" s="2">
        <f t="shared" si="233"/>
        <v>0</v>
      </c>
      <c r="I851" s="2">
        <f t="shared" si="233"/>
        <v>0</v>
      </c>
      <c r="J851" s="2">
        <f t="shared" si="233"/>
        <v>0</v>
      </c>
      <c r="K851" s="18">
        <f t="shared" si="233"/>
        <v>0</v>
      </c>
      <c r="L851" s="2">
        <f t="shared" si="233"/>
        <v>0</v>
      </c>
      <c r="M851" s="2">
        <f t="shared" si="233"/>
        <v>432</v>
      </c>
      <c r="N851" s="2">
        <f t="shared" si="233"/>
        <v>2851200</v>
      </c>
      <c r="O851" s="2">
        <f t="shared" si="233"/>
        <v>0</v>
      </c>
      <c r="P851" s="2">
        <f t="shared" si="233"/>
        <v>0</v>
      </c>
      <c r="Q851" s="2">
        <f t="shared" si="233"/>
        <v>485</v>
      </c>
      <c r="R851" s="2">
        <f t="shared" si="233"/>
        <v>1552000</v>
      </c>
      <c r="S851" s="2">
        <f t="shared" si="233"/>
        <v>0</v>
      </c>
      <c r="T851" s="2">
        <f t="shared" si="233"/>
        <v>0</v>
      </c>
      <c r="U851" s="2">
        <f t="shared" si="233"/>
        <v>400000</v>
      </c>
      <c r="V851" s="20">
        <f>C851</f>
        <v>5930660</v>
      </c>
    </row>
    <row r="852" spans="1:191" ht="25.15" customHeight="1" x14ac:dyDescent="0.25">
      <c r="A852" s="21" t="s">
        <v>1654</v>
      </c>
      <c r="B852" s="26" t="s">
        <v>259</v>
      </c>
      <c r="C852" s="2">
        <f>D852+L852+N852+P852+R852+S852+T852+U852</f>
        <v>5630660</v>
      </c>
      <c r="D852" s="3">
        <f>SUM(E852:J852)</f>
        <v>1127460</v>
      </c>
      <c r="E852" s="3">
        <f>700*490.2</f>
        <v>343140</v>
      </c>
      <c r="F852" s="3">
        <f>1300*490.2</f>
        <v>637260</v>
      </c>
      <c r="G852" s="3">
        <f>300*490.2</f>
        <v>147060</v>
      </c>
      <c r="H852" s="3">
        <v>0</v>
      </c>
      <c r="I852" s="3">
        <v>0</v>
      </c>
      <c r="J852" s="3">
        <f>350*0</f>
        <v>0</v>
      </c>
      <c r="K852" s="4">
        <v>0</v>
      </c>
      <c r="L852" s="3">
        <v>0</v>
      </c>
      <c r="M852" s="3">
        <v>432</v>
      </c>
      <c r="N852" s="3">
        <f>M852*6600</f>
        <v>2851200</v>
      </c>
      <c r="O852" s="3">
        <v>0</v>
      </c>
      <c r="P852" s="3">
        <v>0</v>
      </c>
      <c r="Q852" s="3">
        <v>485</v>
      </c>
      <c r="R852" s="3">
        <f>Q852*3200</f>
        <v>1552000</v>
      </c>
      <c r="S852" s="3">
        <v>0</v>
      </c>
      <c r="T852" s="3">
        <v>0</v>
      </c>
      <c r="U852" s="3">
        <v>100000</v>
      </c>
      <c r="V852" s="5">
        <f>N852/M852</f>
        <v>6600</v>
      </c>
    </row>
    <row r="853" spans="1:191" ht="25.15" customHeight="1" x14ac:dyDescent="0.25">
      <c r="A853" s="21" t="s">
        <v>1655</v>
      </c>
      <c r="B853" s="26" t="s">
        <v>928</v>
      </c>
      <c r="C853" s="2">
        <f>D853+L853+N853+P853+R853+S853+T853+U853</f>
        <v>300000</v>
      </c>
      <c r="D853" s="3">
        <f>SUM(E853:J853)</f>
        <v>0</v>
      </c>
      <c r="E853" s="3">
        <v>0</v>
      </c>
      <c r="F853" s="3">
        <v>0</v>
      </c>
      <c r="G853" s="3">
        <v>0</v>
      </c>
      <c r="H853" s="3">
        <v>0</v>
      </c>
      <c r="I853" s="3">
        <v>0</v>
      </c>
      <c r="J853" s="3">
        <f>350*0</f>
        <v>0</v>
      </c>
      <c r="K853" s="4">
        <v>0</v>
      </c>
      <c r="L853" s="3">
        <v>0</v>
      </c>
      <c r="M853" s="3">
        <v>0</v>
      </c>
      <c r="N853" s="3">
        <v>0</v>
      </c>
      <c r="O853" s="3">
        <v>0</v>
      </c>
      <c r="P853" s="3">
        <v>0</v>
      </c>
      <c r="Q853" s="3">
        <v>0</v>
      </c>
      <c r="R853" s="3">
        <v>0</v>
      </c>
      <c r="S853" s="3">
        <v>0</v>
      </c>
      <c r="T853" s="3">
        <v>0</v>
      </c>
      <c r="U853" s="3">
        <v>300000</v>
      </c>
      <c r="V853" s="5" t="e">
        <f>N853/M853</f>
        <v>#DIV/0!</v>
      </c>
    </row>
    <row r="854" spans="1:191" ht="45" customHeight="1" x14ac:dyDescent="0.25">
      <c r="A854" s="51" t="s">
        <v>263</v>
      </c>
      <c r="B854" s="51"/>
      <c r="C854" s="2">
        <f t="shared" ref="C854:U854" si="234">SUM(C855:C856)</f>
        <v>8932240</v>
      </c>
      <c r="D854" s="2">
        <f t="shared" si="234"/>
        <v>702800</v>
      </c>
      <c r="E854" s="2">
        <f t="shared" si="234"/>
        <v>702800</v>
      </c>
      <c r="F854" s="2">
        <f t="shared" si="234"/>
        <v>0</v>
      </c>
      <c r="G854" s="2">
        <f t="shared" si="234"/>
        <v>0</v>
      </c>
      <c r="H854" s="2">
        <f t="shared" si="234"/>
        <v>0</v>
      </c>
      <c r="I854" s="2">
        <f t="shared" si="234"/>
        <v>0</v>
      </c>
      <c r="J854" s="2">
        <f t="shared" si="234"/>
        <v>0</v>
      </c>
      <c r="K854" s="18">
        <f t="shared" si="234"/>
        <v>0</v>
      </c>
      <c r="L854" s="2">
        <f t="shared" si="234"/>
        <v>0</v>
      </c>
      <c r="M854" s="2">
        <f t="shared" si="234"/>
        <v>864</v>
      </c>
      <c r="N854" s="2">
        <f t="shared" si="234"/>
        <v>5702400</v>
      </c>
      <c r="O854" s="2">
        <f t="shared" si="234"/>
        <v>0</v>
      </c>
      <c r="P854" s="2">
        <f t="shared" si="234"/>
        <v>0</v>
      </c>
      <c r="Q854" s="2">
        <f t="shared" si="234"/>
        <v>727.2</v>
      </c>
      <c r="R854" s="2">
        <f t="shared" si="234"/>
        <v>2327040</v>
      </c>
      <c r="S854" s="2">
        <f t="shared" si="234"/>
        <v>0</v>
      </c>
      <c r="T854" s="2">
        <f t="shared" si="234"/>
        <v>0</v>
      </c>
      <c r="U854" s="2">
        <f t="shared" si="234"/>
        <v>200000</v>
      </c>
      <c r="V854" s="20">
        <f>C854</f>
        <v>8932240</v>
      </c>
    </row>
    <row r="855" spans="1:191" ht="25.15" customHeight="1" x14ac:dyDescent="0.25">
      <c r="A855" s="21" t="s">
        <v>1656</v>
      </c>
      <c r="B855" s="26" t="s">
        <v>264</v>
      </c>
      <c r="C855" s="2">
        <f>D855+L855+N855+P855+R855+S855+T855+U855</f>
        <v>4466120</v>
      </c>
      <c r="D855" s="3">
        <f>SUM(E855:J855)</f>
        <v>351400</v>
      </c>
      <c r="E855" s="3">
        <f>700*502</f>
        <v>351400</v>
      </c>
      <c r="F855" s="3">
        <v>0</v>
      </c>
      <c r="G855" s="3">
        <v>0</v>
      </c>
      <c r="H855" s="3">
        <v>0</v>
      </c>
      <c r="I855" s="3">
        <v>0</v>
      </c>
      <c r="J855" s="3">
        <v>0</v>
      </c>
      <c r="K855" s="4">
        <v>0</v>
      </c>
      <c r="L855" s="3">
        <v>0</v>
      </c>
      <c r="M855" s="3">
        <v>432</v>
      </c>
      <c r="N855" s="3">
        <f>M855*6600</f>
        <v>2851200</v>
      </c>
      <c r="O855" s="3">
        <v>0</v>
      </c>
      <c r="P855" s="3">
        <v>0</v>
      </c>
      <c r="Q855" s="3">
        <v>363.6</v>
      </c>
      <c r="R855" s="3">
        <f>Q855*3200</f>
        <v>1163520</v>
      </c>
      <c r="S855" s="3">
        <v>0</v>
      </c>
      <c r="T855" s="3">
        <v>0</v>
      </c>
      <c r="U855" s="3">
        <v>100000</v>
      </c>
      <c r="V855" s="5">
        <f>N855/M855</f>
        <v>6600</v>
      </c>
    </row>
    <row r="856" spans="1:191" ht="25.15" customHeight="1" x14ac:dyDescent="0.25">
      <c r="A856" s="21" t="s">
        <v>1657</v>
      </c>
      <c r="B856" s="26" t="s">
        <v>265</v>
      </c>
      <c r="C856" s="2">
        <f>D856+L856+N856+P856+R856+S856+T856+U856</f>
        <v>4466120</v>
      </c>
      <c r="D856" s="3">
        <f>SUM(E856:J856)</f>
        <v>351400</v>
      </c>
      <c r="E856" s="3">
        <f>700*502</f>
        <v>351400</v>
      </c>
      <c r="F856" s="3">
        <v>0</v>
      </c>
      <c r="G856" s="3">
        <v>0</v>
      </c>
      <c r="H856" s="3">
        <v>0</v>
      </c>
      <c r="I856" s="3">
        <v>0</v>
      </c>
      <c r="J856" s="3">
        <v>0</v>
      </c>
      <c r="K856" s="4">
        <v>0</v>
      </c>
      <c r="L856" s="3">
        <v>0</v>
      </c>
      <c r="M856" s="3">
        <v>432</v>
      </c>
      <c r="N856" s="3">
        <f>M856*6600</f>
        <v>2851200</v>
      </c>
      <c r="O856" s="3">
        <v>0</v>
      </c>
      <c r="P856" s="3">
        <v>0</v>
      </c>
      <c r="Q856" s="3">
        <v>363.6</v>
      </c>
      <c r="R856" s="3">
        <f>Q856*3200</f>
        <v>1163520</v>
      </c>
      <c r="S856" s="3">
        <v>0</v>
      </c>
      <c r="T856" s="3">
        <v>0</v>
      </c>
      <c r="U856" s="3">
        <v>100000</v>
      </c>
      <c r="V856" s="5">
        <f>N856/M856</f>
        <v>6600</v>
      </c>
    </row>
    <row r="857" spans="1:191" ht="45" customHeight="1" x14ac:dyDescent="0.25">
      <c r="A857" s="51" t="s">
        <v>875</v>
      </c>
      <c r="B857" s="51"/>
      <c r="C857" s="2">
        <f t="shared" ref="C857:U857" si="235">SUM(C858)</f>
        <v>5167400</v>
      </c>
      <c r="D857" s="2">
        <f t="shared" si="235"/>
        <v>737800</v>
      </c>
      <c r="E857" s="2">
        <f t="shared" si="235"/>
        <v>737800</v>
      </c>
      <c r="F857" s="2">
        <f t="shared" si="235"/>
        <v>0</v>
      </c>
      <c r="G857" s="2">
        <f t="shared" si="235"/>
        <v>0</v>
      </c>
      <c r="H857" s="2">
        <f t="shared" si="235"/>
        <v>0</v>
      </c>
      <c r="I857" s="2">
        <f t="shared" si="235"/>
        <v>0</v>
      </c>
      <c r="J857" s="2">
        <f t="shared" si="235"/>
        <v>0</v>
      </c>
      <c r="K857" s="18">
        <f t="shared" si="235"/>
        <v>0</v>
      </c>
      <c r="L857" s="2">
        <f t="shared" si="235"/>
        <v>0</v>
      </c>
      <c r="M857" s="2">
        <f t="shared" si="235"/>
        <v>656</v>
      </c>
      <c r="N857" s="2">
        <f t="shared" si="235"/>
        <v>4329600</v>
      </c>
      <c r="O857" s="2">
        <f t="shared" si="235"/>
        <v>0</v>
      </c>
      <c r="P857" s="2">
        <f t="shared" si="235"/>
        <v>0</v>
      </c>
      <c r="Q857" s="2">
        <f t="shared" si="235"/>
        <v>0</v>
      </c>
      <c r="R857" s="2">
        <f t="shared" si="235"/>
        <v>0</v>
      </c>
      <c r="S857" s="2">
        <f t="shared" si="235"/>
        <v>0</v>
      </c>
      <c r="T857" s="2">
        <f t="shared" si="235"/>
        <v>0</v>
      </c>
      <c r="U857" s="2">
        <f t="shared" si="235"/>
        <v>100000</v>
      </c>
      <c r="V857" s="20">
        <f>C857</f>
        <v>5167400</v>
      </c>
    </row>
    <row r="858" spans="1:191" ht="25.15" customHeight="1" x14ac:dyDescent="0.25">
      <c r="A858" s="21" t="s">
        <v>1658</v>
      </c>
      <c r="B858" s="26" t="s">
        <v>1197</v>
      </c>
      <c r="C858" s="2">
        <f>D858+L858+N858+P858+R858+S858+T858+U858</f>
        <v>5167400</v>
      </c>
      <c r="D858" s="3">
        <f>SUM(E858:J858)</f>
        <v>737800</v>
      </c>
      <c r="E858" s="3">
        <f>700*1054</f>
        <v>737800</v>
      </c>
      <c r="F858" s="3">
        <f>670.53*0</f>
        <v>0</v>
      </c>
      <c r="G858" s="3">
        <v>0</v>
      </c>
      <c r="H858" s="3">
        <f>500*0</f>
        <v>0</v>
      </c>
      <c r="I858" s="3">
        <v>0</v>
      </c>
      <c r="J858" s="3">
        <f>350*0</f>
        <v>0</v>
      </c>
      <c r="K858" s="4">
        <v>0</v>
      </c>
      <c r="L858" s="3">
        <v>0</v>
      </c>
      <c r="M858" s="3">
        <v>656</v>
      </c>
      <c r="N858" s="3">
        <f>M858*6600</f>
        <v>4329600</v>
      </c>
      <c r="O858" s="3">
        <v>0</v>
      </c>
      <c r="P858" s="3">
        <v>0</v>
      </c>
      <c r="Q858" s="3">
        <v>0</v>
      </c>
      <c r="R858" s="3">
        <v>0</v>
      </c>
      <c r="S858" s="3">
        <v>0</v>
      </c>
      <c r="T858" s="3">
        <v>0</v>
      </c>
      <c r="U858" s="3">
        <v>100000</v>
      </c>
      <c r="V858" s="5">
        <f>N858/M858</f>
        <v>6600</v>
      </c>
    </row>
    <row r="859" spans="1:191" ht="45" customHeight="1" x14ac:dyDescent="0.25">
      <c r="A859" s="51" t="s">
        <v>360</v>
      </c>
      <c r="B859" s="51"/>
      <c r="C859" s="2">
        <f t="shared" ref="C859:U859" si="236">SUM(C860:C1102)</f>
        <v>1348948471.3099997</v>
      </c>
      <c r="D859" s="2">
        <f t="shared" si="236"/>
        <v>376065786.5</v>
      </c>
      <c r="E859" s="2">
        <f t="shared" si="236"/>
        <v>81674652.5</v>
      </c>
      <c r="F859" s="2">
        <f t="shared" si="236"/>
        <v>168311211.5</v>
      </c>
      <c r="G859" s="2">
        <f t="shared" si="236"/>
        <v>40358001</v>
      </c>
      <c r="H859" s="2">
        <f t="shared" si="236"/>
        <v>45219764</v>
      </c>
      <c r="I859" s="2">
        <f t="shared" si="236"/>
        <v>40502157.5</v>
      </c>
      <c r="J859" s="2">
        <f t="shared" si="236"/>
        <v>0</v>
      </c>
      <c r="K859" s="40">
        <f t="shared" si="236"/>
        <v>2</v>
      </c>
      <c r="L859" s="2">
        <f t="shared" si="236"/>
        <v>5400000</v>
      </c>
      <c r="M859" s="2">
        <f t="shared" si="236"/>
        <v>114904.83999999997</v>
      </c>
      <c r="N859" s="2">
        <f t="shared" si="236"/>
        <v>735037577.19999993</v>
      </c>
      <c r="O859" s="2">
        <f t="shared" si="236"/>
        <v>845.96</v>
      </c>
      <c r="P859" s="2">
        <f t="shared" si="236"/>
        <v>1114332</v>
      </c>
      <c r="Q859" s="2">
        <f t="shared" si="236"/>
        <v>65659.290000000008</v>
      </c>
      <c r="R859" s="2">
        <f t="shared" si="236"/>
        <v>210109728</v>
      </c>
      <c r="S859" s="2">
        <f t="shared" si="236"/>
        <v>0</v>
      </c>
      <c r="T859" s="2">
        <f t="shared" si="236"/>
        <v>0</v>
      </c>
      <c r="U859" s="2">
        <f t="shared" si="236"/>
        <v>21221047.609999996</v>
      </c>
    </row>
    <row r="860" spans="1:191" ht="24.6" customHeight="1" x14ac:dyDescent="0.25">
      <c r="A860" s="21" t="s">
        <v>1659</v>
      </c>
      <c r="B860" s="24" t="s">
        <v>732</v>
      </c>
      <c r="C860" s="2">
        <f t="shared" ref="C860:C923" si="237">D860+L860+N860+P860+R860+S860+T860+U860</f>
        <v>3937560</v>
      </c>
      <c r="D860" s="3">
        <f t="shared" ref="D860:D923" si="238">SUM(E860:J860)</f>
        <v>0</v>
      </c>
      <c r="E860" s="3">
        <v>0</v>
      </c>
      <c r="F860" s="3">
        <v>0</v>
      </c>
      <c r="G860" s="3">
        <v>0</v>
      </c>
      <c r="H860" s="3">
        <v>0</v>
      </c>
      <c r="I860" s="3">
        <v>0</v>
      </c>
      <c r="J860" s="3">
        <v>0</v>
      </c>
      <c r="K860" s="14">
        <v>0</v>
      </c>
      <c r="L860" s="13">
        <v>0</v>
      </c>
      <c r="M860" s="13">
        <v>596.6</v>
      </c>
      <c r="N860" s="3">
        <f>M860*6600</f>
        <v>3937560</v>
      </c>
      <c r="O860" s="13">
        <v>0</v>
      </c>
      <c r="P860" s="13">
        <v>0</v>
      </c>
      <c r="Q860" s="13">
        <v>0</v>
      </c>
      <c r="R860" s="3">
        <f>Q860*3200</f>
        <v>0</v>
      </c>
      <c r="S860" s="13">
        <v>0</v>
      </c>
      <c r="T860" s="13">
        <v>0</v>
      </c>
      <c r="U860" s="13">
        <v>0</v>
      </c>
      <c r="V860" s="5">
        <f t="shared" ref="V860:V923" si="239">N860/M860</f>
        <v>6600</v>
      </c>
    </row>
    <row r="861" spans="1:191" ht="25.15" customHeight="1" x14ac:dyDescent="0.25">
      <c r="A861" s="21" t="s">
        <v>1660</v>
      </c>
      <c r="B861" s="24" t="s">
        <v>467</v>
      </c>
      <c r="C861" s="2">
        <f t="shared" si="237"/>
        <v>7431752.8799999999</v>
      </c>
      <c r="D861" s="3">
        <f t="shared" si="238"/>
        <v>3379799.9999999995</v>
      </c>
      <c r="E861" s="3">
        <f>700*1126.6</f>
        <v>788619.99999999988</v>
      </c>
      <c r="F861" s="3">
        <f>1300*1126.6</f>
        <v>1464579.9999999998</v>
      </c>
      <c r="G861" s="3">
        <f>300*1126.6</f>
        <v>337980</v>
      </c>
      <c r="H861" s="3">
        <f>400*1126.6</f>
        <v>450639.99999999994</v>
      </c>
      <c r="I861" s="3">
        <f>300*1126.6</f>
        <v>337980</v>
      </c>
      <c r="J861" s="3">
        <f>350*0</f>
        <v>0</v>
      </c>
      <c r="K861" s="14">
        <v>0</v>
      </c>
      <c r="L861" s="13">
        <v>0</v>
      </c>
      <c r="M861" s="13">
        <v>0</v>
      </c>
      <c r="N861" s="13">
        <v>0</v>
      </c>
      <c r="O861" s="13">
        <v>0</v>
      </c>
      <c r="P861" s="13">
        <v>0</v>
      </c>
      <c r="Q861" s="13">
        <v>1205.5</v>
      </c>
      <c r="R861" s="3">
        <f>Q861*3200</f>
        <v>3857600</v>
      </c>
      <c r="S861" s="13">
        <v>0</v>
      </c>
      <c r="T861" s="13">
        <v>0</v>
      </c>
      <c r="U861" s="13">
        <v>194352.88</v>
      </c>
      <c r="V861" s="5" t="e">
        <f t="shared" si="239"/>
        <v>#DIV/0!</v>
      </c>
    </row>
    <row r="862" spans="1:191" ht="25.15" customHeight="1" x14ac:dyDescent="0.25">
      <c r="A862" s="21" t="s">
        <v>1661</v>
      </c>
      <c r="B862" s="24" t="s">
        <v>551</v>
      </c>
      <c r="C862" s="2">
        <f t="shared" si="237"/>
        <v>2613520</v>
      </c>
      <c r="D862" s="3">
        <f t="shared" si="238"/>
        <v>0</v>
      </c>
      <c r="E862" s="3">
        <v>0</v>
      </c>
      <c r="F862" s="3">
        <v>0</v>
      </c>
      <c r="G862" s="3">
        <v>0</v>
      </c>
      <c r="H862" s="3">
        <v>0</v>
      </c>
      <c r="I862" s="3">
        <v>0</v>
      </c>
      <c r="J862" s="3">
        <v>0</v>
      </c>
      <c r="K862" s="14">
        <v>0</v>
      </c>
      <c r="L862" s="13">
        <v>0</v>
      </c>
      <c r="M862" s="13">
        <v>267.2</v>
      </c>
      <c r="N862" s="3">
        <f>M862*6600</f>
        <v>1763520</v>
      </c>
      <c r="O862" s="13">
        <v>0</v>
      </c>
      <c r="P862" s="13">
        <v>0</v>
      </c>
      <c r="Q862" s="13">
        <v>0</v>
      </c>
      <c r="R862" s="3">
        <f>Q862*3000</f>
        <v>0</v>
      </c>
      <c r="S862" s="13">
        <v>0</v>
      </c>
      <c r="T862" s="13">
        <v>0</v>
      </c>
      <c r="U862" s="13">
        <v>850000</v>
      </c>
      <c r="V862" s="5">
        <f t="shared" si="239"/>
        <v>6600</v>
      </c>
    </row>
    <row r="863" spans="1:191" ht="25.15" customHeight="1" x14ac:dyDescent="0.25">
      <c r="A863" s="21" t="s">
        <v>1662</v>
      </c>
      <c r="B863" s="24" t="s">
        <v>1193</v>
      </c>
      <c r="C863" s="2">
        <f t="shared" si="237"/>
        <v>2032800</v>
      </c>
      <c r="D863" s="3">
        <f t="shared" si="238"/>
        <v>0</v>
      </c>
      <c r="E863" s="3">
        <v>0</v>
      </c>
      <c r="F863" s="3">
        <v>0</v>
      </c>
      <c r="G863" s="3">
        <v>0</v>
      </c>
      <c r="H863" s="3">
        <v>0</v>
      </c>
      <c r="I863" s="3">
        <v>0</v>
      </c>
      <c r="J863" s="3">
        <v>0</v>
      </c>
      <c r="K863" s="4">
        <v>0</v>
      </c>
      <c r="L863" s="3">
        <v>0</v>
      </c>
      <c r="M863" s="3">
        <v>308</v>
      </c>
      <c r="N863" s="3">
        <f>M863*6600</f>
        <v>2032800</v>
      </c>
      <c r="O863" s="3">
        <v>0</v>
      </c>
      <c r="P863" s="3">
        <v>0</v>
      </c>
      <c r="Q863" s="3">
        <v>0</v>
      </c>
      <c r="R863" s="3">
        <f>Q863*3200</f>
        <v>0</v>
      </c>
      <c r="S863" s="3">
        <v>0</v>
      </c>
      <c r="T863" s="13">
        <v>0</v>
      </c>
      <c r="U863" s="3">
        <v>0</v>
      </c>
      <c r="V863" s="5">
        <f t="shared" si="239"/>
        <v>6600</v>
      </c>
      <c r="W863" s="32"/>
      <c r="X863" s="32"/>
      <c r="Y863" s="32"/>
      <c r="Z863" s="32"/>
      <c r="AA863" s="32"/>
      <c r="AB863" s="32"/>
      <c r="AC863" s="32"/>
      <c r="AD863" s="32"/>
      <c r="AE863" s="32"/>
      <c r="AF863" s="32"/>
      <c r="AG863" s="32"/>
      <c r="AH863" s="32"/>
      <c r="AI863" s="32"/>
      <c r="AJ863" s="32"/>
      <c r="AK863" s="32"/>
      <c r="AL863" s="32"/>
      <c r="AM863" s="32"/>
      <c r="AN863" s="32"/>
      <c r="AO863" s="32"/>
      <c r="AP863" s="32"/>
      <c r="AQ863" s="32"/>
      <c r="AR863" s="32"/>
      <c r="AS863" s="32"/>
      <c r="AT863" s="32"/>
      <c r="AU863" s="32"/>
      <c r="AV863" s="32"/>
      <c r="AW863" s="32"/>
      <c r="AX863" s="32"/>
      <c r="AY863" s="32"/>
      <c r="AZ863" s="32"/>
      <c r="BA863" s="32"/>
      <c r="BB863" s="32"/>
      <c r="BC863" s="32"/>
      <c r="BD863" s="32"/>
      <c r="BE863" s="32"/>
      <c r="BF863" s="32"/>
      <c r="BG863" s="32"/>
      <c r="BH863" s="32"/>
      <c r="BI863" s="32"/>
      <c r="BJ863" s="32"/>
      <c r="BK863" s="32"/>
      <c r="BL863" s="32"/>
      <c r="BM863" s="32"/>
      <c r="BN863" s="32"/>
      <c r="BO863" s="32"/>
      <c r="BP863" s="32"/>
      <c r="BQ863" s="32"/>
      <c r="BR863" s="32"/>
      <c r="BS863" s="32"/>
      <c r="BT863" s="32"/>
      <c r="BU863" s="32"/>
      <c r="BV863" s="32"/>
      <c r="BW863" s="32"/>
      <c r="BX863" s="32"/>
      <c r="BY863" s="32"/>
      <c r="BZ863" s="32"/>
      <c r="CA863" s="32"/>
      <c r="CB863" s="32"/>
      <c r="CC863" s="32"/>
      <c r="CD863" s="32"/>
      <c r="CE863" s="32"/>
      <c r="CF863" s="32"/>
      <c r="CG863" s="32"/>
      <c r="CH863" s="32"/>
      <c r="CI863" s="32"/>
      <c r="CJ863" s="32"/>
      <c r="CK863" s="32"/>
      <c r="CL863" s="32"/>
      <c r="CM863" s="32"/>
      <c r="CN863" s="32"/>
      <c r="CO863" s="32"/>
      <c r="CP863" s="32"/>
      <c r="CQ863" s="32"/>
      <c r="CR863" s="32"/>
      <c r="CS863" s="32"/>
      <c r="CT863" s="32"/>
      <c r="CU863" s="32"/>
      <c r="CV863" s="32"/>
      <c r="CW863" s="32"/>
      <c r="CX863" s="32"/>
      <c r="CY863" s="32"/>
      <c r="CZ863" s="32"/>
      <c r="DA863" s="32"/>
      <c r="DB863" s="32"/>
      <c r="DC863" s="32"/>
      <c r="DD863" s="32"/>
      <c r="DE863" s="32"/>
      <c r="DF863" s="32"/>
      <c r="DG863" s="32"/>
      <c r="DH863" s="32"/>
      <c r="DI863" s="32"/>
      <c r="DJ863" s="32"/>
      <c r="DK863" s="32"/>
      <c r="DL863" s="32"/>
      <c r="DM863" s="32"/>
      <c r="DN863" s="32"/>
      <c r="DO863" s="32"/>
      <c r="DP863" s="32"/>
      <c r="DQ863" s="32"/>
      <c r="DR863" s="32"/>
      <c r="DS863" s="32"/>
      <c r="DT863" s="32"/>
      <c r="DU863" s="32"/>
      <c r="DV863" s="32"/>
      <c r="DW863" s="32"/>
      <c r="DX863" s="32"/>
      <c r="DY863" s="32"/>
      <c r="DZ863" s="32"/>
      <c r="EA863" s="32"/>
      <c r="EB863" s="32"/>
      <c r="EC863" s="32"/>
      <c r="ED863" s="32"/>
      <c r="EE863" s="32"/>
      <c r="EF863" s="32"/>
      <c r="EG863" s="32"/>
      <c r="EH863" s="32"/>
      <c r="EI863" s="32"/>
      <c r="EJ863" s="32"/>
      <c r="EK863" s="32"/>
      <c r="EL863" s="32"/>
      <c r="EM863" s="32"/>
      <c r="EN863" s="32"/>
      <c r="EO863" s="32"/>
      <c r="EP863" s="32"/>
      <c r="EQ863" s="32"/>
      <c r="ER863" s="32"/>
      <c r="ES863" s="32"/>
      <c r="ET863" s="32"/>
      <c r="EU863" s="32"/>
      <c r="EV863" s="32"/>
      <c r="EW863" s="32"/>
      <c r="EX863" s="32"/>
      <c r="EY863" s="32"/>
      <c r="EZ863" s="32"/>
      <c r="FA863" s="32"/>
      <c r="FB863" s="32"/>
      <c r="FC863" s="32"/>
      <c r="FD863" s="32"/>
      <c r="FE863" s="32"/>
      <c r="FF863" s="32"/>
      <c r="FG863" s="32"/>
      <c r="FH863" s="32"/>
      <c r="FI863" s="32"/>
      <c r="FJ863" s="32"/>
      <c r="FK863" s="32"/>
      <c r="FL863" s="32"/>
      <c r="FM863" s="32"/>
      <c r="FN863" s="32"/>
      <c r="FO863" s="32"/>
      <c r="FP863" s="32"/>
      <c r="FQ863" s="32"/>
      <c r="FR863" s="32"/>
      <c r="FS863" s="32"/>
      <c r="FT863" s="32"/>
      <c r="FU863" s="32"/>
      <c r="FV863" s="32"/>
      <c r="FW863" s="32"/>
      <c r="FX863" s="32"/>
      <c r="FY863" s="32"/>
      <c r="FZ863" s="32"/>
      <c r="GA863" s="32"/>
      <c r="GB863" s="32"/>
      <c r="GC863" s="32"/>
      <c r="GD863" s="32"/>
      <c r="GE863" s="32"/>
      <c r="GF863" s="32"/>
      <c r="GG863" s="32"/>
      <c r="GH863" s="32"/>
      <c r="GI863" s="32"/>
    </row>
    <row r="864" spans="1:191" ht="25.15" customHeight="1" x14ac:dyDescent="0.25">
      <c r="A864" s="21" t="s">
        <v>1663</v>
      </c>
      <c r="B864" s="24" t="s">
        <v>841</v>
      </c>
      <c r="C864" s="2">
        <f t="shared" si="237"/>
        <v>2200320</v>
      </c>
      <c r="D864" s="3">
        <f t="shared" si="238"/>
        <v>0</v>
      </c>
      <c r="E864" s="3">
        <v>0</v>
      </c>
      <c r="F864" s="3">
        <v>0</v>
      </c>
      <c r="G864" s="3">
        <v>0</v>
      </c>
      <c r="H864" s="3">
        <v>0</v>
      </c>
      <c r="I864" s="3">
        <v>0</v>
      </c>
      <c r="J864" s="3">
        <v>0</v>
      </c>
      <c r="K864" s="14">
        <v>0</v>
      </c>
      <c r="L864" s="13">
        <v>0</v>
      </c>
      <c r="M864" s="13">
        <v>0</v>
      </c>
      <c r="N864" s="13">
        <v>0</v>
      </c>
      <c r="O864" s="13">
        <v>0</v>
      </c>
      <c r="P864" s="13">
        <v>0</v>
      </c>
      <c r="Q864" s="13">
        <v>687.6</v>
      </c>
      <c r="R864" s="3">
        <f>Q864*3200</f>
        <v>2200320</v>
      </c>
      <c r="S864" s="13">
        <v>0</v>
      </c>
      <c r="T864" s="13">
        <v>0</v>
      </c>
      <c r="U864" s="13">
        <v>0</v>
      </c>
      <c r="V864" s="5" t="e">
        <f t="shared" si="239"/>
        <v>#DIV/0!</v>
      </c>
    </row>
    <row r="865" spans="1:258" ht="25.15" customHeight="1" x14ac:dyDescent="0.25">
      <c r="A865" s="21" t="s">
        <v>1664</v>
      </c>
      <c r="B865" s="28" t="s">
        <v>856</v>
      </c>
      <c r="C865" s="2">
        <f t="shared" si="237"/>
        <v>4224000</v>
      </c>
      <c r="D865" s="3">
        <f t="shared" si="238"/>
        <v>0</v>
      </c>
      <c r="E865" s="3">
        <v>0</v>
      </c>
      <c r="F865" s="3">
        <v>0</v>
      </c>
      <c r="G865" s="3">
        <v>0</v>
      </c>
      <c r="H865" s="3">
        <v>0</v>
      </c>
      <c r="I865" s="3">
        <v>0</v>
      </c>
      <c r="J865" s="3">
        <v>0</v>
      </c>
      <c r="K865" s="4">
        <v>0</v>
      </c>
      <c r="L865" s="3">
        <v>0</v>
      </c>
      <c r="M865" s="3">
        <v>640</v>
      </c>
      <c r="N865" s="3">
        <f>M865*6600</f>
        <v>4224000</v>
      </c>
      <c r="O865" s="3">
        <v>0</v>
      </c>
      <c r="P865" s="3">
        <v>0</v>
      </c>
      <c r="Q865" s="3">
        <v>0</v>
      </c>
      <c r="R865" s="3">
        <v>0</v>
      </c>
      <c r="S865" s="3">
        <v>0</v>
      </c>
      <c r="T865" s="3">
        <v>0</v>
      </c>
      <c r="U865" s="3">
        <v>0</v>
      </c>
      <c r="V865" s="5">
        <f t="shared" si="239"/>
        <v>6600</v>
      </c>
    </row>
    <row r="866" spans="1:258" ht="25.15" customHeight="1" x14ac:dyDescent="0.25">
      <c r="A866" s="21" t="s">
        <v>1665</v>
      </c>
      <c r="B866" s="28" t="s">
        <v>858</v>
      </c>
      <c r="C866" s="2">
        <f t="shared" si="237"/>
        <v>3379200</v>
      </c>
      <c r="D866" s="3">
        <f t="shared" si="238"/>
        <v>0</v>
      </c>
      <c r="E866" s="3">
        <v>0</v>
      </c>
      <c r="F866" s="3">
        <v>0</v>
      </c>
      <c r="G866" s="3">
        <v>0</v>
      </c>
      <c r="H866" s="3">
        <v>0</v>
      </c>
      <c r="I866" s="3">
        <v>0</v>
      </c>
      <c r="J866" s="3">
        <v>0</v>
      </c>
      <c r="K866" s="4">
        <v>0</v>
      </c>
      <c r="L866" s="3">
        <v>0</v>
      </c>
      <c r="M866" s="3">
        <v>512</v>
      </c>
      <c r="N866" s="3">
        <f>M866*6600</f>
        <v>3379200</v>
      </c>
      <c r="O866" s="3">
        <v>0</v>
      </c>
      <c r="P866" s="3">
        <v>0</v>
      </c>
      <c r="Q866" s="3">
        <v>0</v>
      </c>
      <c r="R866" s="3">
        <v>0</v>
      </c>
      <c r="S866" s="3">
        <v>0</v>
      </c>
      <c r="T866" s="3">
        <v>0</v>
      </c>
      <c r="U866" s="3">
        <v>0</v>
      </c>
      <c r="V866" s="5">
        <f t="shared" si="239"/>
        <v>6600</v>
      </c>
    </row>
    <row r="867" spans="1:258" ht="25.15" customHeight="1" x14ac:dyDescent="0.25">
      <c r="A867" s="21" t="s">
        <v>1972</v>
      </c>
      <c r="B867" s="24" t="s">
        <v>405</v>
      </c>
      <c r="C867" s="2">
        <f t="shared" si="237"/>
        <v>640000</v>
      </c>
      <c r="D867" s="3">
        <f t="shared" si="238"/>
        <v>0</v>
      </c>
      <c r="E867" s="3">
        <v>0</v>
      </c>
      <c r="F867" s="3">
        <v>0</v>
      </c>
      <c r="G867" s="3">
        <v>0</v>
      </c>
      <c r="H867" s="3">
        <v>0</v>
      </c>
      <c r="I867" s="3">
        <v>0</v>
      </c>
      <c r="J867" s="3">
        <v>0</v>
      </c>
      <c r="K867" s="4">
        <v>0</v>
      </c>
      <c r="L867" s="3">
        <v>0</v>
      </c>
      <c r="M867" s="3">
        <v>0</v>
      </c>
      <c r="N867" s="3">
        <v>0</v>
      </c>
      <c r="O867" s="3">
        <v>0</v>
      </c>
      <c r="P867" s="3">
        <v>0</v>
      </c>
      <c r="Q867" s="3">
        <v>200</v>
      </c>
      <c r="R867" s="3">
        <f>Q867*3200</f>
        <v>640000</v>
      </c>
      <c r="S867" s="3">
        <v>0</v>
      </c>
      <c r="T867" s="13">
        <v>0</v>
      </c>
      <c r="U867" s="3">
        <v>0</v>
      </c>
      <c r="V867" s="5" t="e">
        <f t="shared" si="239"/>
        <v>#DIV/0!</v>
      </c>
    </row>
    <row r="868" spans="1:258" ht="25.15" customHeight="1" x14ac:dyDescent="0.25">
      <c r="A868" s="21" t="s">
        <v>1666</v>
      </c>
      <c r="B868" s="27" t="s">
        <v>733</v>
      </c>
      <c r="C868" s="2">
        <f t="shared" si="237"/>
        <v>1791900</v>
      </c>
      <c r="D868" s="3">
        <f t="shared" si="238"/>
        <v>0</v>
      </c>
      <c r="E868" s="3">
        <v>0</v>
      </c>
      <c r="F868" s="3">
        <v>0</v>
      </c>
      <c r="G868" s="3">
        <v>0</v>
      </c>
      <c r="H868" s="3">
        <v>0</v>
      </c>
      <c r="I868" s="3">
        <v>0</v>
      </c>
      <c r="J868" s="3">
        <v>0</v>
      </c>
      <c r="K868" s="4">
        <v>0</v>
      </c>
      <c r="L868" s="3">
        <v>0</v>
      </c>
      <c r="M868" s="3">
        <v>271.5</v>
      </c>
      <c r="N868" s="3">
        <f>M868*6600</f>
        <v>1791900</v>
      </c>
      <c r="O868" s="3">
        <v>0</v>
      </c>
      <c r="P868" s="3">
        <v>0</v>
      </c>
      <c r="Q868" s="3">
        <v>0</v>
      </c>
      <c r="R868" s="3">
        <f>Q868*3200</f>
        <v>0</v>
      </c>
      <c r="S868" s="3">
        <v>0</v>
      </c>
      <c r="T868" s="3">
        <v>0</v>
      </c>
      <c r="U868" s="3">
        <v>0</v>
      </c>
      <c r="V868" s="5">
        <f t="shared" si="239"/>
        <v>6600</v>
      </c>
    </row>
    <row r="869" spans="1:258" ht="25.15" customHeight="1" x14ac:dyDescent="0.25">
      <c r="A869" s="21" t="s">
        <v>1667</v>
      </c>
      <c r="B869" s="27" t="s">
        <v>734</v>
      </c>
      <c r="C869" s="2">
        <f t="shared" si="237"/>
        <v>1851960.0000000002</v>
      </c>
      <c r="D869" s="3">
        <f t="shared" si="238"/>
        <v>0</v>
      </c>
      <c r="E869" s="3">
        <v>0</v>
      </c>
      <c r="F869" s="3">
        <v>0</v>
      </c>
      <c r="G869" s="3">
        <v>0</v>
      </c>
      <c r="H869" s="3">
        <v>0</v>
      </c>
      <c r="I869" s="3">
        <v>0</v>
      </c>
      <c r="J869" s="3">
        <v>0</v>
      </c>
      <c r="K869" s="4">
        <v>0</v>
      </c>
      <c r="L869" s="3">
        <v>0</v>
      </c>
      <c r="M869" s="3">
        <v>280.60000000000002</v>
      </c>
      <c r="N869" s="3">
        <f>M869*6600</f>
        <v>1851960.0000000002</v>
      </c>
      <c r="O869" s="3">
        <v>0</v>
      </c>
      <c r="P869" s="3">
        <v>0</v>
      </c>
      <c r="Q869" s="3">
        <v>0</v>
      </c>
      <c r="R869" s="3">
        <f>Q869*3200</f>
        <v>0</v>
      </c>
      <c r="S869" s="3">
        <v>0</v>
      </c>
      <c r="T869" s="3">
        <v>0</v>
      </c>
      <c r="U869" s="3">
        <v>0</v>
      </c>
      <c r="V869" s="5">
        <f t="shared" si="239"/>
        <v>6600</v>
      </c>
    </row>
    <row r="870" spans="1:258" ht="25.15" customHeight="1" x14ac:dyDescent="0.25">
      <c r="A870" s="21" t="s">
        <v>1668</v>
      </c>
      <c r="B870" s="27" t="s">
        <v>735</v>
      </c>
      <c r="C870" s="2">
        <f t="shared" si="237"/>
        <v>1842720</v>
      </c>
      <c r="D870" s="3">
        <f t="shared" si="238"/>
        <v>0</v>
      </c>
      <c r="E870" s="3">
        <v>0</v>
      </c>
      <c r="F870" s="3">
        <v>0</v>
      </c>
      <c r="G870" s="3">
        <v>0</v>
      </c>
      <c r="H870" s="3">
        <v>0</v>
      </c>
      <c r="I870" s="3">
        <v>0</v>
      </c>
      <c r="J870" s="3">
        <v>0</v>
      </c>
      <c r="K870" s="4">
        <v>0</v>
      </c>
      <c r="L870" s="3">
        <v>0</v>
      </c>
      <c r="M870" s="3">
        <v>279.2</v>
      </c>
      <c r="N870" s="3">
        <f>M870*6600</f>
        <v>1842720</v>
      </c>
      <c r="O870" s="3">
        <v>0</v>
      </c>
      <c r="P870" s="3">
        <v>0</v>
      </c>
      <c r="Q870" s="3">
        <v>0</v>
      </c>
      <c r="R870" s="3">
        <f>Q870*3200</f>
        <v>0</v>
      </c>
      <c r="S870" s="3">
        <v>0</v>
      </c>
      <c r="T870" s="3">
        <v>0</v>
      </c>
      <c r="U870" s="3">
        <v>0</v>
      </c>
      <c r="V870" s="5">
        <f t="shared" si="239"/>
        <v>6600</v>
      </c>
    </row>
    <row r="871" spans="1:258" ht="25.15" customHeight="1" x14ac:dyDescent="0.25">
      <c r="A871" s="21" t="s">
        <v>1669</v>
      </c>
      <c r="B871" s="24" t="s">
        <v>472</v>
      </c>
      <c r="C871" s="2">
        <f t="shared" si="237"/>
        <v>3649800</v>
      </c>
      <c r="D871" s="3">
        <f t="shared" si="238"/>
        <v>0</v>
      </c>
      <c r="E871" s="3">
        <v>0</v>
      </c>
      <c r="F871" s="3">
        <v>0</v>
      </c>
      <c r="G871" s="3">
        <v>0</v>
      </c>
      <c r="H871" s="3">
        <v>0</v>
      </c>
      <c r="I871" s="3">
        <v>0</v>
      </c>
      <c r="J871" s="3">
        <v>0</v>
      </c>
      <c r="K871" s="4">
        <v>0</v>
      </c>
      <c r="L871" s="3">
        <v>0</v>
      </c>
      <c r="M871" s="3">
        <v>553</v>
      </c>
      <c r="N871" s="3">
        <f>M871*6600</f>
        <v>3649800</v>
      </c>
      <c r="O871" s="3">
        <v>0</v>
      </c>
      <c r="P871" s="3">
        <v>0</v>
      </c>
      <c r="Q871" s="3">
        <v>0</v>
      </c>
      <c r="R871" s="3">
        <f>Q871*3000</f>
        <v>0</v>
      </c>
      <c r="S871" s="3">
        <v>0</v>
      </c>
      <c r="T871" s="13">
        <v>0</v>
      </c>
      <c r="U871" s="3">
        <v>0</v>
      </c>
      <c r="V871" s="5">
        <f t="shared" si="239"/>
        <v>6600</v>
      </c>
    </row>
    <row r="872" spans="1:258" ht="25.15" customHeight="1" x14ac:dyDescent="0.25">
      <c r="A872" s="21" t="s">
        <v>1670</v>
      </c>
      <c r="B872" s="27" t="s">
        <v>555</v>
      </c>
      <c r="C872" s="2">
        <f t="shared" si="237"/>
        <v>5024844.87</v>
      </c>
      <c r="D872" s="3">
        <f t="shared" si="238"/>
        <v>1915276</v>
      </c>
      <c r="E872" s="3">
        <v>0</v>
      </c>
      <c r="F872" s="3">
        <f>1300*1008.04</f>
        <v>1310452</v>
      </c>
      <c r="G872" s="3">
        <f>300*1008.04</f>
        <v>302412</v>
      </c>
      <c r="H872" s="3">
        <v>0</v>
      </c>
      <c r="I872" s="3">
        <f>300*1008.04</f>
        <v>302412</v>
      </c>
      <c r="J872" s="3">
        <f>350*0</f>
        <v>0</v>
      </c>
      <c r="K872" s="14">
        <v>0</v>
      </c>
      <c r="L872" s="13">
        <v>0</v>
      </c>
      <c r="M872" s="13">
        <v>0</v>
      </c>
      <c r="N872" s="13">
        <v>0</v>
      </c>
      <c r="O872" s="13">
        <v>0</v>
      </c>
      <c r="P872" s="13">
        <v>0</v>
      </c>
      <c r="Q872" s="13">
        <v>934.8</v>
      </c>
      <c r="R872" s="3">
        <f t="shared" ref="R872:R877" si="240">Q872*3200</f>
        <v>2991360</v>
      </c>
      <c r="S872" s="13">
        <v>0</v>
      </c>
      <c r="T872" s="13">
        <v>0</v>
      </c>
      <c r="U872" s="13">
        <v>118208.87</v>
      </c>
      <c r="V872" s="5" t="e">
        <f t="shared" si="239"/>
        <v>#DIV/0!</v>
      </c>
    </row>
    <row r="873" spans="1:258" s="41" customFormat="1" ht="25.15" customHeight="1" x14ac:dyDescent="0.25">
      <c r="A873" s="21" t="s">
        <v>1671</v>
      </c>
      <c r="B873" s="24" t="s">
        <v>736</v>
      </c>
      <c r="C873" s="2">
        <f t="shared" si="237"/>
        <v>3498000</v>
      </c>
      <c r="D873" s="3">
        <f t="shared" si="238"/>
        <v>0</v>
      </c>
      <c r="E873" s="3">
        <v>0</v>
      </c>
      <c r="F873" s="3">
        <v>0</v>
      </c>
      <c r="G873" s="3">
        <v>0</v>
      </c>
      <c r="H873" s="3">
        <v>0</v>
      </c>
      <c r="I873" s="3">
        <v>0</v>
      </c>
      <c r="J873" s="3">
        <v>0</v>
      </c>
      <c r="K873" s="4">
        <v>0</v>
      </c>
      <c r="L873" s="3">
        <v>0</v>
      </c>
      <c r="M873" s="3">
        <v>530</v>
      </c>
      <c r="N873" s="3">
        <f>M873*6600</f>
        <v>3498000</v>
      </c>
      <c r="O873" s="3">
        <v>0</v>
      </c>
      <c r="P873" s="3">
        <v>0</v>
      </c>
      <c r="Q873" s="3">
        <v>0</v>
      </c>
      <c r="R873" s="3">
        <f t="shared" si="240"/>
        <v>0</v>
      </c>
      <c r="S873" s="3">
        <v>0</v>
      </c>
      <c r="T873" s="3">
        <v>0</v>
      </c>
      <c r="U873" s="3">
        <v>0</v>
      </c>
      <c r="V873" s="5">
        <f t="shared" si="239"/>
        <v>6600</v>
      </c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  <c r="BO873" s="6"/>
      <c r="BP873" s="6"/>
      <c r="BQ873" s="6"/>
      <c r="BR873" s="6"/>
      <c r="BS873" s="6"/>
      <c r="BT873" s="6"/>
      <c r="BU873" s="6"/>
      <c r="BV873" s="6"/>
      <c r="BW873" s="6"/>
      <c r="BX873" s="6"/>
      <c r="BY873" s="6"/>
      <c r="BZ873" s="6"/>
      <c r="CA873" s="6"/>
      <c r="CB873" s="6"/>
      <c r="CC873" s="6"/>
      <c r="CD873" s="6"/>
      <c r="CE873" s="6"/>
      <c r="CF873" s="6"/>
      <c r="CG873" s="6"/>
      <c r="CH873" s="6"/>
      <c r="CI873" s="6"/>
      <c r="CJ873" s="6"/>
      <c r="CK873" s="6"/>
      <c r="CL873" s="6"/>
      <c r="CM873" s="6"/>
      <c r="CN873" s="6"/>
      <c r="CO873" s="6"/>
      <c r="CP873" s="6"/>
      <c r="CQ873" s="6"/>
      <c r="CR873" s="6"/>
      <c r="CS873" s="6"/>
      <c r="CT873" s="6"/>
      <c r="CU873" s="6"/>
      <c r="CV873" s="6"/>
      <c r="CW873" s="6"/>
      <c r="CX873" s="6"/>
      <c r="CY873" s="6"/>
      <c r="CZ873" s="6"/>
      <c r="DA873" s="6"/>
      <c r="DB873" s="6"/>
      <c r="DC873" s="6"/>
      <c r="DD873" s="6"/>
      <c r="DE873" s="6"/>
      <c r="DF873" s="6"/>
      <c r="DG873" s="6"/>
      <c r="DH873" s="6"/>
      <c r="DI873" s="6"/>
      <c r="DJ873" s="6"/>
      <c r="DK873" s="6"/>
      <c r="DL873" s="6"/>
      <c r="DM873" s="6"/>
      <c r="DN873" s="6"/>
      <c r="DO873" s="6"/>
      <c r="DP873" s="6"/>
      <c r="DQ873" s="6"/>
      <c r="DR873" s="6"/>
      <c r="DS873" s="6"/>
      <c r="DT873" s="6"/>
      <c r="DU873" s="6"/>
      <c r="DV873" s="6"/>
      <c r="DW873" s="6"/>
      <c r="DX873" s="6"/>
      <c r="DY873" s="6"/>
      <c r="DZ873" s="6"/>
      <c r="EA873" s="6"/>
      <c r="EB873" s="6"/>
      <c r="EC873" s="6"/>
      <c r="ED873" s="6"/>
      <c r="EE873" s="6"/>
      <c r="EF873" s="6"/>
      <c r="EG873" s="6"/>
      <c r="EH873" s="6"/>
      <c r="EI873" s="6"/>
      <c r="EJ873" s="6"/>
      <c r="EK873" s="6"/>
      <c r="EL873" s="6"/>
      <c r="EM873" s="6"/>
      <c r="EN873" s="6"/>
      <c r="EO873" s="6"/>
      <c r="EP873" s="6"/>
      <c r="EQ873" s="6"/>
      <c r="ER873" s="6"/>
      <c r="ES873" s="6"/>
      <c r="ET873" s="6"/>
      <c r="EU873" s="6"/>
      <c r="EV873" s="6"/>
      <c r="EW873" s="6"/>
      <c r="EX873" s="6"/>
      <c r="EY873" s="6"/>
      <c r="EZ873" s="6"/>
      <c r="FA873" s="6"/>
      <c r="FB873" s="6"/>
      <c r="FC873" s="6"/>
      <c r="FD873" s="6"/>
      <c r="FE873" s="6"/>
      <c r="FF873" s="6"/>
      <c r="FG873" s="6"/>
      <c r="FH873" s="6"/>
      <c r="FI873" s="6"/>
      <c r="FJ873" s="6"/>
      <c r="FK873" s="6"/>
      <c r="FL873" s="6"/>
      <c r="FM873" s="6"/>
      <c r="FN873" s="6"/>
      <c r="FO873" s="6"/>
      <c r="FP873" s="6"/>
      <c r="FQ873" s="6"/>
      <c r="FR873" s="6"/>
      <c r="FS873" s="6"/>
      <c r="FT873" s="6"/>
      <c r="FU873" s="6"/>
      <c r="FV873" s="6"/>
      <c r="FW873" s="6"/>
      <c r="FX873" s="6"/>
      <c r="FY873" s="6"/>
      <c r="FZ873" s="6"/>
      <c r="GA873" s="6"/>
      <c r="GB873" s="6"/>
      <c r="GC873" s="6"/>
      <c r="GD873" s="6"/>
      <c r="GE873" s="6"/>
      <c r="GF873" s="6"/>
      <c r="GG873" s="6"/>
      <c r="GH873" s="6"/>
      <c r="GI873" s="6"/>
      <c r="GJ873" s="6"/>
      <c r="GK873" s="6"/>
      <c r="GL873" s="6"/>
      <c r="GM873" s="6"/>
      <c r="GN873" s="6"/>
      <c r="GO873" s="6"/>
      <c r="GP873" s="6"/>
      <c r="GQ873" s="6"/>
      <c r="GR873" s="6"/>
      <c r="GS873" s="6"/>
      <c r="GT873" s="6"/>
      <c r="GU873" s="6"/>
      <c r="GV873" s="6"/>
      <c r="GW873" s="6"/>
      <c r="GX873" s="6"/>
      <c r="GY873" s="6"/>
      <c r="GZ873" s="6"/>
      <c r="HA873" s="6"/>
      <c r="HB873" s="6"/>
      <c r="HC873" s="6"/>
      <c r="HD873" s="6"/>
      <c r="HE873" s="6"/>
      <c r="HF873" s="6"/>
      <c r="HG873" s="6"/>
      <c r="HH873" s="6"/>
      <c r="HI873" s="6"/>
      <c r="HJ873" s="6"/>
      <c r="HK873" s="6"/>
      <c r="HL873" s="6"/>
      <c r="HM873" s="6"/>
      <c r="HN873" s="6"/>
      <c r="HO873" s="6"/>
      <c r="HP873" s="6"/>
      <c r="HQ873" s="6"/>
      <c r="HR873" s="6"/>
      <c r="HS873" s="6"/>
      <c r="HT873" s="6"/>
      <c r="HU873" s="6"/>
      <c r="HV873" s="6"/>
      <c r="HW873" s="6"/>
      <c r="HX873" s="6"/>
      <c r="HY873" s="6"/>
      <c r="HZ873" s="6"/>
      <c r="IA873" s="6"/>
      <c r="IB873" s="6"/>
      <c r="IC873" s="6"/>
      <c r="ID873" s="6"/>
      <c r="IE873" s="6"/>
      <c r="IF873" s="6"/>
      <c r="IG873" s="6"/>
      <c r="IH873" s="6"/>
      <c r="II873" s="6"/>
      <c r="IJ873" s="6"/>
      <c r="IK873" s="6"/>
      <c r="IL873" s="6"/>
      <c r="IM873" s="6"/>
      <c r="IN873" s="6"/>
      <c r="IO873" s="6"/>
      <c r="IP873" s="6"/>
      <c r="IQ873" s="6"/>
      <c r="IR873" s="6"/>
      <c r="IS873" s="6"/>
      <c r="IT873" s="6"/>
      <c r="IU873" s="6"/>
      <c r="IV873" s="6"/>
      <c r="IW873" s="6"/>
      <c r="IX873" s="6"/>
    </row>
    <row r="874" spans="1:258" ht="25.15" customHeight="1" x14ac:dyDescent="0.25">
      <c r="A874" s="21" t="s">
        <v>1672</v>
      </c>
      <c r="B874" s="24" t="s">
        <v>559</v>
      </c>
      <c r="C874" s="2">
        <f t="shared" si="237"/>
        <v>1947000</v>
      </c>
      <c r="D874" s="3">
        <f t="shared" si="238"/>
        <v>0</v>
      </c>
      <c r="E874" s="3">
        <v>0</v>
      </c>
      <c r="F874" s="3">
        <v>0</v>
      </c>
      <c r="G874" s="3">
        <v>0</v>
      </c>
      <c r="H874" s="3">
        <v>0</v>
      </c>
      <c r="I874" s="3">
        <v>0</v>
      </c>
      <c r="J874" s="3">
        <v>0</v>
      </c>
      <c r="K874" s="14">
        <v>0</v>
      </c>
      <c r="L874" s="13">
        <v>0</v>
      </c>
      <c r="M874" s="13">
        <v>295</v>
      </c>
      <c r="N874" s="3">
        <f>M874*6600</f>
        <v>1947000</v>
      </c>
      <c r="O874" s="13">
        <v>0</v>
      </c>
      <c r="P874" s="13">
        <v>0</v>
      </c>
      <c r="Q874" s="13">
        <v>0</v>
      </c>
      <c r="R874" s="3">
        <f t="shared" si="240"/>
        <v>0</v>
      </c>
      <c r="S874" s="13">
        <v>0</v>
      </c>
      <c r="T874" s="13">
        <v>0</v>
      </c>
      <c r="U874" s="13">
        <v>0</v>
      </c>
      <c r="V874" s="5">
        <f t="shared" si="239"/>
        <v>6600</v>
      </c>
    </row>
    <row r="875" spans="1:258" s="32" customFormat="1" ht="24.6" customHeight="1" x14ac:dyDescent="0.25">
      <c r="A875" s="21" t="s">
        <v>1973</v>
      </c>
      <c r="B875" s="24" t="s">
        <v>652</v>
      </c>
      <c r="C875" s="2">
        <f t="shared" si="237"/>
        <v>300000</v>
      </c>
      <c r="D875" s="3">
        <f t="shared" si="238"/>
        <v>0</v>
      </c>
      <c r="E875" s="3">
        <v>0</v>
      </c>
      <c r="F875" s="3">
        <v>0</v>
      </c>
      <c r="G875" s="3">
        <v>0</v>
      </c>
      <c r="H875" s="3">
        <v>0</v>
      </c>
      <c r="I875" s="3">
        <v>0</v>
      </c>
      <c r="J875" s="3">
        <v>0</v>
      </c>
      <c r="K875" s="4">
        <v>0</v>
      </c>
      <c r="L875" s="3">
        <v>0</v>
      </c>
      <c r="M875" s="3">
        <v>0</v>
      </c>
      <c r="N875" s="3">
        <f>M875*6600</f>
        <v>0</v>
      </c>
      <c r="O875" s="3">
        <v>0</v>
      </c>
      <c r="P875" s="3">
        <v>0</v>
      </c>
      <c r="Q875" s="3">
        <v>0</v>
      </c>
      <c r="R875" s="3">
        <f t="shared" si="240"/>
        <v>0</v>
      </c>
      <c r="S875" s="3">
        <v>0</v>
      </c>
      <c r="T875" s="3">
        <v>0</v>
      </c>
      <c r="U875" s="3">
        <v>300000</v>
      </c>
      <c r="V875" s="5" t="e">
        <f t="shared" si="239"/>
        <v>#DIV/0!</v>
      </c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  <c r="BO875" s="6"/>
      <c r="BP875" s="6"/>
      <c r="BQ875" s="6"/>
      <c r="BR875" s="6"/>
      <c r="BS875" s="6"/>
      <c r="BT875" s="6"/>
      <c r="BU875" s="6"/>
      <c r="BV875" s="6"/>
      <c r="BW875" s="6"/>
      <c r="BX875" s="6"/>
      <c r="BY875" s="6"/>
      <c r="BZ875" s="6"/>
      <c r="CA875" s="6"/>
      <c r="CB875" s="6"/>
      <c r="CC875" s="6"/>
      <c r="CD875" s="6"/>
      <c r="CE875" s="6"/>
      <c r="CF875" s="6"/>
      <c r="CG875" s="6"/>
      <c r="CH875" s="6"/>
      <c r="CI875" s="6"/>
      <c r="CJ875" s="6"/>
      <c r="CK875" s="6"/>
      <c r="CL875" s="6"/>
      <c r="CM875" s="6"/>
      <c r="CN875" s="6"/>
      <c r="CO875" s="6"/>
      <c r="CP875" s="6"/>
      <c r="CQ875" s="6"/>
      <c r="CR875" s="6"/>
      <c r="CS875" s="6"/>
      <c r="CT875" s="6"/>
      <c r="CU875" s="6"/>
      <c r="CV875" s="6"/>
      <c r="CW875" s="6"/>
      <c r="CX875" s="6"/>
      <c r="CY875" s="6"/>
      <c r="CZ875" s="6"/>
      <c r="DA875" s="6"/>
      <c r="DB875" s="6"/>
      <c r="DC875" s="6"/>
      <c r="DD875" s="6"/>
      <c r="DE875" s="6"/>
      <c r="DF875" s="6"/>
      <c r="DG875" s="6"/>
      <c r="DH875" s="6"/>
      <c r="DI875" s="6"/>
      <c r="DJ875" s="6"/>
      <c r="DK875" s="6"/>
      <c r="DL875" s="6"/>
      <c r="DM875" s="6"/>
      <c r="DN875" s="6"/>
      <c r="DO875" s="6"/>
      <c r="DP875" s="6"/>
      <c r="DQ875" s="6"/>
      <c r="DR875" s="6"/>
      <c r="DS875" s="6"/>
      <c r="DT875" s="6"/>
      <c r="DU875" s="6"/>
      <c r="DV875" s="6"/>
      <c r="DW875" s="6"/>
      <c r="DX875" s="6"/>
      <c r="DY875" s="6"/>
      <c r="DZ875" s="6"/>
      <c r="EA875" s="6"/>
      <c r="EB875" s="6"/>
      <c r="EC875" s="6"/>
      <c r="ED875" s="6"/>
      <c r="EE875" s="6"/>
      <c r="EF875" s="6"/>
      <c r="EG875" s="6"/>
      <c r="EH875" s="6"/>
      <c r="EI875" s="6"/>
      <c r="EJ875" s="6"/>
      <c r="EK875" s="6"/>
      <c r="EL875" s="6"/>
      <c r="EM875" s="6"/>
      <c r="EN875" s="6"/>
      <c r="EO875" s="6"/>
      <c r="EP875" s="6"/>
      <c r="EQ875" s="6"/>
      <c r="ER875" s="6"/>
      <c r="ES875" s="6"/>
      <c r="ET875" s="6"/>
      <c r="EU875" s="6"/>
      <c r="EV875" s="6"/>
      <c r="EW875" s="6"/>
      <c r="EX875" s="6"/>
      <c r="EY875" s="6"/>
      <c r="EZ875" s="6"/>
      <c r="FA875" s="6"/>
      <c r="FB875" s="6"/>
      <c r="FC875" s="6"/>
      <c r="FD875" s="6"/>
      <c r="FE875" s="6"/>
      <c r="FF875" s="6"/>
      <c r="FG875" s="6"/>
      <c r="FH875" s="6"/>
      <c r="FI875" s="6"/>
      <c r="FJ875" s="6"/>
      <c r="FK875" s="6"/>
      <c r="FL875" s="6"/>
      <c r="FM875" s="6"/>
      <c r="FN875" s="6"/>
      <c r="FO875" s="6"/>
      <c r="FP875" s="6"/>
      <c r="FQ875" s="6"/>
      <c r="FR875" s="6"/>
      <c r="FS875" s="6"/>
      <c r="FT875" s="6"/>
      <c r="FU875" s="6"/>
      <c r="FV875" s="6"/>
      <c r="FW875" s="6"/>
      <c r="FX875" s="6"/>
      <c r="FY875" s="6"/>
      <c r="FZ875" s="6"/>
      <c r="GA875" s="6"/>
      <c r="GB875" s="6"/>
      <c r="GC875" s="6"/>
      <c r="GD875" s="6"/>
      <c r="GE875" s="6"/>
      <c r="GF875" s="6"/>
      <c r="GG875" s="6"/>
      <c r="GH875" s="6"/>
      <c r="GI875" s="6"/>
      <c r="GJ875" s="6"/>
      <c r="GK875" s="6"/>
      <c r="GL875" s="6"/>
      <c r="GM875" s="6"/>
      <c r="GN875" s="6"/>
      <c r="GO875" s="6"/>
      <c r="GP875" s="6"/>
      <c r="GQ875" s="6"/>
      <c r="GR875" s="6"/>
      <c r="GS875" s="6"/>
      <c r="GT875" s="6"/>
      <c r="GU875" s="6"/>
      <c r="GV875" s="6"/>
      <c r="GW875" s="6"/>
      <c r="GX875" s="6"/>
      <c r="GY875" s="6"/>
      <c r="GZ875" s="6"/>
      <c r="HA875" s="6"/>
      <c r="HB875" s="6"/>
      <c r="HC875" s="6"/>
      <c r="HD875" s="6"/>
      <c r="HE875" s="6"/>
      <c r="HF875" s="6"/>
      <c r="HG875" s="6"/>
      <c r="HH875" s="6"/>
      <c r="HI875" s="6"/>
      <c r="HJ875" s="6"/>
      <c r="HK875" s="6"/>
      <c r="HL875" s="6"/>
      <c r="HM875" s="6"/>
      <c r="HN875" s="6"/>
      <c r="HO875" s="6"/>
      <c r="HP875" s="6"/>
      <c r="HQ875" s="6"/>
      <c r="HR875" s="6"/>
      <c r="HS875" s="6"/>
      <c r="HT875" s="6"/>
      <c r="HU875" s="6"/>
      <c r="HV875" s="6"/>
      <c r="HW875" s="6"/>
      <c r="HX875" s="6"/>
      <c r="HY875" s="6"/>
      <c r="HZ875" s="6"/>
      <c r="IA875" s="6"/>
      <c r="IB875" s="6"/>
      <c r="IC875" s="6"/>
      <c r="ID875" s="6"/>
      <c r="IE875" s="6"/>
      <c r="IF875" s="6"/>
      <c r="IG875" s="6"/>
      <c r="IH875" s="6"/>
      <c r="II875" s="6"/>
      <c r="IJ875" s="6"/>
      <c r="IK875" s="6"/>
      <c r="IL875" s="6"/>
      <c r="IM875" s="6"/>
      <c r="IN875" s="6"/>
      <c r="IO875" s="6"/>
      <c r="IP875" s="6"/>
      <c r="IQ875" s="6"/>
      <c r="IR875" s="6"/>
      <c r="IS875" s="6"/>
      <c r="IT875" s="6"/>
      <c r="IU875" s="6"/>
      <c r="IV875" s="6"/>
      <c r="IW875" s="6"/>
      <c r="IX875" s="6"/>
    </row>
    <row r="876" spans="1:258" ht="25.15" customHeight="1" x14ac:dyDescent="0.25">
      <c r="A876" s="21" t="s">
        <v>1673</v>
      </c>
      <c r="B876" s="24" t="s">
        <v>737</v>
      </c>
      <c r="C876" s="2">
        <f t="shared" si="237"/>
        <v>15759496.130000001</v>
      </c>
      <c r="D876" s="3">
        <f t="shared" si="238"/>
        <v>8402400</v>
      </c>
      <c r="E876" s="3">
        <f>700*3234</f>
        <v>2263800</v>
      </c>
      <c r="F876" s="3">
        <f>1300*3234</f>
        <v>4204200</v>
      </c>
      <c r="G876" s="3">
        <f>300*3224</f>
        <v>967200</v>
      </c>
      <c r="H876" s="3">
        <v>0</v>
      </c>
      <c r="I876" s="3">
        <f>300*3224</f>
        <v>967200</v>
      </c>
      <c r="J876" s="3">
        <v>0</v>
      </c>
      <c r="K876" s="4">
        <v>0</v>
      </c>
      <c r="L876" s="3">
        <v>0</v>
      </c>
      <c r="M876" s="3">
        <v>0</v>
      </c>
      <c r="N876" s="3">
        <v>0</v>
      </c>
      <c r="O876" s="3">
        <v>0</v>
      </c>
      <c r="P876" s="3">
        <v>0</v>
      </c>
      <c r="Q876" s="3">
        <v>2183.6999999999998</v>
      </c>
      <c r="R876" s="3">
        <f t="shared" si="240"/>
        <v>6987839.9999999991</v>
      </c>
      <c r="S876" s="3">
        <v>0</v>
      </c>
      <c r="T876" s="3">
        <v>0</v>
      </c>
      <c r="U876" s="3">
        <v>369256.13</v>
      </c>
      <c r="V876" s="5" t="e">
        <f t="shared" si="239"/>
        <v>#DIV/0!</v>
      </c>
      <c r="W876" s="32"/>
      <c r="X876" s="32"/>
      <c r="Y876" s="32"/>
      <c r="Z876" s="32"/>
      <c r="AA876" s="32"/>
      <c r="AB876" s="32"/>
      <c r="AC876" s="32"/>
      <c r="AD876" s="32"/>
      <c r="AE876" s="32"/>
      <c r="AF876" s="32"/>
      <c r="AG876" s="32"/>
      <c r="AH876" s="32"/>
      <c r="AI876" s="32"/>
      <c r="AJ876" s="32"/>
      <c r="AK876" s="32"/>
      <c r="AL876" s="32"/>
      <c r="AM876" s="32"/>
      <c r="AN876" s="32"/>
      <c r="AO876" s="32"/>
      <c r="AP876" s="32"/>
      <c r="AQ876" s="32"/>
      <c r="AR876" s="32"/>
      <c r="AS876" s="32"/>
      <c r="AT876" s="32"/>
      <c r="AU876" s="32"/>
      <c r="AV876" s="32"/>
      <c r="AW876" s="32"/>
      <c r="AX876" s="32"/>
      <c r="AY876" s="32"/>
      <c r="AZ876" s="32"/>
      <c r="BA876" s="32"/>
      <c r="BB876" s="32"/>
      <c r="BC876" s="32"/>
      <c r="BD876" s="32"/>
      <c r="BE876" s="32"/>
      <c r="BF876" s="32"/>
      <c r="BG876" s="32"/>
      <c r="BH876" s="32"/>
      <c r="BI876" s="32"/>
      <c r="BJ876" s="32"/>
      <c r="BK876" s="32"/>
      <c r="BL876" s="32"/>
      <c r="BM876" s="32"/>
      <c r="BN876" s="32"/>
      <c r="BO876" s="32"/>
      <c r="BP876" s="32"/>
      <c r="BQ876" s="32"/>
      <c r="BR876" s="32"/>
      <c r="BS876" s="32"/>
      <c r="BT876" s="32"/>
      <c r="BU876" s="32"/>
      <c r="BV876" s="32"/>
      <c r="BW876" s="32"/>
      <c r="BX876" s="32"/>
      <c r="BY876" s="32"/>
      <c r="BZ876" s="32"/>
      <c r="CA876" s="32"/>
      <c r="CB876" s="32"/>
      <c r="CC876" s="32"/>
      <c r="CD876" s="32"/>
      <c r="CE876" s="32"/>
      <c r="CF876" s="32"/>
      <c r="CG876" s="32"/>
      <c r="CH876" s="32"/>
      <c r="CI876" s="32"/>
      <c r="CJ876" s="32"/>
      <c r="CK876" s="32"/>
      <c r="CL876" s="32"/>
      <c r="CM876" s="32"/>
      <c r="CN876" s="32"/>
      <c r="CO876" s="32"/>
      <c r="CP876" s="32"/>
      <c r="CQ876" s="32"/>
      <c r="CR876" s="32"/>
      <c r="CS876" s="32"/>
      <c r="CT876" s="32"/>
      <c r="CU876" s="32"/>
      <c r="CV876" s="32"/>
      <c r="CW876" s="32"/>
      <c r="CX876" s="32"/>
      <c r="CY876" s="32"/>
      <c r="CZ876" s="32"/>
      <c r="DA876" s="32"/>
      <c r="DB876" s="32"/>
      <c r="DC876" s="32"/>
      <c r="DD876" s="32"/>
      <c r="DE876" s="32"/>
      <c r="DF876" s="32"/>
      <c r="DG876" s="32"/>
      <c r="DH876" s="32"/>
      <c r="DI876" s="32"/>
      <c r="DJ876" s="32"/>
      <c r="DK876" s="32"/>
      <c r="DL876" s="32"/>
      <c r="DM876" s="32"/>
      <c r="DN876" s="32"/>
      <c r="DO876" s="32"/>
      <c r="DP876" s="32"/>
      <c r="DQ876" s="32"/>
      <c r="DR876" s="32"/>
      <c r="DS876" s="32"/>
      <c r="DT876" s="32"/>
      <c r="DU876" s="32"/>
      <c r="DV876" s="32"/>
      <c r="DW876" s="32"/>
      <c r="DX876" s="32"/>
      <c r="DY876" s="32"/>
      <c r="DZ876" s="32"/>
      <c r="EA876" s="32"/>
      <c r="EB876" s="32"/>
      <c r="EC876" s="32"/>
      <c r="ED876" s="32"/>
      <c r="EE876" s="32"/>
      <c r="EF876" s="32"/>
      <c r="EG876" s="32"/>
      <c r="EH876" s="32"/>
      <c r="EI876" s="32"/>
      <c r="EJ876" s="32"/>
      <c r="EK876" s="32"/>
      <c r="EL876" s="32"/>
      <c r="EM876" s="32"/>
      <c r="EN876" s="32"/>
      <c r="EO876" s="32"/>
      <c r="EP876" s="32"/>
      <c r="EQ876" s="32"/>
      <c r="ER876" s="32"/>
      <c r="ES876" s="32"/>
      <c r="ET876" s="32"/>
      <c r="EU876" s="32"/>
      <c r="EV876" s="32"/>
      <c r="EW876" s="32"/>
      <c r="EX876" s="32"/>
      <c r="EY876" s="32"/>
      <c r="EZ876" s="32"/>
      <c r="FA876" s="32"/>
      <c r="FB876" s="32"/>
      <c r="FC876" s="32"/>
      <c r="FD876" s="32"/>
      <c r="FE876" s="32"/>
      <c r="FF876" s="32"/>
      <c r="FG876" s="32"/>
      <c r="FH876" s="32"/>
      <c r="FI876" s="32"/>
      <c r="FJ876" s="32"/>
      <c r="FK876" s="32"/>
      <c r="FL876" s="32"/>
      <c r="FM876" s="32"/>
      <c r="FN876" s="32"/>
      <c r="FO876" s="32"/>
      <c r="FP876" s="32"/>
      <c r="FQ876" s="32"/>
      <c r="FR876" s="32"/>
      <c r="FS876" s="32"/>
      <c r="FT876" s="32"/>
      <c r="FU876" s="32"/>
      <c r="FV876" s="32"/>
      <c r="FW876" s="32"/>
      <c r="FX876" s="32"/>
      <c r="FY876" s="32"/>
      <c r="FZ876" s="32"/>
      <c r="GA876" s="32"/>
      <c r="GB876" s="32"/>
      <c r="GC876" s="32"/>
      <c r="GD876" s="32"/>
      <c r="GE876" s="32"/>
      <c r="GF876" s="32"/>
      <c r="GG876" s="32"/>
      <c r="GH876" s="32"/>
      <c r="GI876" s="32"/>
      <c r="GJ876" s="32"/>
      <c r="GK876" s="32"/>
      <c r="GL876" s="32"/>
      <c r="GM876" s="32"/>
      <c r="GN876" s="32"/>
      <c r="GO876" s="32"/>
      <c r="GP876" s="32"/>
      <c r="GQ876" s="32"/>
      <c r="GR876" s="32"/>
      <c r="GS876" s="32"/>
      <c r="GT876" s="32"/>
      <c r="GU876" s="32"/>
      <c r="GV876" s="32"/>
      <c r="GW876" s="32"/>
      <c r="GX876" s="32"/>
      <c r="GY876" s="32"/>
      <c r="GZ876" s="32"/>
      <c r="HA876" s="32"/>
      <c r="HB876" s="32"/>
      <c r="HC876" s="32"/>
      <c r="HD876" s="32"/>
      <c r="HE876" s="32"/>
      <c r="HF876" s="32"/>
      <c r="HG876" s="32"/>
      <c r="HH876" s="32"/>
      <c r="HI876" s="32"/>
      <c r="HJ876" s="32"/>
      <c r="HK876" s="32"/>
      <c r="HL876" s="32"/>
      <c r="HM876" s="32"/>
      <c r="HN876" s="32"/>
      <c r="HO876" s="32"/>
      <c r="HP876" s="32"/>
      <c r="HQ876" s="32"/>
      <c r="HR876" s="32"/>
      <c r="HS876" s="32"/>
      <c r="HT876" s="32"/>
      <c r="HU876" s="32"/>
      <c r="HV876" s="32"/>
      <c r="HW876" s="32"/>
      <c r="HX876" s="32"/>
      <c r="HY876" s="32"/>
      <c r="HZ876" s="32"/>
      <c r="IA876" s="32"/>
      <c r="IB876" s="32"/>
      <c r="IC876" s="32"/>
      <c r="ID876" s="32"/>
      <c r="IE876" s="32"/>
      <c r="IF876" s="32"/>
      <c r="IG876" s="32"/>
      <c r="IH876" s="32"/>
      <c r="II876" s="32"/>
      <c r="IJ876" s="32"/>
      <c r="IK876" s="32"/>
      <c r="IL876" s="32"/>
      <c r="IM876" s="32"/>
      <c r="IN876" s="32"/>
      <c r="IO876" s="32"/>
      <c r="IP876" s="32"/>
      <c r="IQ876" s="32"/>
      <c r="IR876" s="32"/>
      <c r="IS876" s="32"/>
      <c r="IT876" s="32"/>
      <c r="IU876" s="32"/>
      <c r="IV876" s="32"/>
      <c r="IW876" s="32"/>
      <c r="IX876" s="32"/>
    </row>
    <row r="877" spans="1:258" ht="25.15" customHeight="1" x14ac:dyDescent="0.25">
      <c r="A877" s="21" t="s">
        <v>1674</v>
      </c>
      <c r="B877" s="24" t="s">
        <v>738</v>
      </c>
      <c r="C877" s="2">
        <f t="shared" si="237"/>
        <v>6171000</v>
      </c>
      <c r="D877" s="3">
        <f t="shared" si="238"/>
        <v>0</v>
      </c>
      <c r="E877" s="3">
        <v>0</v>
      </c>
      <c r="F877" s="3">
        <v>0</v>
      </c>
      <c r="G877" s="3">
        <v>0</v>
      </c>
      <c r="H877" s="3">
        <v>0</v>
      </c>
      <c r="I877" s="3">
        <v>0</v>
      </c>
      <c r="J877" s="3">
        <v>0</v>
      </c>
      <c r="K877" s="4">
        <v>0</v>
      </c>
      <c r="L877" s="3">
        <v>0</v>
      </c>
      <c r="M877" s="3">
        <v>935</v>
      </c>
      <c r="N877" s="3">
        <f>M877*6600</f>
        <v>6171000</v>
      </c>
      <c r="O877" s="3">
        <v>0</v>
      </c>
      <c r="P877" s="3">
        <v>0</v>
      </c>
      <c r="Q877" s="3">
        <v>0</v>
      </c>
      <c r="R877" s="3">
        <f t="shared" si="240"/>
        <v>0</v>
      </c>
      <c r="S877" s="3">
        <v>0</v>
      </c>
      <c r="T877" s="3">
        <v>0</v>
      </c>
      <c r="U877" s="3">
        <v>0</v>
      </c>
      <c r="V877" s="5">
        <f t="shared" si="239"/>
        <v>6600</v>
      </c>
    </row>
    <row r="878" spans="1:258" ht="25.15" customHeight="1" x14ac:dyDescent="0.25">
      <c r="A878" s="21" t="s">
        <v>1675</v>
      </c>
      <c r="B878" s="27" t="s">
        <v>482</v>
      </c>
      <c r="C878" s="2">
        <f t="shared" si="237"/>
        <v>8268540.0000000009</v>
      </c>
      <c r="D878" s="3">
        <f t="shared" si="238"/>
        <v>0</v>
      </c>
      <c r="E878" s="3">
        <v>0</v>
      </c>
      <c r="F878" s="3">
        <v>0</v>
      </c>
      <c r="G878" s="3">
        <v>0</v>
      </c>
      <c r="H878" s="3">
        <v>0</v>
      </c>
      <c r="I878" s="3">
        <v>0</v>
      </c>
      <c r="J878" s="3">
        <v>0</v>
      </c>
      <c r="K878" s="4">
        <v>0</v>
      </c>
      <c r="L878" s="3">
        <v>0</v>
      </c>
      <c r="M878" s="3">
        <v>1161.9000000000001</v>
      </c>
      <c r="N878" s="3">
        <f>M878*6600</f>
        <v>7668540.0000000009</v>
      </c>
      <c r="O878" s="3">
        <v>0</v>
      </c>
      <c r="P878" s="3">
        <v>0</v>
      </c>
      <c r="Q878" s="3">
        <v>0</v>
      </c>
      <c r="R878" s="3">
        <v>0</v>
      </c>
      <c r="S878" s="3">
        <v>0</v>
      </c>
      <c r="T878" s="3">
        <v>0</v>
      </c>
      <c r="U878" s="3">
        <v>600000</v>
      </c>
      <c r="V878" s="5">
        <f t="shared" si="239"/>
        <v>6600</v>
      </c>
    </row>
    <row r="879" spans="1:258" ht="25.15" customHeight="1" x14ac:dyDescent="0.25">
      <c r="A879" s="21" t="s">
        <v>1676</v>
      </c>
      <c r="B879" s="27" t="s">
        <v>484</v>
      </c>
      <c r="C879" s="2">
        <f t="shared" si="237"/>
        <v>21127722</v>
      </c>
      <c r="D879" s="3">
        <f t="shared" si="238"/>
        <v>5150262</v>
      </c>
      <c r="E879" s="3">
        <f>700*1980.87</f>
        <v>1386609</v>
      </c>
      <c r="F879" s="3">
        <f>1300*1980.87</f>
        <v>2575131</v>
      </c>
      <c r="G879" s="3">
        <f>300*1980.87</f>
        <v>594261</v>
      </c>
      <c r="H879" s="3">
        <f>500*0</f>
        <v>0</v>
      </c>
      <c r="I879" s="3">
        <f>300*1980.87</f>
        <v>594261</v>
      </c>
      <c r="J879" s="3">
        <f>350*0</f>
        <v>0</v>
      </c>
      <c r="K879" s="4">
        <v>0</v>
      </c>
      <c r="L879" s="3">
        <v>0</v>
      </c>
      <c r="M879" s="3">
        <v>1748.1</v>
      </c>
      <c r="N879" s="3">
        <f>M879*6600</f>
        <v>11537460</v>
      </c>
      <c r="O879" s="3">
        <v>0</v>
      </c>
      <c r="P879" s="3">
        <v>0</v>
      </c>
      <c r="Q879" s="3">
        <v>1200</v>
      </c>
      <c r="R879" s="3">
        <f>Q879*3200</f>
        <v>3840000</v>
      </c>
      <c r="S879" s="3">
        <v>0</v>
      </c>
      <c r="T879" s="3">
        <v>0</v>
      </c>
      <c r="U879" s="3">
        <v>600000</v>
      </c>
      <c r="V879" s="5">
        <f t="shared" si="239"/>
        <v>6600</v>
      </c>
    </row>
    <row r="880" spans="1:258" ht="25.15" customHeight="1" x14ac:dyDescent="0.25">
      <c r="A880" s="21" t="s">
        <v>1677</v>
      </c>
      <c r="B880" s="24" t="s">
        <v>739</v>
      </c>
      <c r="C880" s="2">
        <f t="shared" si="237"/>
        <v>6138000</v>
      </c>
      <c r="D880" s="3">
        <f t="shared" si="238"/>
        <v>0</v>
      </c>
      <c r="E880" s="3">
        <v>0</v>
      </c>
      <c r="F880" s="3">
        <v>0</v>
      </c>
      <c r="G880" s="3">
        <v>0</v>
      </c>
      <c r="H880" s="3">
        <v>0</v>
      </c>
      <c r="I880" s="3">
        <v>0</v>
      </c>
      <c r="J880" s="3">
        <v>0</v>
      </c>
      <c r="K880" s="14">
        <v>0</v>
      </c>
      <c r="L880" s="13">
        <v>0</v>
      </c>
      <c r="M880" s="13">
        <v>930</v>
      </c>
      <c r="N880" s="3">
        <f>M880*6600</f>
        <v>6138000</v>
      </c>
      <c r="O880" s="13">
        <v>0</v>
      </c>
      <c r="P880" s="13">
        <v>0</v>
      </c>
      <c r="Q880" s="13">
        <v>0</v>
      </c>
      <c r="R880" s="3">
        <f>Q880*3200</f>
        <v>0</v>
      </c>
      <c r="S880" s="13">
        <v>0</v>
      </c>
      <c r="T880" s="13">
        <v>0</v>
      </c>
      <c r="U880" s="13">
        <v>0</v>
      </c>
      <c r="V880" s="5">
        <f t="shared" si="239"/>
        <v>6600</v>
      </c>
    </row>
    <row r="881" spans="1:258" ht="25.15" customHeight="1" x14ac:dyDescent="0.25">
      <c r="A881" s="21" t="s">
        <v>1678</v>
      </c>
      <c r="B881" s="24" t="s">
        <v>560</v>
      </c>
      <c r="C881" s="2">
        <f t="shared" si="237"/>
        <v>10117908.75</v>
      </c>
      <c r="D881" s="3">
        <f t="shared" si="238"/>
        <v>5621100</v>
      </c>
      <c r="E881" s="3">
        <f>700*1873.7</f>
        <v>1311590</v>
      </c>
      <c r="F881" s="3">
        <f>1300*1873.7</f>
        <v>2435810</v>
      </c>
      <c r="G881" s="3">
        <f>300*1873.7</f>
        <v>562110</v>
      </c>
      <c r="H881" s="3">
        <f>400*1873.7</f>
        <v>749480</v>
      </c>
      <c r="I881" s="3">
        <f>300*1873.7</f>
        <v>562110</v>
      </c>
      <c r="J881" s="3">
        <f>350*0</f>
        <v>0</v>
      </c>
      <c r="K881" s="14">
        <v>0</v>
      </c>
      <c r="L881" s="13">
        <v>0</v>
      </c>
      <c r="M881" s="13">
        <v>0</v>
      </c>
      <c r="N881" s="13">
        <v>0</v>
      </c>
      <c r="O881" s="13">
        <v>0</v>
      </c>
      <c r="P881" s="13">
        <v>0</v>
      </c>
      <c r="Q881" s="13">
        <v>1343</v>
      </c>
      <c r="R881" s="3">
        <f>Q881*3200</f>
        <v>4297600</v>
      </c>
      <c r="S881" s="13">
        <v>0</v>
      </c>
      <c r="T881" s="13">
        <v>0</v>
      </c>
      <c r="U881" s="13">
        <v>199208.75</v>
      </c>
      <c r="V881" s="5" t="e">
        <f t="shared" si="239"/>
        <v>#DIV/0!</v>
      </c>
    </row>
    <row r="882" spans="1:258" ht="25.15" customHeight="1" x14ac:dyDescent="0.25">
      <c r="A882" s="21" t="s">
        <v>1974</v>
      </c>
      <c r="B882" s="24" t="s">
        <v>370</v>
      </c>
      <c r="C882" s="2">
        <f t="shared" si="237"/>
        <v>4461656.6399999997</v>
      </c>
      <c r="D882" s="3">
        <f t="shared" si="238"/>
        <v>4204170</v>
      </c>
      <c r="E882" s="3">
        <v>0</v>
      </c>
      <c r="F882" s="3">
        <f>1300*1827.9</f>
        <v>2376270</v>
      </c>
      <c r="G882" s="3">
        <f>300*1827.9</f>
        <v>548370</v>
      </c>
      <c r="H882" s="3">
        <f>400*1827.9</f>
        <v>731160</v>
      </c>
      <c r="I882" s="3">
        <f>300*1827.9</f>
        <v>548370</v>
      </c>
      <c r="J882" s="3">
        <f>350*0</f>
        <v>0</v>
      </c>
      <c r="K882" s="4">
        <v>0</v>
      </c>
      <c r="L882" s="3">
        <v>0</v>
      </c>
      <c r="M882" s="3">
        <v>0</v>
      </c>
      <c r="N882" s="3">
        <v>0</v>
      </c>
      <c r="O882" s="3">
        <v>0</v>
      </c>
      <c r="P882" s="3">
        <v>0</v>
      </c>
      <c r="Q882" s="3">
        <v>0</v>
      </c>
      <c r="R882" s="3">
        <f>Q882*3000</f>
        <v>0</v>
      </c>
      <c r="S882" s="3">
        <v>0</v>
      </c>
      <c r="T882" s="3">
        <v>0</v>
      </c>
      <c r="U882" s="3">
        <v>257486.64</v>
      </c>
      <c r="V882" s="5" t="e">
        <f t="shared" si="239"/>
        <v>#DIV/0!</v>
      </c>
    </row>
    <row r="883" spans="1:258" ht="25.15" customHeight="1" x14ac:dyDescent="0.25">
      <c r="A883" s="21" t="s">
        <v>1679</v>
      </c>
      <c r="B883" s="24" t="s">
        <v>653</v>
      </c>
      <c r="C883" s="2">
        <f t="shared" si="237"/>
        <v>3885420.0000000005</v>
      </c>
      <c r="D883" s="3">
        <f t="shared" si="238"/>
        <v>0</v>
      </c>
      <c r="E883" s="3">
        <v>0</v>
      </c>
      <c r="F883" s="3">
        <v>0</v>
      </c>
      <c r="G883" s="3">
        <v>0</v>
      </c>
      <c r="H883" s="3">
        <v>0</v>
      </c>
      <c r="I883" s="3">
        <v>0</v>
      </c>
      <c r="J883" s="3">
        <v>0</v>
      </c>
      <c r="K883" s="4">
        <v>0</v>
      </c>
      <c r="L883" s="3">
        <v>0</v>
      </c>
      <c r="M883" s="3">
        <v>588.70000000000005</v>
      </c>
      <c r="N883" s="3">
        <f t="shared" ref="N883:N891" si="241">M883*6600</f>
        <v>3885420.0000000005</v>
      </c>
      <c r="O883" s="3">
        <v>0</v>
      </c>
      <c r="P883" s="3">
        <v>0</v>
      </c>
      <c r="Q883" s="3">
        <v>0</v>
      </c>
      <c r="R883" s="3">
        <f t="shared" ref="R883:R892" si="242">Q883*3200</f>
        <v>0</v>
      </c>
      <c r="S883" s="3">
        <v>0</v>
      </c>
      <c r="T883" s="13">
        <v>0</v>
      </c>
      <c r="U883" s="13">
        <v>0</v>
      </c>
      <c r="V883" s="5">
        <f t="shared" si="239"/>
        <v>6600</v>
      </c>
    </row>
    <row r="884" spans="1:258" ht="25.15" customHeight="1" x14ac:dyDescent="0.25">
      <c r="A884" s="21" t="s">
        <v>1680</v>
      </c>
      <c r="B884" s="24" t="s">
        <v>740</v>
      </c>
      <c r="C884" s="2">
        <f t="shared" si="237"/>
        <v>3885420.0000000005</v>
      </c>
      <c r="D884" s="3">
        <f t="shared" si="238"/>
        <v>0</v>
      </c>
      <c r="E884" s="3">
        <v>0</v>
      </c>
      <c r="F884" s="3">
        <v>0</v>
      </c>
      <c r="G884" s="3">
        <v>0</v>
      </c>
      <c r="H884" s="3">
        <v>0</v>
      </c>
      <c r="I884" s="3">
        <v>0</v>
      </c>
      <c r="J884" s="3">
        <v>0</v>
      </c>
      <c r="K884" s="4">
        <v>0</v>
      </c>
      <c r="L884" s="3">
        <v>0</v>
      </c>
      <c r="M884" s="3">
        <v>588.70000000000005</v>
      </c>
      <c r="N884" s="3">
        <f t="shared" si="241"/>
        <v>3885420.0000000005</v>
      </c>
      <c r="O884" s="3">
        <v>0</v>
      </c>
      <c r="P884" s="3">
        <v>0</v>
      </c>
      <c r="Q884" s="3">
        <v>0</v>
      </c>
      <c r="R884" s="3">
        <f t="shared" si="242"/>
        <v>0</v>
      </c>
      <c r="S884" s="3">
        <v>0</v>
      </c>
      <c r="T884" s="13">
        <v>0</v>
      </c>
      <c r="U884" s="13">
        <v>0</v>
      </c>
      <c r="V884" s="5">
        <f t="shared" si="239"/>
        <v>6600</v>
      </c>
    </row>
    <row r="885" spans="1:258" ht="25.15" customHeight="1" x14ac:dyDescent="0.25">
      <c r="A885" s="21" t="s">
        <v>1681</v>
      </c>
      <c r="B885" s="24" t="s">
        <v>741</v>
      </c>
      <c r="C885" s="2">
        <f t="shared" si="237"/>
        <v>1770120</v>
      </c>
      <c r="D885" s="3">
        <f t="shared" si="238"/>
        <v>0</v>
      </c>
      <c r="E885" s="3">
        <v>0</v>
      </c>
      <c r="F885" s="3">
        <v>0</v>
      </c>
      <c r="G885" s="3">
        <v>0</v>
      </c>
      <c r="H885" s="3">
        <v>0</v>
      </c>
      <c r="I885" s="3">
        <v>0</v>
      </c>
      <c r="J885" s="3">
        <v>0</v>
      </c>
      <c r="K885" s="14">
        <v>0</v>
      </c>
      <c r="L885" s="13">
        <v>0</v>
      </c>
      <c r="M885" s="13">
        <v>268.2</v>
      </c>
      <c r="N885" s="3">
        <f t="shared" si="241"/>
        <v>1770120</v>
      </c>
      <c r="O885" s="13">
        <v>0</v>
      </c>
      <c r="P885" s="13">
        <v>0</v>
      </c>
      <c r="Q885" s="13">
        <v>0</v>
      </c>
      <c r="R885" s="3">
        <f t="shared" si="242"/>
        <v>0</v>
      </c>
      <c r="S885" s="13">
        <v>0</v>
      </c>
      <c r="T885" s="13">
        <v>0</v>
      </c>
      <c r="U885" s="13">
        <v>0</v>
      </c>
      <c r="V885" s="5">
        <f t="shared" si="239"/>
        <v>6600</v>
      </c>
    </row>
    <row r="886" spans="1:258" ht="25.15" customHeight="1" x14ac:dyDescent="0.25">
      <c r="A886" s="21" t="s">
        <v>1682</v>
      </c>
      <c r="B886" s="24" t="s">
        <v>822</v>
      </c>
      <c r="C886" s="2">
        <f t="shared" si="237"/>
        <v>300000</v>
      </c>
      <c r="D886" s="3">
        <f t="shared" si="238"/>
        <v>0</v>
      </c>
      <c r="E886" s="3">
        <v>0</v>
      </c>
      <c r="F886" s="3">
        <v>0</v>
      </c>
      <c r="G886" s="3">
        <v>0</v>
      </c>
      <c r="H886" s="3">
        <v>0</v>
      </c>
      <c r="I886" s="3">
        <v>0</v>
      </c>
      <c r="J886" s="3">
        <v>0</v>
      </c>
      <c r="K886" s="14">
        <v>0</v>
      </c>
      <c r="L886" s="13">
        <v>0</v>
      </c>
      <c r="M886" s="3">
        <v>0</v>
      </c>
      <c r="N886" s="3">
        <f t="shared" si="241"/>
        <v>0</v>
      </c>
      <c r="O886" s="13">
        <v>0</v>
      </c>
      <c r="P886" s="13">
        <v>0</v>
      </c>
      <c r="Q886" s="13">
        <v>0</v>
      </c>
      <c r="R886" s="3">
        <f t="shared" si="242"/>
        <v>0</v>
      </c>
      <c r="S886" s="13">
        <v>0</v>
      </c>
      <c r="T886" s="13">
        <v>0</v>
      </c>
      <c r="U886" s="13">
        <v>300000</v>
      </c>
      <c r="V886" s="5" t="e">
        <f t="shared" si="239"/>
        <v>#DIV/0!</v>
      </c>
    </row>
    <row r="887" spans="1:258" ht="25.15" customHeight="1" x14ac:dyDescent="0.25">
      <c r="A887" s="21" t="s">
        <v>1683</v>
      </c>
      <c r="B887" s="24" t="s">
        <v>742</v>
      </c>
      <c r="C887" s="2">
        <f t="shared" si="237"/>
        <v>2293500</v>
      </c>
      <c r="D887" s="3">
        <f t="shared" si="238"/>
        <v>0</v>
      </c>
      <c r="E887" s="3">
        <v>0</v>
      </c>
      <c r="F887" s="3">
        <v>0</v>
      </c>
      <c r="G887" s="3">
        <v>0</v>
      </c>
      <c r="H887" s="3">
        <v>0</v>
      </c>
      <c r="I887" s="3">
        <v>0</v>
      </c>
      <c r="J887" s="3">
        <v>0</v>
      </c>
      <c r="K887" s="4">
        <v>0</v>
      </c>
      <c r="L887" s="3">
        <v>0</v>
      </c>
      <c r="M887" s="3">
        <v>347.5</v>
      </c>
      <c r="N887" s="3">
        <f t="shared" si="241"/>
        <v>2293500</v>
      </c>
      <c r="O887" s="13">
        <v>0</v>
      </c>
      <c r="P887" s="13">
        <v>0</v>
      </c>
      <c r="Q887" s="13">
        <v>0</v>
      </c>
      <c r="R887" s="3">
        <f t="shared" si="242"/>
        <v>0</v>
      </c>
      <c r="S887" s="13">
        <v>0</v>
      </c>
      <c r="T887" s="13">
        <v>0</v>
      </c>
      <c r="U887" s="13">
        <v>0</v>
      </c>
      <c r="V887" s="5">
        <f t="shared" si="239"/>
        <v>6600</v>
      </c>
    </row>
    <row r="888" spans="1:258" ht="25.15" customHeight="1" x14ac:dyDescent="0.25">
      <c r="A888" s="21" t="s">
        <v>1684</v>
      </c>
      <c r="B888" s="24" t="s">
        <v>743</v>
      </c>
      <c r="C888" s="2">
        <f t="shared" si="237"/>
        <v>1800480</v>
      </c>
      <c r="D888" s="3">
        <f t="shared" si="238"/>
        <v>0</v>
      </c>
      <c r="E888" s="3">
        <v>0</v>
      </c>
      <c r="F888" s="3">
        <v>0</v>
      </c>
      <c r="G888" s="3">
        <v>0</v>
      </c>
      <c r="H888" s="3">
        <v>0</v>
      </c>
      <c r="I888" s="3">
        <v>0</v>
      </c>
      <c r="J888" s="3">
        <v>0</v>
      </c>
      <c r="K888" s="4">
        <v>0</v>
      </c>
      <c r="L888" s="3">
        <v>0</v>
      </c>
      <c r="M888" s="13">
        <v>272.8</v>
      </c>
      <c r="N888" s="3">
        <f t="shared" si="241"/>
        <v>1800480</v>
      </c>
      <c r="O888" s="13">
        <v>0</v>
      </c>
      <c r="P888" s="13">
        <v>0</v>
      </c>
      <c r="Q888" s="13">
        <v>0</v>
      </c>
      <c r="R888" s="3">
        <f t="shared" si="242"/>
        <v>0</v>
      </c>
      <c r="S888" s="13">
        <v>0</v>
      </c>
      <c r="T888" s="13">
        <v>0</v>
      </c>
      <c r="U888" s="13">
        <v>0</v>
      </c>
      <c r="V888" s="5">
        <f t="shared" si="239"/>
        <v>6600</v>
      </c>
    </row>
    <row r="889" spans="1:258" s="5" customFormat="1" ht="25.15" customHeight="1" x14ac:dyDescent="0.25">
      <c r="A889" s="21" t="s">
        <v>1975</v>
      </c>
      <c r="B889" s="24" t="s">
        <v>654</v>
      </c>
      <c r="C889" s="2">
        <f t="shared" si="237"/>
        <v>1800480</v>
      </c>
      <c r="D889" s="3">
        <f t="shared" si="238"/>
        <v>0</v>
      </c>
      <c r="E889" s="3">
        <v>0</v>
      </c>
      <c r="F889" s="3">
        <v>0</v>
      </c>
      <c r="G889" s="3">
        <v>0</v>
      </c>
      <c r="H889" s="3">
        <v>0</v>
      </c>
      <c r="I889" s="3">
        <v>0</v>
      </c>
      <c r="J889" s="3">
        <v>0</v>
      </c>
      <c r="K889" s="4">
        <v>0</v>
      </c>
      <c r="L889" s="3">
        <v>0</v>
      </c>
      <c r="M889" s="3">
        <v>272.8</v>
      </c>
      <c r="N889" s="3">
        <f t="shared" si="241"/>
        <v>1800480</v>
      </c>
      <c r="O889" s="13">
        <v>0</v>
      </c>
      <c r="P889" s="13">
        <v>0</v>
      </c>
      <c r="Q889" s="13">
        <v>0</v>
      </c>
      <c r="R889" s="3">
        <f t="shared" si="242"/>
        <v>0</v>
      </c>
      <c r="S889" s="13">
        <v>0</v>
      </c>
      <c r="T889" s="13">
        <v>0</v>
      </c>
      <c r="U889" s="13">
        <v>0</v>
      </c>
      <c r="V889" s="5">
        <f t="shared" si="239"/>
        <v>6600</v>
      </c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  <c r="BO889" s="6"/>
      <c r="BP889" s="6"/>
      <c r="BQ889" s="6"/>
      <c r="BR889" s="6"/>
      <c r="BS889" s="6"/>
      <c r="BT889" s="6"/>
      <c r="BU889" s="6"/>
      <c r="BV889" s="6"/>
      <c r="BW889" s="6"/>
      <c r="BX889" s="6"/>
      <c r="BY889" s="6"/>
      <c r="BZ889" s="6"/>
      <c r="CA889" s="6"/>
      <c r="CB889" s="6"/>
      <c r="CC889" s="6"/>
      <c r="CD889" s="6"/>
      <c r="CE889" s="6"/>
      <c r="CF889" s="6"/>
      <c r="CG889" s="6"/>
      <c r="CH889" s="6"/>
      <c r="CI889" s="6"/>
      <c r="CJ889" s="6"/>
      <c r="CK889" s="6"/>
      <c r="CL889" s="6"/>
      <c r="CM889" s="6"/>
      <c r="CN889" s="6"/>
      <c r="CO889" s="6"/>
      <c r="CP889" s="6"/>
      <c r="CQ889" s="6"/>
      <c r="CR889" s="6"/>
      <c r="CS889" s="6"/>
      <c r="CT889" s="6"/>
      <c r="CU889" s="6"/>
      <c r="CV889" s="6"/>
      <c r="CW889" s="6"/>
      <c r="CX889" s="6"/>
      <c r="CY889" s="6"/>
      <c r="CZ889" s="6"/>
      <c r="DA889" s="6"/>
      <c r="DB889" s="6"/>
      <c r="DC889" s="6"/>
      <c r="DD889" s="6"/>
      <c r="DE889" s="6"/>
      <c r="DF889" s="6"/>
      <c r="DG889" s="6"/>
      <c r="DH889" s="6"/>
      <c r="DI889" s="6"/>
      <c r="DJ889" s="6"/>
      <c r="DK889" s="6"/>
      <c r="DL889" s="6"/>
      <c r="DM889" s="6"/>
      <c r="DN889" s="6"/>
      <c r="DO889" s="6"/>
      <c r="DP889" s="6"/>
      <c r="DQ889" s="6"/>
      <c r="DR889" s="6"/>
      <c r="DS889" s="6"/>
      <c r="DT889" s="6"/>
      <c r="DU889" s="6"/>
      <c r="DV889" s="6"/>
      <c r="DW889" s="6"/>
      <c r="DX889" s="6"/>
      <c r="DY889" s="6"/>
      <c r="DZ889" s="6"/>
      <c r="EA889" s="6"/>
      <c r="EB889" s="6"/>
      <c r="EC889" s="6"/>
      <c r="ED889" s="6"/>
      <c r="EE889" s="6"/>
      <c r="EF889" s="6"/>
      <c r="EG889" s="6"/>
      <c r="EH889" s="6"/>
      <c r="EI889" s="6"/>
      <c r="EJ889" s="6"/>
      <c r="EK889" s="6"/>
      <c r="EL889" s="6"/>
      <c r="EM889" s="6"/>
      <c r="EN889" s="6"/>
      <c r="EO889" s="6"/>
      <c r="EP889" s="6"/>
      <c r="EQ889" s="6"/>
      <c r="ER889" s="6"/>
      <c r="ES889" s="6"/>
      <c r="ET889" s="6"/>
      <c r="EU889" s="6"/>
      <c r="EV889" s="6"/>
      <c r="EW889" s="6"/>
      <c r="EX889" s="6"/>
      <c r="EY889" s="6"/>
      <c r="EZ889" s="6"/>
      <c r="FA889" s="6"/>
      <c r="FB889" s="6"/>
      <c r="FC889" s="6"/>
      <c r="FD889" s="6"/>
      <c r="FE889" s="6"/>
      <c r="FF889" s="6"/>
      <c r="FG889" s="6"/>
      <c r="FH889" s="6"/>
      <c r="FI889" s="6"/>
      <c r="FJ889" s="6"/>
      <c r="FK889" s="6"/>
      <c r="FL889" s="6"/>
      <c r="FM889" s="6"/>
      <c r="FN889" s="6"/>
      <c r="FO889" s="6"/>
      <c r="FP889" s="6"/>
      <c r="FQ889" s="6"/>
      <c r="FR889" s="6"/>
      <c r="FS889" s="6"/>
      <c r="FT889" s="6"/>
      <c r="FU889" s="6"/>
      <c r="FV889" s="6"/>
      <c r="FW889" s="6"/>
      <c r="FX889" s="6"/>
      <c r="FY889" s="6"/>
      <c r="FZ889" s="6"/>
      <c r="GA889" s="6"/>
      <c r="GB889" s="6"/>
      <c r="GC889" s="6"/>
      <c r="GD889" s="6"/>
      <c r="GE889" s="6"/>
      <c r="GF889" s="6"/>
      <c r="GG889" s="6"/>
      <c r="GH889" s="6"/>
      <c r="GI889" s="6"/>
      <c r="GJ889" s="6"/>
      <c r="GK889" s="6"/>
      <c r="GL889" s="6"/>
      <c r="GM889" s="6"/>
      <c r="GN889" s="6"/>
      <c r="GO889" s="6"/>
      <c r="GP889" s="6"/>
      <c r="GQ889" s="6"/>
      <c r="GR889" s="6"/>
      <c r="GS889" s="6"/>
      <c r="GT889" s="6"/>
      <c r="GU889" s="6"/>
      <c r="GV889" s="6"/>
      <c r="GW889" s="6"/>
      <c r="GX889" s="6"/>
      <c r="GY889" s="6"/>
      <c r="GZ889" s="6"/>
      <c r="HA889" s="6"/>
      <c r="HB889" s="6"/>
      <c r="HC889" s="6"/>
      <c r="HD889" s="6"/>
      <c r="HE889" s="6"/>
      <c r="HF889" s="6"/>
      <c r="HG889" s="6"/>
      <c r="HH889" s="6"/>
      <c r="HI889" s="6"/>
      <c r="HJ889" s="6"/>
      <c r="HK889" s="6"/>
      <c r="HL889" s="6"/>
      <c r="HM889" s="6"/>
      <c r="HN889" s="6"/>
      <c r="HO889" s="6"/>
      <c r="HP889" s="6"/>
      <c r="HQ889" s="6"/>
      <c r="HR889" s="6"/>
      <c r="HS889" s="6"/>
      <c r="HT889" s="6"/>
      <c r="HU889" s="6"/>
      <c r="HV889" s="6"/>
      <c r="HW889" s="6"/>
      <c r="HX889" s="6"/>
      <c r="HY889" s="6"/>
      <c r="HZ889" s="6"/>
      <c r="IA889" s="6"/>
      <c r="IB889" s="6"/>
      <c r="IC889" s="6"/>
      <c r="ID889" s="6"/>
      <c r="IE889" s="6"/>
      <c r="IF889" s="6"/>
      <c r="IG889" s="6"/>
      <c r="IH889" s="6"/>
      <c r="II889" s="6"/>
      <c r="IJ889" s="6"/>
      <c r="IK889" s="6"/>
      <c r="IL889" s="6"/>
      <c r="IM889" s="6"/>
      <c r="IN889" s="6"/>
      <c r="IO889" s="6"/>
      <c r="IP889" s="6"/>
      <c r="IQ889" s="6"/>
      <c r="IR889" s="6"/>
      <c r="IS889" s="6"/>
      <c r="IT889" s="6"/>
      <c r="IU889" s="6"/>
      <c r="IV889" s="6"/>
      <c r="IW889" s="6"/>
      <c r="IX889" s="6"/>
    </row>
    <row r="890" spans="1:258" ht="25.15" customHeight="1" x14ac:dyDescent="0.25">
      <c r="A890" s="21" t="s">
        <v>1685</v>
      </c>
      <c r="B890" s="24" t="s">
        <v>656</v>
      </c>
      <c r="C890" s="2">
        <f t="shared" si="237"/>
        <v>1779360.0000000002</v>
      </c>
      <c r="D890" s="3">
        <f t="shared" si="238"/>
        <v>0</v>
      </c>
      <c r="E890" s="3">
        <v>0</v>
      </c>
      <c r="F890" s="3">
        <v>0</v>
      </c>
      <c r="G890" s="3">
        <v>0</v>
      </c>
      <c r="H890" s="3">
        <v>0</v>
      </c>
      <c r="I890" s="3">
        <v>0</v>
      </c>
      <c r="J890" s="3">
        <v>0</v>
      </c>
      <c r="K890" s="4">
        <v>0</v>
      </c>
      <c r="L890" s="3">
        <v>0</v>
      </c>
      <c r="M890" s="13">
        <v>269.60000000000002</v>
      </c>
      <c r="N890" s="3">
        <f t="shared" si="241"/>
        <v>1779360.0000000002</v>
      </c>
      <c r="O890" s="3">
        <v>0</v>
      </c>
      <c r="P890" s="3">
        <v>0</v>
      </c>
      <c r="Q890" s="3">
        <v>0</v>
      </c>
      <c r="R890" s="3">
        <f t="shared" si="242"/>
        <v>0</v>
      </c>
      <c r="S890" s="3">
        <v>0</v>
      </c>
      <c r="T890" s="13">
        <v>0</v>
      </c>
      <c r="U890" s="3">
        <v>0</v>
      </c>
      <c r="V890" s="5">
        <f t="shared" si="239"/>
        <v>6600</v>
      </c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  <c r="BO890" s="5"/>
      <c r="BP890" s="5"/>
      <c r="BQ890" s="5"/>
      <c r="BR890" s="5"/>
      <c r="BS890" s="5"/>
      <c r="BT890" s="5"/>
      <c r="BU890" s="5"/>
      <c r="BV890" s="5"/>
      <c r="BW890" s="5"/>
      <c r="BX890" s="5"/>
      <c r="BY890" s="5"/>
      <c r="BZ890" s="5"/>
      <c r="CA890" s="5"/>
      <c r="CB890" s="5"/>
      <c r="CC890" s="5"/>
      <c r="CD890" s="5"/>
      <c r="CE890" s="5"/>
      <c r="CF890" s="5"/>
      <c r="CG890" s="5"/>
      <c r="CH890" s="5"/>
      <c r="CI890" s="5"/>
      <c r="CJ890" s="5"/>
      <c r="CK890" s="5"/>
      <c r="CL890" s="5"/>
      <c r="CM890" s="5"/>
      <c r="CN890" s="5"/>
      <c r="CO890" s="5"/>
      <c r="CP890" s="5"/>
      <c r="CQ890" s="5"/>
      <c r="CR890" s="5"/>
      <c r="CS890" s="5"/>
      <c r="CT890" s="5"/>
      <c r="CU890" s="5"/>
      <c r="CV890" s="5"/>
      <c r="CW890" s="5"/>
      <c r="CX890" s="5"/>
      <c r="CY890" s="5"/>
      <c r="CZ890" s="5"/>
      <c r="DA890" s="5"/>
      <c r="DB890" s="5"/>
      <c r="DC890" s="5"/>
      <c r="DD890" s="5"/>
      <c r="DE890" s="5"/>
      <c r="DF890" s="5"/>
      <c r="DG890" s="5"/>
      <c r="DH890" s="5"/>
      <c r="DI890" s="5"/>
      <c r="DJ890" s="5"/>
      <c r="DK890" s="5"/>
      <c r="DL890" s="5"/>
      <c r="DM890" s="5"/>
      <c r="DN890" s="5"/>
      <c r="DO890" s="5"/>
      <c r="DP890" s="5"/>
      <c r="DQ890" s="5"/>
      <c r="DR890" s="5"/>
      <c r="DS890" s="5"/>
      <c r="DT890" s="5"/>
      <c r="DU890" s="5"/>
      <c r="DV890" s="5"/>
      <c r="DW890" s="5"/>
      <c r="DX890" s="5"/>
      <c r="DY890" s="5"/>
      <c r="DZ890" s="5"/>
      <c r="EA890" s="5"/>
      <c r="EB890" s="5"/>
      <c r="EC890" s="5"/>
      <c r="ED890" s="5"/>
      <c r="EE890" s="5"/>
      <c r="EF890" s="5"/>
      <c r="EG890" s="5"/>
      <c r="EH890" s="5"/>
      <c r="EI890" s="5"/>
      <c r="EJ890" s="5"/>
      <c r="EK890" s="5"/>
      <c r="EL890" s="5"/>
      <c r="EM890" s="5"/>
      <c r="EN890" s="5"/>
      <c r="EO890" s="5"/>
      <c r="EP890" s="5"/>
      <c r="EQ890" s="5"/>
      <c r="ER890" s="5"/>
      <c r="ES890" s="5"/>
      <c r="ET890" s="5"/>
      <c r="EU890" s="5"/>
      <c r="EV890" s="5"/>
      <c r="EW890" s="5"/>
      <c r="EX890" s="5"/>
      <c r="EY890" s="5"/>
      <c r="EZ890" s="5"/>
      <c r="FA890" s="5"/>
      <c r="FB890" s="5"/>
      <c r="FC890" s="5"/>
      <c r="FD890" s="5"/>
      <c r="FE890" s="5"/>
      <c r="FF890" s="5"/>
      <c r="FG890" s="5"/>
      <c r="FH890" s="5"/>
      <c r="FI890" s="5"/>
      <c r="FJ890" s="5"/>
      <c r="FK890" s="5"/>
      <c r="FL890" s="5"/>
      <c r="FM890" s="5"/>
      <c r="FN890" s="5"/>
      <c r="FO890" s="5"/>
      <c r="FP890" s="5"/>
      <c r="FQ890" s="5"/>
      <c r="FR890" s="5"/>
      <c r="FS890" s="5"/>
      <c r="FT890" s="5"/>
      <c r="FU890" s="5"/>
      <c r="FV890" s="5"/>
      <c r="FW890" s="5"/>
      <c r="FX890" s="5"/>
      <c r="FY890" s="5"/>
      <c r="FZ890" s="5"/>
      <c r="GA890" s="5"/>
      <c r="GB890" s="5"/>
      <c r="GC890" s="5"/>
      <c r="GD890" s="5"/>
      <c r="GE890" s="5"/>
      <c r="GF890" s="5"/>
      <c r="GG890" s="5"/>
      <c r="GH890" s="5"/>
      <c r="GI890" s="5"/>
      <c r="GJ890" s="5"/>
      <c r="GK890" s="5"/>
      <c r="GL890" s="5"/>
      <c r="GM890" s="5"/>
      <c r="GN890" s="5"/>
      <c r="GO890" s="5"/>
      <c r="GP890" s="5"/>
      <c r="GQ890" s="5"/>
      <c r="GR890" s="5"/>
      <c r="GS890" s="5"/>
      <c r="GT890" s="5"/>
      <c r="GU890" s="5"/>
      <c r="GV890" s="5"/>
      <c r="GW890" s="5"/>
      <c r="GX890" s="5"/>
      <c r="GY890" s="5"/>
      <c r="GZ890" s="5"/>
      <c r="HA890" s="5"/>
      <c r="HB890" s="5"/>
      <c r="HC890" s="5"/>
      <c r="HD890" s="5"/>
      <c r="HE890" s="5"/>
      <c r="HF890" s="5"/>
      <c r="HG890" s="5"/>
      <c r="HH890" s="5"/>
      <c r="HI890" s="5"/>
      <c r="HJ890" s="5"/>
      <c r="HK890" s="5"/>
      <c r="HL890" s="5"/>
      <c r="HM890" s="5"/>
      <c r="HN890" s="5"/>
      <c r="HO890" s="5"/>
      <c r="HP890" s="5"/>
      <c r="HQ890" s="5"/>
      <c r="HR890" s="5"/>
      <c r="HS890" s="5"/>
      <c r="HT890" s="5"/>
      <c r="HU890" s="5"/>
      <c r="HV890" s="5"/>
      <c r="HW890" s="5"/>
      <c r="HX890" s="5"/>
      <c r="HY890" s="5"/>
      <c r="HZ890" s="5"/>
      <c r="IA890" s="5"/>
      <c r="IB890" s="5"/>
      <c r="IC890" s="5"/>
      <c r="ID890" s="5"/>
      <c r="IE890" s="5"/>
      <c r="IF890" s="5"/>
      <c r="IG890" s="5"/>
      <c r="IH890" s="5"/>
      <c r="II890" s="5"/>
      <c r="IJ890" s="5"/>
      <c r="IK890" s="5"/>
      <c r="IL890" s="5"/>
      <c r="IM890" s="5"/>
      <c r="IN890" s="5"/>
      <c r="IO890" s="5"/>
      <c r="IP890" s="5"/>
      <c r="IQ890" s="5"/>
      <c r="IR890" s="5"/>
      <c r="IS890" s="5"/>
      <c r="IT890" s="5"/>
      <c r="IU890" s="5"/>
      <c r="IV890" s="5"/>
      <c r="IW890" s="5"/>
      <c r="IX890" s="5"/>
    </row>
    <row r="891" spans="1:258" ht="25.15" customHeight="1" x14ac:dyDescent="0.25">
      <c r="A891" s="21" t="s">
        <v>1686</v>
      </c>
      <c r="B891" s="24" t="s">
        <v>744</v>
      </c>
      <c r="C891" s="2">
        <f t="shared" si="237"/>
        <v>1861200</v>
      </c>
      <c r="D891" s="3">
        <f t="shared" si="238"/>
        <v>0</v>
      </c>
      <c r="E891" s="3">
        <v>0</v>
      </c>
      <c r="F891" s="3">
        <v>0</v>
      </c>
      <c r="G891" s="3">
        <v>0</v>
      </c>
      <c r="H891" s="3">
        <v>0</v>
      </c>
      <c r="I891" s="3">
        <v>0</v>
      </c>
      <c r="J891" s="3">
        <v>0</v>
      </c>
      <c r="K891" s="4">
        <v>0</v>
      </c>
      <c r="L891" s="3">
        <v>0</v>
      </c>
      <c r="M891" s="13">
        <v>282</v>
      </c>
      <c r="N891" s="3">
        <f t="shared" si="241"/>
        <v>1861200</v>
      </c>
      <c r="O891" s="3">
        <v>0</v>
      </c>
      <c r="P891" s="3">
        <v>0</v>
      </c>
      <c r="Q891" s="3">
        <v>0</v>
      </c>
      <c r="R891" s="3">
        <f t="shared" si="242"/>
        <v>0</v>
      </c>
      <c r="S891" s="3">
        <v>0</v>
      </c>
      <c r="T891" s="13">
        <v>0</v>
      </c>
      <c r="U891" s="3">
        <v>0</v>
      </c>
      <c r="V891" s="5">
        <f t="shared" si="239"/>
        <v>6600</v>
      </c>
      <c r="W891" s="31"/>
      <c r="X891" s="31"/>
      <c r="Y891" s="31"/>
      <c r="Z891" s="31"/>
      <c r="AA891" s="31"/>
      <c r="AB891" s="31"/>
      <c r="AC891" s="31"/>
      <c r="AD891" s="31"/>
      <c r="AE891" s="31"/>
      <c r="AF891" s="31"/>
      <c r="AG891" s="31"/>
      <c r="AH891" s="31"/>
      <c r="AI891" s="31"/>
      <c r="AJ891" s="31"/>
      <c r="AK891" s="31"/>
      <c r="AL891" s="31"/>
      <c r="AM891" s="31"/>
      <c r="AN891" s="31"/>
      <c r="AO891" s="31"/>
      <c r="AP891" s="31"/>
      <c r="AQ891" s="31"/>
      <c r="AR891" s="31"/>
      <c r="AS891" s="31"/>
      <c r="AT891" s="31"/>
      <c r="AU891" s="31"/>
      <c r="AV891" s="31"/>
      <c r="AW891" s="31"/>
      <c r="AX891" s="31"/>
      <c r="AY891" s="31"/>
      <c r="AZ891" s="31"/>
      <c r="BA891" s="31"/>
      <c r="BB891" s="31"/>
      <c r="BC891" s="31"/>
      <c r="BD891" s="31"/>
      <c r="BE891" s="31"/>
      <c r="BF891" s="31"/>
      <c r="BG891" s="31"/>
      <c r="BH891" s="31"/>
      <c r="BI891" s="31"/>
      <c r="BJ891" s="31"/>
      <c r="BK891" s="31"/>
      <c r="BL891" s="31"/>
      <c r="BM891" s="31"/>
      <c r="BN891" s="31"/>
      <c r="BO891" s="31"/>
      <c r="BP891" s="31"/>
      <c r="BQ891" s="31"/>
      <c r="BR891" s="31"/>
      <c r="BS891" s="31"/>
      <c r="BT891" s="31"/>
      <c r="BU891" s="31"/>
      <c r="BV891" s="31"/>
      <c r="BW891" s="31"/>
      <c r="BX891" s="31"/>
      <c r="BY891" s="31"/>
      <c r="BZ891" s="31"/>
      <c r="CA891" s="31"/>
      <c r="CB891" s="31"/>
      <c r="CC891" s="31"/>
      <c r="CD891" s="31"/>
      <c r="CE891" s="31"/>
      <c r="CF891" s="31"/>
      <c r="CG891" s="31"/>
      <c r="CH891" s="31"/>
      <c r="CI891" s="31"/>
      <c r="CJ891" s="31"/>
      <c r="CK891" s="31"/>
      <c r="CL891" s="31"/>
      <c r="CM891" s="31"/>
      <c r="CN891" s="31"/>
      <c r="CO891" s="31"/>
      <c r="CP891" s="31"/>
      <c r="CQ891" s="31"/>
      <c r="CR891" s="31"/>
      <c r="CS891" s="31"/>
      <c r="CT891" s="31"/>
      <c r="CU891" s="31"/>
      <c r="CV891" s="31"/>
      <c r="CW891" s="31"/>
      <c r="CX891" s="31"/>
      <c r="CY891" s="31"/>
      <c r="CZ891" s="31"/>
      <c r="DA891" s="31"/>
      <c r="DB891" s="31"/>
      <c r="DC891" s="31"/>
      <c r="DD891" s="31"/>
      <c r="DE891" s="31"/>
      <c r="DF891" s="31"/>
      <c r="DG891" s="31"/>
      <c r="DH891" s="31"/>
      <c r="DI891" s="31"/>
      <c r="DJ891" s="31"/>
      <c r="DK891" s="31"/>
      <c r="DL891" s="31"/>
      <c r="DM891" s="31"/>
      <c r="DN891" s="31"/>
      <c r="DO891" s="31"/>
      <c r="DP891" s="31"/>
      <c r="DQ891" s="31"/>
      <c r="DR891" s="31"/>
      <c r="DS891" s="31"/>
      <c r="DT891" s="31"/>
      <c r="DU891" s="31"/>
      <c r="DV891" s="31"/>
      <c r="DW891" s="31"/>
      <c r="DX891" s="31"/>
      <c r="DY891" s="31"/>
      <c r="DZ891" s="31"/>
      <c r="EA891" s="31"/>
      <c r="EB891" s="31"/>
      <c r="EC891" s="31"/>
      <c r="ED891" s="31"/>
      <c r="EE891" s="31"/>
      <c r="EF891" s="31"/>
      <c r="EG891" s="31"/>
      <c r="EH891" s="31"/>
      <c r="EI891" s="31"/>
      <c r="EJ891" s="31"/>
      <c r="EK891" s="31"/>
      <c r="EL891" s="31"/>
      <c r="EM891" s="31"/>
      <c r="EN891" s="31"/>
      <c r="EO891" s="31"/>
      <c r="EP891" s="31"/>
      <c r="EQ891" s="31"/>
      <c r="ER891" s="31"/>
      <c r="ES891" s="31"/>
      <c r="ET891" s="31"/>
      <c r="EU891" s="31"/>
      <c r="EV891" s="31"/>
      <c r="EW891" s="31"/>
      <c r="EX891" s="31"/>
      <c r="EY891" s="31"/>
      <c r="EZ891" s="31"/>
      <c r="FA891" s="31"/>
      <c r="FB891" s="31"/>
      <c r="FC891" s="31"/>
      <c r="FD891" s="31"/>
      <c r="FE891" s="31"/>
      <c r="FF891" s="31"/>
      <c r="FG891" s="31"/>
      <c r="FH891" s="31"/>
      <c r="FI891" s="31"/>
      <c r="FJ891" s="31"/>
      <c r="FK891" s="31"/>
      <c r="FL891" s="31"/>
      <c r="FM891" s="31"/>
      <c r="FN891" s="31"/>
      <c r="FO891" s="31"/>
      <c r="FP891" s="31"/>
      <c r="FQ891" s="31"/>
      <c r="FR891" s="31"/>
      <c r="FS891" s="31"/>
      <c r="FT891" s="31"/>
      <c r="FU891" s="31"/>
      <c r="FV891" s="31"/>
      <c r="FW891" s="31"/>
      <c r="FX891" s="31"/>
      <c r="FY891" s="31"/>
      <c r="FZ891" s="31"/>
      <c r="GA891" s="31"/>
      <c r="GB891" s="31"/>
      <c r="GC891" s="31"/>
      <c r="GD891" s="31"/>
      <c r="GE891" s="31"/>
      <c r="GF891" s="31"/>
      <c r="GG891" s="31"/>
      <c r="GH891" s="31"/>
      <c r="GI891" s="31"/>
      <c r="GJ891" s="31"/>
      <c r="GK891" s="31"/>
      <c r="GL891" s="31"/>
      <c r="GM891" s="31"/>
      <c r="GN891" s="31"/>
      <c r="GO891" s="31"/>
      <c r="GP891" s="31"/>
      <c r="GQ891" s="31"/>
      <c r="GR891" s="31"/>
      <c r="GS891" s="31"/>
      <c r="GT891" s="31"/>
      <c r="GU891" s="31"/>
      <c r="GV891" s="31"/>
      <c r="GW891" s="31"/>
      <c r="GX891" s="31"/>
      <c r="GY891" s="31"/>
      <c r="GZ891" s="31"/>
      <c r="HA891" s="31"/>
      <c r="HB891" s="31"/>
      <c r="HC891" s="31"/>
      <c r="HD891" s="31"/>
      <c r="HE891" s="31"/>
      <c r="HF891" s="31"/>
      <c r="HG891" s="31"/>
      <c r="HH891" s="31"/>
      <c r="HI891" s="31"/>
      <c r="HJ891" s="31"/>
      <c r="HK891" s="31"/>
      <c r="HL891" s="31"/>
      <c r="HM891" s="31"/>
      <c r="HN891" s="31"/>
      <c r="HO891" s="31"/>
      <c r="HP891" s="31"/>
      <c r="HQ891" s="31"/>
      <c r="HR891" s="31"/>
      <c r="HS891" s="31"/>
      <c r="HT891" s="31"/>
      <c r="HU891" s="31"/>
      <c r="HV891" s="31"/>
      <c r="HW891" s="31"/>
      <c r="HX891" s="31"/>
      <c r="HY891" s="31"/>
      <c r="HZ891" s="31"/>
      <c r="IA891" s="31"/>
      <c r="IB891" s="31"/>
      <c r="IC891" s="31"/>
      <c r="ID891" s="31"/>
      <c r="IE891" s="31"/>
      <c r="IF891" s="31"/>
      <c r="IG891" s="31"/>
      <c r="IH891" s="31"/>
      <c r="II891" s="31"/>
      <c r="IJ891" s="31"/>
      <c r="IK891" s="31"/>
      <c r="IL891" s="31"/>
      <c r="IM891" s="31"/>
      <c r="IN891" s="31"/>
      <c r="IO891" s="31"/>
      <c r="IP891" s="31"/>
      <c r="IQ891" s="31"/>
      <c r="IR891" s="31"/>
      <c r="IS891" s="31"/>
      <c r="IT891" s="31"/>
      <c r="IU891" s="31"/>
      <c r="IV891" s="31"/>
      <c r="IW891" s="31"/>
      <c r="IX891" s="31"/>
    </row>
    <row r="892" spans="1:258" ht="25.15" customHeight="1" x14ac:dyDescent="0.25">
      <c r="A892" s="21" t="s">
        <v>1687</v>
      </c>
      <c r="B892" s="27" t="s">
        <v>566</v>
      </c>
      <c r="C892" s="2">
        <f t="shared" si="237"/>
        <v>2336500</v>
      </c>
      <c r="D892" s="3">
        <f t="shared" si="238"/>
        <v>2236500</v>
      </c>
      <c r="E892" s="3">
        <f>700*745.5</f>
        <v>521850</v>
      </c>
      <c r="F892" s="3">
        <f>1300*745.5</f>
        <v>969150</v>
      </c>
      <c r="G892" s="3">
        <f>300*745.5</f>
        <v>223650</v>
      </c>
      <c r="H892" s="3">
        <f>400*745.5</f>
        <v>298200</v>
      </c>
      <c r="I892" s="3">
        <f>300*745.5</f>
        <v>223650</v>
      </c>
      <c r="J892" s="3">
        <f>350*0</f>
        <v>0</v>
      </c>
      <c r="K892" s="14">
        <v>0</v>
      </c>
      <c r="L892" s="13">
        <v>0</v>
      </c>
      <c r="M892" s="13">
        <v>0</v>
      </c>
      <c r="N892" s="13">
        <v>0</v>
      </c>
      <c r="O892" s="13">
        <v>0</v>
      </c>
      <c r="P892" s="13">
        <v>0</v>
      </c>
      <c r="Q892" s="13">
        <v>0</v>
      </c>
      <c r="R892" s="3">
        <f t="shared" si="242"/>
        <v>0</v>
      </c>
      <c r="S892" s="13">
        <v>0</v>
      </c>
      <c r="T892" s="13">
        <v>0</v>
      </c>
      <c r="U892" s="13">
        <v>100000</v>
      </c>
      <c r="V892" s="5" t="e">
        <f t="shared" si="239"/>
        <v>#DIV/0!</v>
      </c>
      <c r="W892" s="6" t="s">
        <v>990</v>
      </c>
    </row>
    <row r="893" spans="1:258" ht="25.15" customHeight="1" x14ac:dyDescent="0.25">
      <c r="A893" s="21" t="s">
        <v>1688</v>
      </c>
      <c r="B893" s="27" t="s">
        <v>564</v>
      </c>
      <c r="C893" s="2">
        <f t="shared" si="237"/>
        <v>6090830.7400000002</v>
      </c>
      <c r="D893" s="3">
        <f t="shared" si="238"/>
        <v>5865300</v>
      </c>
      <c r="E893" s="3">
        <v>0</v>
      </c>
      <c r="F893" s="3">
        <f>1300*3087</f>
        <v>4013100</v>
      </c>
      <c r="G893" s="3">
        <f>300*3087</f>
        <v>926100</v>
      </c>
      <c r="H893" s="3">
        <v>0</v>
      </c>
      <c r="I893" s="3">
        <f>300*3087</f>
        <v>926100</v>
      </c>
      <c r="J893" s="3">
        <f>350*0</f>
        <v>0</v>
      </c>
      <c r="K893" s="14">
        <v>0</v>
      </c>
      <c r="L893" s="13">
        <v>0</v>
      </c>
      <c r="M893" s="13">
        <v>0</v>
      </c>
      <c r="N893" s="13">
        <v>0</v>
      </c>
      <c r="O893" s="13">
        <v>0</v>
      </c>
      <c r="P893" s="13">
        <v>0</v>
      </c>
      <c r="Q893" s="13">
        <v>0</v>
      </c>
      <c r="R893" s="3">
        <f>Q893*3000</f>
        <v>0</v>
      </c>
      <c r="S893" s="13">
        <v>0</v>
      </c>
      <c r="T893" s="13">
        <v>0</v>
      </c>
      <c r="U893" s="13">
        <v>225530.74</v>
      </c>
      <c r="V893" s="5" t="e">
        <f t="shared" si="239"/>
        <v>#DIV/0!</v>
      </c>
    </row>
    <row r="894" spans="1:258" ht="25.15" customHeight="1" x14ac:dyDescent="0.25">
      <c r="A894" s="21" t="s">
        <v>1689</v>
      </c>
      <c r="B894" s="24" t="s">
        <v>565</v>
      </c>
      <c r="C894" s="2">
        <f t="shared" si="237"/>
        <v>169590.76</v>
      </c>
      <c r="D894" s="3">
        <f t="shared" si="238"/>
        <v>0</v>
      </c>
      <c r="E894" s="3">
        <v>0</v>
      </c>
      <c r="F894" s="3">
        <v>0</v>
      </c>
      <c r="G894" s="3">
        <v>0</v>
      </c>
      <c r="H894" s="3">
        <v>0</v>
      </c>
      <c r="I894" s="3">
        <v>0</v>
      </c>
      <c r="J894" s="3">
        <f>350*0</f>
        <v>0</v>
      </c>
      <c r="K894" s="14">
        <v>0</v>
      </c>
      <c r="L894" s="13">
        <v>0</v>
      </c>
      <c r="M894" s="13">
        <v>0</v>
      </c>
      <c r="N894" s="13">
        <v>0</v>
      </c>
      <c r="O894" s="13">
        <v>0</v>
      </c>
      <c r="P894" s="13">
        <v>0</v>
      </c>
      <c r="Q894" s="13">
        <v>0</v>
      </c>
      <c r="R894" s="3">
        <f>Q894*3000</f>
        <v>0</v>
      </c>
      <c r="S894" s="13">
        <v>0</v>
      </c>
      <c r="T894" s="13">
        <v>0</v>
      </c>
      <c r="U894" s="13">
        <v>169590.76</v>
      </c>
      <c r="V894" s="5" t="e">
        <f t="shared" si="239"/>
        <v>#DIV/0!</v>
      </c>
    </row>
    <row r="895" spans="1:258" ht="25.15" customHeight="1" x14ac:dyDescent="0.25">
      <c r="A895" s="21" t="s">
        <v>1690</v>
      </c>
      <c r="B895" s="24" t="s">
        <v>369</v>
      </c>
      <c r="C895" s="2">
        <f t="shared" si="237"/>
        <v>11106787.140000001</v>
      </c>
      <c r="D895" s="3">
        <f t="shared" si="238"/>
        <v>10258306.5</v>
      </c>
      <c r="E895" s="3">
        <f>350*5260.67</f>
        <v>1841234.5</v>
      </c>
      <c r="F895" s="3">
        <f>1050*5260.67</f>
        <v>5523703.5</v>
      </c>
      <c r="G895" s="3">
        <f>300*5260.67</f>
        <v>1578201</v>
      </c>
      <c r="H895" s="3">
        <v>0</v>
      </c>
      <c r="I895" s="3">
        <f>250*5260.67</f>
        <v>1315167.5</v>
      </c>
      <c r="J895" s="3">
        <f>350*0</f>
        <v>0</v>
      </c>
      <c r="K895" s="4">
        <v>0</v>
      </c>
      <c r="L895" s="3">
        <v>0</v>
      </c>
      <c r="M895" s="3">
        <v>0</v>
      </c>
      <c r="N895" s="3">
        <v>0</v>
      </c>
      <c r="O895" s="3">
        <v>0</v>
      </c>
      <c r="P895" s="3">
        <v>0</v>
      </c>
      <c r="Q895" s="3">
        <v>0</v>
      </c>
      <c r="R895" s="3">
        <v>0</v>
      </c>
      <c r="S895" s="3">
        <v>0</v>
      </c>
      <c r="T895" s="3">
        <v>0</v>
      </c>
      <c r="U895" s="3">
        <v>848480.64</v>
      </c>
      <c r="V895" s="5" t="e">
        <f t="shared" si="239"/>
        <v>#DIV/0!</v>
      </c>
    </row>
    <row r="896" spans="1:258" ht="25.15" customHeight="1" x14ac:dyDescent="0.25">
      <c r="A896" s="21" t="s">
        <v>1976</v>
      </c>
      <c r="B896" s="24" t="s">
        <v>657</v>
      </c>
      <c r="C896" s="2">
        <f t="shared" si="237"/>
        <v>8651449.9700000007</v>
      </c>
      <c r="D896" s="3">
        <f t="shared" si="238"/>
        <v>2047200</v>
      </c>
      <c r="E896" s="3">
        <f>700*682.4</f>
        <v>477680</v>
      </c>
      <c r="F896" s="3">
        <f>1300*682.4</f>
        <v>887120</v>
      </c>
      <c r="G896" s="3">
        <f>300*682.4</f>
        <v>204720</v>
      </c>
      <c r="H896" s="3">
        <f>400*682.4</f>
        <v>272960</v>
      </c>
      <c r="I896" s="3">
        <f>300*682.4</f>
        <v>204720</v>
      </c>
      <c r="J896" s="3">
        <v>0</v>
      </c>
      <c r="K896" s="4">
        <v>0</v>
      </c>
      <c r="L896" s="3">
        <v>0</v>
      </c>
      <c r="M896" s="3">
        <v>540.70000000000005</v>
      </c>
      <c r="N896" s="3">
        <f t="shared" ref="N896:N920" si="243">M896*6600</f>
        <v>3568620.0000000005</v>
      </c>
      <c r="O896" s="3">
        <v>0</v>
      </c>
      <c r="P896" s="3">
        <v>0</v>
      </c>
      <c r="Q896" s="3">
        <v>910.8</v>
      </c>
      <c r="R896" s="3">
        <f t="shared" ref="R896:R907" si="244">Q896*3200</f>
        <v>2914560</v>
      </c>
      <c r="S896" s="3">
        <v>0</v>
      </c>
      <c r="T896" s="13">
        <v>0</v>
      </c>
      <c r="U896" s="3">
        <v>121069.97</v>
      </c>
      <c r="V896" s="5">
        <f t="shared" si="239"/>
        <v>6600</v>
      </c>
    </row>
    <row r="897" spans="1:258" ht="25.15" customHeight="1" x14ac:dyDescent="0.25">
      <c r="A897" s="21" t="s">
        <v>1691</v>
      </c>
      <c r="B897" s="24" t="s">
        <v>658</v>
      </c>
      <c r="C897" s="2">
        <f t="shared" si="237"/>
        <v>300000</v>
      </c>
      <c r="D897" s="3">
        <f t="shared" si="238"/>
        <v>0</v>
      </c>
      <c r="E897" s="3">
        <v>0</v>
      </c>
      <c r="F897" s="3">
        <v>0</v>
      </c>
      <c r="G897" s="3">
        <v>0</v>
      </c>
      <c r="H897" s="3">
        <v>0</v>
      </c>
      <c r="I897" s="3">
        <v>0</v>
      </c>
      <c r="J897" s="3">
        <v>0</v>
      </c>
      <c r="K897" s="4">
        <v>0</v>
      </c>
      <c r="L897" s="3">
        <v>0</v>
      </c>
      <c r="M897" s="13">
        <v>0</v>
      </c>
      <c r="N897" s="3">
        <f t="shared" si="243"/>
        <v>0</v>
      </c>
      <c r="O897" s="3">
        <v>0</v>
      </c>
      <c r="P897" s="3">
        <v>0</v>
      </c>
      <c r="Q897" s="3">
        <v>0</v>
      </c>
      <c r="R897" s="3">
        <f t="shared" si="244"/>
        <v>0</v>
      </c>
      <c r="S897" s="3">
        <v>0</v>
      </c>
      <c r="T897" s="13">
        <v>0</v>
      </c>
      <c r="U897" s="3">
        <v>300000</v>
      </c>
      <c r="V897" s="5" t="e">
        <f t="shared" si="239"/>
        <v>#DIV/0!</v>
      </c>
    </row>
    <row r="898" spans="1:258" ht="25.15" customHeight="1" x14ac:dyDescent="0.25">
      <c r="A898" s="21" t="s">
        <v>1692</v>
      </c>
      <c r="B898" s="27" t="s">
        <v>489</v>
      </c>
      <c r="C898" s="2">
        <f t="shared" si="237"/>
        <v>3332340</v>
      </c>
      <c r="D898" s="3">
        <f t="shared" si="238"/>
        <v>0</v>
      </c>
      <c r="E898" s="3">
        <v>0</v>
      </c>
      <c r="F898" s="3">
        <v>0</v>
      </c>
      <c r="G898" s="3">
        <v>0</v>
      </c>
      <c r="H898" s="3">
        <v>0</v>
      </c>
      <c r="I898" s="3">
        <v>0</v>
      </c>
      <c r="J898" s="3">
        <v>0</v>
      </c>
      <c r="K898" s="14">
        <v>0</v>
      </c>
      <c r="L898" s="13">
        <v>0</v>
      </c>
      <c r="M898" s="13">
        <v>504.9</v>
      </c>
      <c r="N898" s="3">
        <f t="shared" si="243"/>
        <v>3332340</v>
      </c>
      <c r="O898" s="13">
        <v>0</v>
      </c>
      <c r="P898" s="13">
        <v>0</v>
      </c>
      <c r="Q898" s="13">
        <v>0</v>
      </c>
      <c r="R898" s="3">
        <f t="shared" si="244"/>
        <v>0</v>
      </c>
      <c r="S898" s="13">
        <v>0</v>
      </c>
      <c r="T898" s="13">
        <v>0</v>
      </c>
      <c r="U898" s="13">
        <v>0</v>
      </c>
      <c r="V898" s="5">
        <f t="shared" si="239"/>
        <v>6600</v>
      </c>
    </row>
    <row r="899" spans="1:258" ht="25.15" customHeight="1" x14ac:dyDescent="0.25">
      <c r="A899" s="21" t="s">
        <v>1693</v>
      </c>
      <c r="B899" s="27" t="s">
        <v>659</v>
      </c>
      <c r="C899" s="2">
        <f t="shared" si="237"/>
        <v>1893539.9999999998</v>
      </c>
      <c r="D899" s="3">
        <f t="shared" si="238"/>
        <v>0</v>
      </c>
      <c r="E899" s="3">
        <v>0</v>
      </c>
      <c r="F899" s="3">
        <v>0</v>
      </c>
      <c r="G899" s="3">
        <v>0</v>
      </c>
      <c r="H899" s="3">
        <v>0</v>
      </c>
      <c r="I899" s="3">
        <v>0</v>
      </c>
      <c r="J899" s="3">
        <v>0</v>
      </c>
      <c r="K899" s="4">
        <v>0</v>
      </c>
      <c r="L899" s="3">
        <v>0</v>
      </c>
      <c r="M899" s="3">
        <v>286.89999999999998</v>
      </c>
      <c r="N899" s="3">
        <f t="shared" si="243"/>
        <v>1893539.9999999998</v>
      </c>
      <c r="O899" s="3">
        <v>0</v>
      </c>
      <c r="P899" s="3">
        <v>0</v>
      </c>
      <c r="Q899" s="3">
        <v>0</v>
      </c>
      <c r="R899" s="3">
        <f t="shared" si="244"/>
        <v>0</v>
      </c>
      <c r="S899" s="3">
        <v>0</v>
      </c>
      <c r="T899" s="13">
        <v>0</v>
      </c>
      <c r="U899" s="3">
        <v>0</v>
      </c>
      <c r="V899" s="5">
        <f t="shared" si="239"/>
        <v>6600</v>
      </c>
    </row>
    <row r="900" spans="1:258" ht="25.15" customHeight="1" x14ac:dyDescent="0.25">
      <c r="A900" s="21" t="s">
        <v>1694</v>
      </c>
      <c r="B900" s="24" t="s">
        <v>660</v>
      </c>
      <c r="C900" s="2">
        <f t="shared" si="237"/>
        <v>3684779.9999999995</v>
      </c>
      <c r="D900" s="3">
        <f t="shared" si="238"/>
        <v>0</v>
      </c>
      <c r="E900" s="3">
        <v>0</v>
      </c>
      <c r="F900" s="3">
        <v>0</v>
      </c>
      <c r="G900" s="3">
        <v>0</v>
      </c>
      <c r="H900" s="3">
        <v>0</v>
      </c>
      <c r="I900" s="3">
        <v>0</v>
      </c>
      <c r="J900" s="3">
        <v>0</v>
      </c>
      <c r="K900" s="4">
        <v>0</v>
      </c>
      <c r="L900" s="3">
        <v>0</v>
      </c>
      <c r="M900" s="13">
        <v>558.29999999999995</v>
      </c>
      <c r="N900" s="3">
        <f t="shared" si="243"/>
        <v>3684779.9999999995</v>
      </c>
      <c r="O900" s="3">
        <v>0</v>
      </c>
      <c r="P900" s="3">
        <v>0</v>
      </c>
      <c r="Q900" s="3">
        <v>0</v>
      </c>
      <c r="R900" s="3">
        <f t="shared" si="244"/>
        <v>0</v>
      </c>
      <c r="S900" s="3">
        <v>0</v>
      </c>
      <c r="T900" s="13">
        <v>0</v>
      </c>
      <c r="U900" s="3">
        <v>0</v>
      </c>
      <c r="V900" s="5">
        <f t="shared" si="239"/>
        <v>6600</v>
      </c>
    </row>
    <row r="901" spans="1:258" ht="25.15" customHeight="1" x14ac:dyDescent="0.25">
      <c r="A901" s="21" t="s">
        <v>1695</v>
      </c>
      <c r="B901" s="24" t="s">
        <v>661</v>
      </c>
      <c r="C901" s="2">
        <f t="shared" si="237"/>
        <v>1953600</v>
      </c>
      <c r="D901" s="3">
        <f t="shared" si="238"/>
        <v>0</v>
      </c>
      <c r="E901" s="3">
        <v>0</v>
      </c>
      <c r="F901" s="3">
        <v>0</v>
      </c>
      <c r="G901" s="3">
        <v>0</v>
      </c>
      <c r="H901" s="3">
        <v>0</v>
      </c>
      <c r="I901" s="3">
        <v>0</v>
      </c>
      <c r="J901" s="3">
        <v>0</v>
      </c>
      <c r="K901" s="14">
        <v>0</v>
      </c>
      <c r="L901" s="3">
        <v>0</v>
      </c>
      <c r="M901" s="3">
        <v>296</v>
      </c>
      <c r="N901" s="3">
        <f t="shared" si="243"/>
        <v>1953600</v>
      </c>
      <c r="O901" s="3">
        <v>0</v>
      </c>
      <c r="P901" s="3">
        <v>0</v>
      </c>
      <c r="Q901" s="3">
        <v>0</v>
      </c>
      <c r="R901" s="3">
        <f t="shared" si="244"/>
        <v>0</v>
      </c>
      <c r="S901" s="3">
        <v>0</v>
      </c>
      <c r="T901" s="13">
        <v>0</v>
      </c>
      <c r="U901" s="3">
        <v>0</v>
      </c>
      <c r="V901" s="5">
        <f t="shared" si="239"/>
        <v>6600</v>
      </c>
    </row>
    <row r="902" spans="1:258" s="32" customFormat="1" ht="25.15" customHeight="1" x14ac:dyDescent="0.25">
      <c r="A902" s="21" t="s">
        <v>1696</v>
      </c>
      <c r="B902" s="24" t="s">
        <v>662</v>
      </c>
      <c r="C902" s="2">
        <f t="shared" si="237"/>
        <v>2349600</v>
      </c>
      <c r="D902" s="3">
        <f t="shared" si="238"/>
        <v>0</v>
      </c>
      <c r="E902" s="3">
        <v>0</v>
      </c>
      <c r="F902" s="3">
        <v>0</v>
      </c>
      <c r="G902" s="3">
        <v>0</v>
      </c>
      <c r="H902" s="3">
        <v>0</v>
      </c>
      <c r="I902" s="3">
        <v>0</v>
      </c>
      <c r="J902" s="3">
        <v>0</v>
      </c>
      <c r="K902" s="14">
        <v>0</v>
      </c>
      <c r="L902" s="3">
        <v>0</v>
      </c>
      <c r="M902" s="3">
        <v>356</v>
      </c>
      <c r="N902" s="3">
        <f t="shared" si="243"/>
        <v>2349600</v>
      </c>
      <c r="O902" s="3">
        <v>0</v>
      </c>
      <c r="P902" s="3">
        <v>0</v>
      </c>
      <c r="Q902" s="3">
        <v>0</v>
      </c>
      <c r="R902" s="3">
        <f t="shared" si="244"/>
        <v>0</v>
      </c>
      <c r="S902" s="3">
        <v>0</v>
      </c>
      <c r="T902" s="13">
        <v>0</v>
      </c>
      <c r="U902" s="3">
        <v>0</v>
      </c>
      <c r="V902" s="5">
        <f t="shared" si="239"/>
        <v>6600</v>
      </c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  <c r="BO902" s="6"/>
      <c r="BP902" s="6"/>
      <c r="BQ902" s="6"/>
      <c r="BR902" s="6"/>
      <c r="BS902" s="6"/>
      <c r="BT902" s="6"/>
      <c r="BU902" s="6"/>
      <c r="BV902" s="6"/>
      <c r="BW902" s="6"/>
      <c r="BX902" s="6"/>
      <c r="BY902" s="6"/>
      <c r="BZ902" s="6"/>
      <c r="CA902" s="6"/>
      <c r="CB902" s="6"/>
      <c r="CC902" s="6"/>
      <c r="CD902" s="6"/>
      <c r="CE902" s="6"/>
      <c r="CF902" s="6"/>
      <c r="CG902" s="6"/>
      <c r="CH902" s="6"/>
      <c r="CI902" s="6"/>
      <c r="CJ902" s="6"/>
      <c r="CK902" s="6"/>
      <c r="CL902" s="6"/>
      <c r="CM902" s="6"/>
      <c r="CN902" s="6"/>
      <c r="CO902" s="6"/>
      <c r="CP902" s="6"/>
      <c r="CQ902" s="6"/>
      <c r="CR902" s="6"/>
      <c r="CS902" s="6"/>
      <c r="CT902" s="6"/>
      <c r="CU902" s="6"/>
      <c r="CV902" s="6"/>
      <c r="CW902" s="6"/>
      <c r="CX902" s="6"/>
      <c r="CY902" s="6"/>
      <c r="CZ902" s="6"/>
      <c r="DA902" s="6"/>
      <c r="DB902" s="6"/>
      <c r="DC902" s="6"/>
      <c r="DD902" s="6"/>
      <c r="DE902" s="6"/>
      <c r="DF902" s="6"/>
      <c r="DG902" s="6"/>
      <c r="DH902" s="6"/>
      <c r="DI902" s="6"/>
      <c r="DJ902" s="6"/>
      <c r="DK902" s="6"/>
      <c r="DL902" s="6"/>
      <c r="DM902" s="6"/>
      <c r="DN902" s="6"/>
      <c r="DO902" s="6"/>
      <c r="DP902" s="6"/>
      <c r="DQ902" s="6"/>
      <c r="DR902" s="6"/>
      <c r="DS902" s="6"/>
      <c r="DT902" s="6"/>
      <c r="DU902" s="6"/>
      <c r="DV902" s="6"/>
      <c r="DW902" s="6"/>
      <c r="DX902" s="6"/>
      <c r="DY902" s="6"/>
      <c r="DZ902" s="6"/>
      <c r="EA902" s="6"/>
      <c r="EB902" s="6"/>
      <c r="EC902" s="6"/>
      <c r="ED902" s="6"/>
      <c r="EE902" s="6"/>
      <c r="EF902" s="6"/>
      <c r="EG902" s="6"/>
      <c r="EH902" s="6"/>
      <c r="EI902" s="6"/>
      <c r="EJ902" s="6"/>
      <c r="EK902" s="6"/>
      <c r="EL902" s="6"/>
      <c r="EM902" s="6"/>
      <c r="EN902" s="6"/>
      <c r="EO902" s="6"/>
      <c r="EP902" s="6"/>
      <c r="EQ902" s="6"/>
      <c r="ER902" s="6"/>
      <c r="ES902" s="6"/>
      <c r="ET902" s="6"/>
      <c r="EU902" s="6"/>
      <c r="EV902" s="6"/>
      <c r="EW902" s="6"/>
      <c r="EX902" s="6"/>
      <c r="EY902" s="6"/>
      <c r="EZ902" s="6"/>
      <c r="FA902" s="6"/>
      <c r="FB902" s="6"/>
      <c r="FC902" s="6"/>
      <c r="FD902" s="6"/>
      <c r="FE902" s="6"/>
      <c r="FF902" s="6"/>
      <c r="FG902" s="6"/>
      <c r="FH902" s="6"/>
      <c r="FI902" s="6"/>
      <c r="FJ902" s="6"/>
      <c r="FK902" s="6"/>
      <c r="FL902" s="6"/>
      <c r="FM902" s="6"/>
      <c r="FN902" s="6"/>
      <c r="FO902" s="6"/>
      <c r="FP902" s="6"/>
      <c r="FQ902" s="6"/>
      <c r="FR902" s="6"/>
      <c r="FS902" s="6"/>
      <c r="FT902" s="6"/>
      <c r="FU902" s="6"/>
      <c r="FV902" s="6"/>
      <c r="FW902" s="6"/>
      <c r="FX902" s="6"/>
      <c r="FY902" s="6"/>
      <c r="FZ902" s="6"/>
      <c r="GA902" s="6"/>
      <c r="GB902" s="6"/>
      <c r="GC902" s="6"/>
      <c r="GD902" s="6"/>
      <c r="GE902" s="6"/>
      <c r="GF902" s="6"/>
      <c r="GG902" s="6"/>
      <c r="GH902" s="6"/>
      <c r="GI902" s="6"/>
      <c r="GJ902" s="6"/>
      <c r="GK902" s="6"/>
      <c r="GL902" s="6"/>
      <c r="GM902" s="6"/>
      <c r="GN902" s="6"/>
      <c r="GO902" s="6"/>
      <c r="GP902" s="6"/>
      <c r="GQ902" s="6"/>
      <c r="GR902" s="6"/>
      <c r="GS902" s="6"/>
      <c r="GT902" s="6"/>
      <c r="GU902" s="6"/>
      <c r="GV902" s="6"/>
      <c r="GW902" s="6"/>
      <c r="GX902" s="6"/>
      <c r="GY902" s="6"/>
      <c r="GZ902" s="6"/>
      <c r="HA902" s="6"/>
      <c r="HB902" s="6"/>
      <c r="HC902" s="6"/>
      <c r="HD902" s="6"/>
      <c r="HE902" s="6"/>
      <c r="HF902" s="6"/>
      <c r="HG902" s="6"/>
      <c r="HH902" s="6"/>
      <c r="HI902" s="6"/>
      <c r="HJ902" s="6"/>
      <c r="HK902" s="6"/>
      <c r="HL902" s="6"/>
      <c r="HM902" s="6"/>
      <c r="HN902" s="6"/>
      <c r="HO902" s="6"/>
      <c r="HP902" s="6"/>
      <c r="HQ902" s="6"/>
      <c r="HR902" s="6"/>
      <c r="HS902" s="6"/>
      <c r="HT902" s="6"/>
      <c r="HU902" s="6"/>
      <c r="HV902" s="6"/>
      <c r="HW902" s="6"/>
      <c r="HX902" s="6"/>
      <c r="HY902" s="6"/>
      <c r="HZ902" s="6"/>
      <c r="IA902" s="6"/>
      <c r="IB902" s="6"/>
      <c r="IC902" s="6"/>
      <c r="ID902" s="6"/>
      <c r="IE902" s="6"/>
      <c r="IF902" s="6"/>
      <c r="IG902" s="6"/>
      <c r="IH902" s="6"/>
      <c r="II902" s="6"/>
      <c r="IJ902" s="6"/>
      <c r="IK902" s="6"/>
      <c r="IL902" s="6"/>
      <c r="IM902" s="6"/>
      <c r="IN902" s="6"/>
      <c r="IO902" s="6"/>
      <c r="IP902" s="6"/>
      <c r="IQ902" s="6"/>
      <c r="IR902" s="6"/>
      <c r="IS902" s="6"/>
      <c r="IT902" s="6"/>
      <c r="IU902" s="6"/>
      <c r="IV902" s="6"/>
      <c r="IW902" s="6"/>
      <c r="IX902" s="6"/>
    </row>
    <row r="903" spans="1:258" ht="25.15" customHeight="1" x14ac:dyDescent="0.25">
      <c r="A903" s="21" t="s">
        <v>1697</v>
      </c>
      <c r="B903" s="24" t="s">
        <v>745</v>
      </c>
      <c r="C903" s="2">
        <f t="shared" si="237"/>
        <v>2204400</v>
      </c>
      <c r="D903" s="3">
        <f t="shared" si="238"/>
        <v>0</v>
      </c>
      <c r="E903" s="3">
        <v>0</v>
      </c>
      <c r="F903" s="3">
        <v>0</v>
      </c>
      <c r="G903" s="3">
        <v>0</v>
      </c>
      <c r="H903" s="3">
        <v>0</v>
      </c>
      <c r="I903" s="3">
        <v>0</v>
      </c>
      <c r="J903" s="3">
        <v>0</v>
      </c>
      <c r="K903" s="14">
        <v>0</v>
      </c>
      <c r="L903" s="3">
        <v>0</v>
      </c>
      <c r="M903" s="3">
        <v>334</v>
      </c>
      <c r="N903" s="3">
        <f t="shared" si="243"/>
        <v>2204400</v>
      </c>
      <c r="O903" s="3">
        <v>0</v>
      </c>
      <c r="P903" s="3">
        <v>0</v>
      </c>
      <c r="Q903" s="3">
        <v>0</v>
      </c>
      <c r="R903" s="3">
        <f t="shared" si="244"/>
        <v>0</v>
      </c>
      <c r="S903" s="3">
        <v>0</v>
      </c>
      <c r="T903" s="13">
        <v>0</v>
      </c>
      <c r="U903" s="3">
        <v>0</v>
      </c>
      <c r="V903" s="5">
        <f t="shared" si="239"/>
        <v>6600</v>
      </c>
    </row>
    <row r="904" spans="1:258" ht="25.15" customHeight="1" x14ac:dyDescent="0.25">
      <c r="A904" s="21" t="s">
        <v>1698</v>
      </c>
      <c r="B904" s="24" t="s">
        <v>567</v>
      </c>
      <c r="C904" s="2">
        <f t="shared" si="237"/>
        <v>3379200</v>
      </c>
      <c r="D904" s="3">
        <f t="shared" si="238"/>
        <v>0</v>
      </c>
      <c r="E904" s="3">
        <v>0</v>
      </c>
      <c r="F904" s="3">
        <v>0</v>
      </c>
      <c r="G904" s="3">
        <v>0</v>
      </c>
      <c r="H904" s="3">
        <v>0</v>
      </c>
      <c r="I904" s="3">
        <v>0</v>
      </c>
      <c r="J904" s="3">
        <v>0</v>
      </c>
      <c r="K904" s="14">
        <v>0</v>
      </c>
      <c r="L904" s="13">
        <v>0</v>
      </c>
      <c r="M904" s="13">
        <v>512</v>
      </c>
      <c r="N904" s="3">
        <f t="shared" si="243"/>
        <v>3379200</v>
      </c>
      <c r="O904" s="13">
        <v>0</v>
      </c>
      <c r="P904" s="13">
        <v>0</v>
      </c>
      <c r="Q904" s="13">
        <v>0</v>
      </c>
      <c r="R904" s="3">
        <f t="shared" si="244"/>
        <v>0</v>
      </c>
      <c r="S904" s="13">
        <v>0</v>
      </c>
      <c r="T904" s="13">
        <v>0</v>
      </c>
      <c r="U904" s="13">
        <v>0</v>
      </c>
      <c r="V904" s="5">
        <f t="shared" si="239"/>
        <v>6600</v>
      </c>
    </row>
    <row r="905" spans="1:258" ht="25.15" customHeight="1" x14ac:dyDescent="0.25">
      <c r="A905" s="21" t="s">
        <v>1699</v>
      </c>
      <c r="B905" s="24" t="s">
        <v>490</v>
      </c>
      <c r="C905" s="2">
        <f t="shared" si="237"/>
        <v>1782000</v>
      </c>
      <c r="D905" s="3">
        <f t="shared" si="238"/>
        <v>0</v>
      </c>
      <c r="E905" s="3">
        <v>0</v>
      </c>
      <c r="F905" s="3">
        <v>0</v>
      </c>
      <c r="G905" s="3">
        <v>0</v>
      </c>
      <c r="H905" s="3">
        <v>0</v>
      </c>
      <c r="I905" s="3">
        <v>0</v>
      </c>
      <c r="J905" s="3">
        <v>0</v>
      </c>
      <c r="K905" s="14">
        <v>0</v>
      </c>
      <c r="L905" s="13">
        <v>0</v>
      </c>
      <c r="M905" s="13">
        <v>270</v>
      </c>
      <c r="N905" s="3">
        <f t="shared" si="243"/>
        <v>1782000</v>
      </c>
      <c r="O905" s="13">
        <v>0</v>
      </c>
      <c r="P905" s="13">
        <v>0</v>
      </c>
      <c r="Q905" s="13">
        <v>0</v>
      </c>
      <c r="R905" s="3">
        <f t="shared" si="244"/>
        <v>0</v>
      </c>
      <c r="S905" s="13">
        <v>0</v>
      </c>
      <c r="T905" s="13">
        <v>0</v>
      </c>
      <c r="U905" s="13">
        <v>0</v>
      </c>
      <c r="V905" s="5">
        <f t="shared" si="239"/>
        <v>6600</v>
      </c>
    </row>
    <row r="906" spans="1:258" s="31" customFormat="1" ht="24.6" customHeight="1" x14ac:dyDescent="0.25">
      <c r="A906" s="21" t="s">
        <v>1700</v>
      </c>
      <c r="B906" s="27" t="s">
        <v>746</v>
      </c>
      <c r="C906" s="2">
        <f t="shared" si="237"/>
        <v>8214359.9999999991</v>
      </c>
      <c r="D906" s="3">
        <f t="shared" si="238"/>
        <v>0</v>
      </c>
      <c r="E906" s="3">
        <v>0</v>
      </c>
      <c r="F906" s="3">
        <v>0</v>
      </c>
      <c r="G906" s="3">
        <v>0</v>
      </c>
      <c r="H906" s="3">
        <v>0</v>
      </c>
      <c r="I906" s="3">
        <v>0</v>
      </c>
      <c r="J906" s="3">
        <v>0</v>
      </c>
      <c r="K906" s="14">
        <v>0</v>
      </c>
      <c r="L906" s="3">
        <v>0</v>
      </c>
      <c r="M906" s="3">
        <v>1244.5999999999999</v>
      </c>
      <c r="N906" s="3">
        <f t="shared" si="243"/>
        <v>8214359.9999999991</v>
      </c>
      <c r="O906" s="3">
        <v>0</v>
      </c>
      <c r="P906" s="3">
        <v>0</v>
      </c>
      <c r="Q906" s="3">
        <v>0</v>
      </c>
      <c r="R906" s="3">
        <f t="shared" si="244"/>
        <v>0</v>
      </c>
      <c r="S906" s="3">
        <v>0</v>
      </c>
      <c r="T906" s="13">
        <v>0</v>
      </c>
      <c r="U906" s="3">
        <v>0</v>
      </c>
      <c r="V906" s="5">
        <f t="shared" si="239"/>
        <v>6600</v>
      </c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  <c r="BO906" s="6"/>
      <c r="BP906" s="6"/>
      <c r="BQ906" s="6"/>
      <c r="BR906" s="6"/>
      <c r="BS906" s="6"/>
      <c r="BT906" s="6"/>
      <c r="BU906" s="6"/>
      <c r="BV906" s="6"/>
      <c r="BW906" s="6"/>
      <c r="BX906" s="6"/>
      <c r="BY906" s="6"/>
      <c r="BZ906" s="6"/>
      <c r="CA906" s="6"/>
      <c r="CB906" s="6"/>
      <c r="CC906" s="6"/>
      <c r="CD906" s="6"/>
      <c r="CE906" s="6"/>
      <c r="CF906" s="6"/>
      <c r="CG906" s="6"/>
      <c r="CH906" s="6"/>
      <c r="CI906" s="6"/>
      <c r="CJ906" s="6"/>
      <c r="CK906" s="6"/>
      <c r="CL906" s="6"/>
      <c r="CM906" s="6"/>
      <c r="CN906" s="6"/>
      <c r="CO906" s="6"/>
      <c r="CP906" s="6"/>
      <c r="CQ906" s="6"/>
      <c r="CR906" s="6"/>
      <c r="CS906" s="6"/>
      <c r="CT906" s="6"/>
      <c r="CU906" s="6"/>
      <c r="CV906" s="6"/>
      <c r="CW906" s="6"/>
      <c r="CX906" s="6"/>
      <c r="CY906" s="6"/>
      <c r="CZ906" s="6"/>
      <c r="DA906" s="6"/>
      <c r="DB906" s="6"/>
      <c r="DC906" s="6"/>
      <c r="DD906" s="6"/>
      <c r="DE906" s="6"/>
      <c r="DF906" s="6"/>
      <c r="DG906" s="6"/>
      <c r="DH906" s="6"/>
      <c r="DI906" s="6"/>
      <c r="DJ906" s="6"/>
      <c r="DK906" s="6"/>
      <c r="DL906" s="6"/>
      <c r="DM906" s="6"/>
      <c r="DN906" s="6"/>
      <c r="DO906" s="6"/>
      <c r="DP906" s="6"/>
      <c r="DQ906" s="6"/>
      <c r="DR906" s="6"/>
      <c r="DS906" s="6"/>
      <c r="DT906" s="6"/>
      <c r="DU906" s="6"/>
      <c r="DV906" s="6"/>
      <c r="DW906" s="6"/>
      <c r="DX906" s="6"/>
      <c r="DY906" s="6"/>
      <c r="DZ906" s="6"/>
      <c r="EA906" s="6"/>
      <c r="EB906" s="6"/>
      <c r="EC906" s="6"/>
      <c r="ED906" s="6"/>
      <c r="EE906" s="6"/>
      <c r="EF906" s="6"/>
      <c r="EG906" s="6"/>
      <c r="EH906" s="6"/>
      <c r="EI906" s="6"/>
      <c r="EJ906" s="6"/>
      <c r="EK906" s="6"/>
      <c r="EL906" s="6"/>
      <c r="EM906" s="6"/>
      <c r="EN906" s="6"/>
      <c r="EO906" s="6"/>
      <c r="EP906" s="6"/>
      <c r="EQ906" s="6"/>
      <c r="ER906" s="6"/>
      <c r="ES906" s="6"/>
      <c r="ET906" s="6"/>
      <c r="EU906" s="6"/>
      <c r="EV906" s="6"/>
      <c r="EW906" s="6"/>
      <c r="EX906" s="6"/>
      <c r="EY906" s="6"/>
      <c r="EZ906" s="6"/>
      <c r="FA906" s="6"/>
      <c r="FB906" s="6"/>
      <c r="FC906" s="6"/>
      <c r="FD906" s="6"/>
      <c r="FE906" s="6"/>
      <c r="FF906" s="6"/>
      <c r="FG906" s="6"/>
      <c r="FH906" s="6"/>
      <c r="FI906" s="6"/>
      <c r="FJ906" s="6"/>
      <c r="FK906" s="6"/>
      <c r="FL906" s="6"/>
      <c r="FM906" s="6"/>
      <c r="FN906" s="6"/>
      <c r="FO906" s="6"/>
      <c r="FP906" s="6"/>
      <c r="FQ906" s="6"/>
      <c r="FR906" s="6"/>
      <c r="FS906" s="6"/>
      <c r="FT906" s="6"/>
      <c r="FU906" s="6"/>
      <c r="FV906" s="6"/>
      <c r="FW906" s="6"/>
      <c r="FX906" s="6"/>
      <c r="FY906" s="6"/>
      <c r="FZ906" s="6"/>
      <c r="GA906" s="6"/>
      <c r="GB906" s="6"/>
      <c r="GC906" s="6"/>
      <c r="GD906" s="6"/>
      <c r="GE906" s="6"/>
      <c r="GF906" s="6"/>
      <c r="GG906" s="6"/>
      <c r="GH906" s="6"/>
      <c r="GI906" s="6"/>
      <c r="GJ906" s="6"/>
      <c r="GK906" s="6"/>
      <c r="GL906" s="6"/>
      <c r="GM906" s="6"/>
      <c r="GN906" s="6"/>
      <c r="GO906" s="6"/>
      <c r="GP906" s="6"/>
      <c r="GQ906" s="6"/>
      <c r="GR906" s="6"/>
      <c r="GS906" s="6"/>
      <c r="GT906" s="6"/>
      <c r="GU906" s="6"/>
      <c r="GV906" s="6"/>
      <c r="GW906" s="6"/>
      <c r="GX906" s="6"/>
      <c r="GY906" s="6"/>
      <c r="GZ906" s="6"/>
      <c r="HA906" s="6"/>
      <c r="HB906" s="6"/>
      <c r="HC906" s="6"/>
      <c r="HD906" s="6"/>
      <c r="HE906" s="6"/>
      <c r="HF906" s="6"/>
      <c r="HG906" s="6"/>
      <c r="HH906" s="6"/>
      <c r="HI906" s="6"/>
      <c r="HJ906" s="6"/>
      <c r="HK906" s="6"/>
      <c r="HL906" s="6"/>
      <c r="HM906" s="6"/>
      <c r="HN906" s="6"/>
      <c r="HO906" s="6"/>
      <c r="HP906" s="6"/>
      <c r="HQ906" s="6"/>
      <c r="HR906" s="6"/>
      <c r="HS906" s="6"/>
      <c r="HT906" s="6"/>
      <c r="HU906" s="6"/>
      <c r="HV906" s="6"/>
      <c r="HW906" s="6"/>
      <c r="HX906" s="6"/>
      <c r="HY906" s="6"/>
      <c r="HZ906" s="6"/>
      <c r="IA906" s="6"/>
      <c r="IB906" s="6"/>
      <c r="IC906" s="6"/>
      <c r="ID906" s="6"/>
      <c r="IE906" s="6"/>
      <c r="IF906" s="6"/>
      <c r="IG906" s="6"/>
      <c r="IH906" s="6"/>
      <c r="II906" s="6"/>
      <c r="IJ906" s="6"/>
      <c r="IK906" s="6"/>
      <c r="IL906" s="6"/>
      <c r="IM906" s="6"/>
      <c r="IN906" s="6"/>
      <c r="IO906" s="6"/>
      <c r="IP906" s="6"/>
      <c r="IQ906" s="6"/>
      <c r="IR906" s="6"/>
      <c r="IS906" s="6"/>
      <c r="IT906" s="6"/>
      <c r="IU906" s="6"/>
      <c r="IV906" s="6"/>
      <c r="IW906" s="6"/>
      <c r="IX906" s="6"/>
    </row>
    <row r="907" spans="1:258" s="31" customFormat="1" ht="24.6" customHeight="1" x14ac:dyDescent="0.25">
      <c r="A907" s="21" t="s">
        <v>1701</v>
      </c>
      <c r="B907" s="27" t="s">
        <v>790</v>
      </c>
      <c r="C907" s="2">
        <f t="shared" si="237"/>
        <v>39337508.219999999</v>
      </c>
      <c r="D907" s="3">
        <f t="shared" si="238"/>
        <v>17023500</v>
      </c>
      <c r="E907" s="3">
        <f>700*5674.5</f>
        <v>3972150</v>
      </c>
      <c r="F907" s="3">
        <f>1300*5674.5</f>
        <v>7376850</v>
      </c>
      <c r="G907" s="3">
        <f>300*5674.5</f>
        <v>1702350</v>
      </c>
      <c r="H907" s="3">
        <f>400*5674.5</f>
        <v>2269800</v>
      </c>
      <c r="I907" s="3">
        <f>300*5674.5</f>
        <v>1702350</v>
      </c>
      <c r="J907" s="3">
        <v>0</v>
      </c>
      <c r="K907" s="4">
        <v>0</v>
      </c>
      <c r="L907" s="3">
        <v>0</v>
      </c>
      <c r="M907" s="13">
        <v>1409.5</v>
      </c>
      <c r="N907" s="3">
        <f t="shared" si="243"/>
        <v>9302700</v>
      </c>
      <c r="O907" s="3">
        <v>0</v>
      </c>
      <c r="P907" s="3">
        <v>0</v>
      </c>
      <c r="Q907" s="3">
        <v>3963.5</v>
      </c>
      <c r="R907" s="3">
        <f t="shared" si="244"/>
        <v>12683200</v>
      </c>
      <c r="S907" s="3">
        <v>0</v>
      </c>
      <c r="T907" s="13">
        <v>0</v>
      </c>
      <c r="U907" s="3">
        <v>328108.21999999997</v>
      </c>
      <c r="V907" s="5">
        <f t="shared" si="239"/>
        <v>6600</v>
      </c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  <c r="BO907" s="6"/>
      <c r="BP907" s="6"/>
      <c r="BQ907" s="6"/>
      <c r="BR907" s="6"/>
      <c r="BS907" s="6"/>
      <c r="BT907" s="6"/>
      <c r="BU907" s="6"/>
      <c r="BV907" s="6"/>
      <c r="BW907" s="6"/>
      <c r="BX907" s="6"/>
      <c r="BY907" s="6"/>
      <c r="BZ907" s="6"/>
      <c r="CA907" s="6"/>
      <c r="CB907" s="6"/>
      <c r="CC907" s="6"/>
      <c r="CD907" s="6"/>
      <c r="CE907" s="6"/>
      <c r="CF907" s="6"/>
      <c r="CG907" s="6"/>
      <c r="CH907" s="6"/>
      <c r="CI907" s="6"/>
      <c r="CJ907" s="6"/>
      <c r="CK907" s="6"/>
      <c r="CL907" s="6"/>
      <c r="CM907" s="6"/>
      <c r="CN907" s="6"/>
      <c r="CO907" s="6"/>
      <c r="CP907" s="6"/>
      <c r="CQ907" s="6"/>
      <c r="CR907" s="6"/>
      <c r="CS907" s="6"/>
      <c r="CT907" s="6"/>
      <c r="CU907" s="6"/>
      <c r="CV907" s="6"/>
      <c r="CW907" s="6"/>
      <c r="CX907" s="6"/>
      <c r="CY907" s="6"/>
      <c r="CZ907" s="6"/>
      <c r="DA907" s="6"/>
      <c r="DB907" s="6"/>
      <c r="DC907" s="6"/>
      <c r="DD907" s="6"/>
      <c r="DE907" s="6"/>
      <c r="DF907" s="6"/>
      <c r="DG907" s="6"/>
      <c r="DH907" s="6"/>
      <c r="DI907" s="6"/>
      <c r="DJ907" s="6"/>
      <c r="DK907" s="6"/>
      <c r="DL907" s="6"/>
      <c r="DM907" s="6"/>
      <c r="DN907" s="6"/>
      <c r="DO907" s="6"/>
      <c r="DP907" s="6"/>
      <c r="DQ907" s="6"/>
      <c r="DR907" s="6"/>
      <c r="DS907" s="6"/>
      <c r="DT907" s="6"/>
      <c r="DU907" s="6"/>
      <c r="DV907" s="6"/>
      <c r="DW907" s="6"/>
      <c r="DX907" s="6"/>
      <c r="DY907" s="6"/>
      <c r="DZ907" s="6"/>
      <c r="EA907" s="6"/>
      <c r="EB907" s="6"/>
      <c r="EC907" s="6"/>
      <c r="ED907" s="6"/>
      <c r="EE907" s="6"/>
      <c r="EF907" s="6"/>
      <c r="EG907" s="6"/>
      <c r="EH907" s="6"/>
      <c r="EI907" s="6"/>
      <c r="EJ907" s="6"/>
      <c r="EK907" s="6"/>
      <c r="EL907" s="6"/>
      <c r="EM907" s="6"/>
      <c r="EN907" s="6"/>
      <c r="EO907" s="6"/>
      <c r="EP907" s="6"/>
      <c r="EQ907" s="6"/>
      <c r="ER907" s="6"/>
      <c r="ES907" s="6"/>
      <c r="ET907" s="6"/>
      <c r="EU907" s="6"/>
      <c r="EV907" s="6"/>
      <c r="EW907" s="6"/>
      <c r="EX907" s="6"/>
      <c r="EY907" s="6"/>
      <c r="EZ907" s="6"/>
      <c r="FA907" s="6"/>
      <c r="FB907" s="6"/>
      <c r="FC907" s="6"/>
      <c r="FD907" s="6"/>
      <c r="FE907" s="6"/>
      <c r="FF907" s="6"/>
      <c r="FG907" s="6"/>
      <c r="FH907" s="6"/>
      <c r="FI907" s="6"/>
      <c r="FJ907" s="6"/>
      <c r="FK907" s="6"/>
      <c r="FL907" s="6"/>
      <c r="FM907" s="6"/>
      <c r="FN907" s="6"/>
      <c r="FO907" s="6"/>
      <c r="FP907" s="6"/>
      <c r="FQ907" s="6"/>
      <c r="FR907" s="6"/>
      <c r="FS907" s="6"/>
      <c r="FT907" s="6"/>
      <c r="FU907" s="6"/>
      <c r="FV907" s="6"/>
      <c r="FW907" s="6"/>
      <c r="FX907" s="6"/>
      <c r="FY907" s="6"/>
      <c r="FZ907" s="6"/>
      <c r="GA907" s="6"/>
      <c r="GB907" s="6"/>
      <c r="GC907" s="6"/>
      <c r="GD907" s="6"/>
      <c r="GE907" s="6"/>
      <c r="GF907" s="6"/>
      <c r="GG907" s="6"/>
      <c r="GH907" s="6"/>
      <c r="GI907" s="6"/>
      <c r="GJ907" s="6"/>
      <c r="GK907" s="6"/>
      <c r="GL907" s="6"/>
      <c r="GM907" s="6"/>
      <c r="GN907" s="6"/>
      <c r="GO907" s="6"/>
      <c r="GP907" s="6"/>
      <c r="GQ907" s="6"/>
      <c r="GR907" s="6"/>
      <c r="GS907" s="6"/>
      <c r="GT907" s="6"/>
      <c r="GU907" s="6"/>
      <c r="GV907" s="6"/>
      <c r="GW907" s="6"/>
      <c r="GX907" s="6"/>
      <c r="GY907" s="6"/>
      <c r="GZ907" s="6"/>
      <c r="HA907" s="6"/>
      <c r="HB907" s="6"/>
      <c r="HC907" s="6"/>
      <c r="HD907" s="6"/>
      <c r="HE907" s="6"/>
      <c r="HF907" s="6"/>
      <c r="HG907" s="6"/>
      <c r="HH907" s="6"/>
      <c r="HI907" s="6"/>
      <c r="HJ907" s="6"/>
      <c r="HK907" s="6"/>
      <c r="HL907" s="6"/>
      <c r="HM907" s="6"/>
      <c r="HN907" s="6"/>
      <c r="HO907" s="6"/>
      <c r="HP907" s="6"/>
      <c r="HQ907" s="6"/>
      <c r="HR907" s="6"/>
      <c r="HS907" s="6"/>
      <c r="HT907" s="6"/>
      <c r="HU907" s="6"/>
      <c r="HV907" s="6"/>
      <c r="HW907" s="6"/>
      <c r="HX907" s="6"/>
      <c r="HY907" s="6"/>
      <c r="HZ907" s="6"/>
      <c r="IA907" s="6"/>
      <c r="IB907" s="6"/>
      <c r="IC907" s="6"/>
      <c r="ID907" s="6"/>
      <c r="IE907" s="6"/>
      <c r="IF907" s="6"/>
      <c r="IG907" s="6"/>
      <c r="IH907" s="6"/>
      <c r="II907" s="6"/>
      <c r="IJ907" s="6"/>
      <c r="IK907" s="6"/>
      <c r="IL907" s="6"/>
      <c r="IM907" s="6"/>
      <c r="IN907" s="6"/>
      <c r="IO907" s="6"/>
      <c r="IP907" s="6"/>
      <c r="IQ907" s="6"/>
      <c r="IR907" s="6"/>
      <c r="IS907" s="6"/>
      <c r="IT907" s="6"/>
      <c r="IU907" s="6"/>
      <c r="IV907" s="6"/>
      <c r="IW907" s="6"/>
      <c r="IX907" s="6"/>
    </row>
    <row r="908" spans="1:258" ht="25.15" customHeight="1" x14ac:dyDescent="0.25">
      <c r="A908" s="21" t="s">
        <v>1702</v>
      </c>
      <c r="B908" s="24" t="s">
        <v>442</v>
      </c>
      <c r="C908" s="2">
        <f t="shared" si="237"/>
        <v>2521200</v>
      </c>
      <c r="D908" s="3">
        <f t="shared" si="238"/>
        <v>0</v>
      </c>
      <c r="E908" s="3">
        <v>0</v>
      </c>
      <c r="F908" s="3">
        <v>0</v>
      </c>
      <c r="G908" s="3">
        <v>0</v>
      </c>
      <c r="H908" s="3">
        <v>0</v>
      </c>
      <c r="I908" s="3">
        <v>0</v>
      </c>
      <c r="J908" s="3">
        <v>0</v>
      </c>
      <c r="K908" s="4">
        <v>0</v>
      </c>
      <c r="L908" s="3">
        <v>0</v>
      </c>
      <c r="M908" s="3">
        <v>382</v>
      </c>
      <c r="N908" s="3">
        <f t="shared" si="243"/>
        <v>2521200</v>
      </c>
      <c r="O908" s="3">
        <v>0</v>
      </c>
      <c r="P908" s="3">
        <v>0</v>
      </c>
      <c r="Q908" s="3">
        <v>0</v>
      </c>
      <c r="R908" s="3">
        <f>Q908*3000</f>
        <v>0</v>
      </c>
      <c r="S908" s="3">
        <v>0</v>
      </c>
      <c r="T908" s="13">
        <v>0</v>
      </c>
      <c r="U908" s="3">
        <v>0</v>
      </c>
      <c r="V908" s="5">
        <f t="shared" si="239"/>
        <v>6600</v>
      </c>
    </row>
    <row r="909" spans="1:258" ht="25.15" customHeight="1" x14ac:dyDescent="0.25">
      <c r="A909" s="21" t="s">
        <v>1977</v>
      </c>
      <c r="B909" s="24" t="s">
        <v>664</v>
      </c>
      <c r="C909" s="2">
        <f t="shared" si="237"/>
        <v>1914000</v>
      </c>
      <c r="D909" s="3">
        <f t="shared" si="238"/>
        <v>0</v>
      </c>
      <c r="E909" s="3">
        <v>0</v>
      </c>
      <c r="F909" s="3">
        <v>0</v>
      </c>
      <c r="G909" s="3">
        <v>0</v>
      </c>
      <c r="H909" s="3">
        <v>0</v>
      </c>
      <c r="I909" s="3">
        <v>0</v>
      </c>
      <c r="J909" s="3">
        <v>0</v>
      </c>
      <c r="K909" s="4">
        <v>0</v>
      </c>
      <c r="L909" s="3">
        <v>0</v>
      </c>
      <c r="M909" s="3">
        <v>290</v>
      </c>
      <c r="N909" s="3">
        <f t="shared" si="243"/>
        <v>1914000</v>
      </c>
      <c r="O909" s="3">
        <v>0</v>
      </c>
      <c r="P909" s="3">
        <v>0</v>
      </c>
      <c r="Q909" s="3">
        <v>0</v>
      </c>
      <c r="R909" s="3">
        <f t="shared" ref="R909:R920" si="245">Q909*3200</f>
        <v>0</v>
      </c>
      <c r="S909" s="3">
        <v>0</v>
      </c>
      <c r="T909" s="13">
        <v>0</v>
      </c>
      <c r="U909" s="3">
        <v>0</v>
      </c>
      <c r="V909" s="5">
        <f t="shared" si="239"/>
        <v>6600</v>
      </c>
    </row>
    <row r="910" spans="1:258" ht="25.15" customHeight="1" x14ac:dyDescent="0.25">
      <c r="A910" s="21" t="s">
        <v>1703</v>
      </c>
      <c r="B910" s="24" t="s">
        <v>665</v>
      </c>
      <c r="C910" s="2">
        <f t="shared" si="237"/>
        <v>1933800</v>
      </c>
      <c r="D910" s="3">
        <f t="shared" si="238"/>
        <v>0</v>
      </c>
      <c r="E910" s="3">
        <v>0</v>
      </c>
      <c r="F910" s="3">
        <v>0</v>
      </c>
      <c r="G910" s="3">
        <v>0</v>
      </c>
      <c r="H910" s="3">
        <v>0</v>
      </c>
      <c r="I910" s="3">
        <v>0</v>
      </c>
      <c r="J910" s="3">
        <v>0</v>
      </c>
      <c r="K910" s="4">
        <v>0</v>
      </c>
      <c r="L910" s="3">
        <v>0</v>
      </c>
      <c r="M910" s="3">
        <v>293</v>
      </c>
      <c r="N910" s="3">
        <f t="shared" si="243"/>
        <v>1933800</v>
      </c>
      <c r="O910" s="3">
        <v>0</v>
      </c>
      <c r="P910" s="3">
        <v>0</v>
      </c>
      <c r="Q910" s="3">
        <v>0</v>
      </c>
      <c r="R910" s="3">
        <f t="shared" si="245"/>
        <v>0</v>
      </c>
      <c r="S910" s="3">
        <v>0</v>
      </c>
      <c r="T910" s="13">
        <v>0</v>
      </c>
      <c r="U910" s="3">
        <v>0</v>
      </c>
      <c r="V910" s="5">
        <f t="shared" si="239"/>
        <v>6600</v>
      </c>
      <c r="W910" s="32"/>
      <c r="X910" s="32"/>
      <c r="Y910" s="32"/>
      <c r="Z910" s="32"/>
      <c r="AA910" s="32"/>
      <c r="AB910" s="32"/>
      <c r="AC910" s="32"/>
      <c r="AD910" s="32"/>
      <c r="AE910" s="32"/>
      <c r="AF910" s="32"/>
      <c r="AG910" s="32"/>
      <c r="AH910" s="32"/>
      <c r="AI910" s="32"/>
      <c r="AJ910" s="32"/>
      <c r="AK910" s="32"/>
      <c r="AL910" s="32"/>
      <c r="AM910" s="32"/>
      <c r="AN910" s="32"/>
      <c r="AO910" s="32"/>
      <c r="AP910" s="32"/>
      <c r="AQ910" s="32"/>
      <c r="AR910" s="32"/>
      <c r="AS910" s="32"/>
      <c r="AT910" s="32"/>
      <c r="AU910" s="32"/>
      <c r="AV910" s="32"/>
      <c r="AW910" s="32"/>
      <c r="AX910" s="32"/>
      <c r="AY910" s="32"/>
      <c r="AZ910" s="32"/>
      <c r="BA910" s="32"/>
      <c r="BB910" s="32"/>
      <c r="BC910" s="32"/>
      <c r="BD910" s="32"/>
      <c r="BE910" s="32"/>
      <c r="BF910" s="32"/>
      <c r="BG910" s="32"/>
      <c r="BH910" s="32"/>
      <c r="BI910" s="32"/>
      <c r="BJ910" s="32"/>
      <c r="BK910" s="32"/>
      <c r="BL910" s="32"/>
      <c r="BM910" s="32"/>
      <c r="BN910" s="32"/>
      <c r="BO910" s="32"/>
      <c r="BP910" s="32"/>
      <c r="BQ910" s="32"/>
      <c r="BR910" s="32"/>
      <c r="BS910" s="32"/>
      <c r="BT910" s="32"/>
      <c r="BU910" s="32"/>
      <c r="BV910" s="32"/>
      <c r="BW910" s="32"/>
      <c r="BX910" s="32"/>
      <c r="BY910" s="32"/>
      <c r="BZ910" s="32"/>
      <c r="CA910" s="32"/>
      <c r="CB910" s="32"/>
      <c r="CC910" s="32"/>
      <c r="CD910" s="32"/>
      <c r="CE910" s="32"/>
      <c r="CF910" s="32"/>
      <c r="CG910" s="32"/>
      <c r="CH910" s="32"/>
      <c r="CI910" s="32"/>
      <c r="CJ910" s="32"/>
      <c r="CK910" s="32"/>
      <c r="CL910" s="32"/>
      <c r="CM910" s="32"/>
      <c r="CN910" s="32"/>
      <c r="CO910" s="32"/>
      <c r="CP910" s="32"/>
      <c r="CQ910" s="32"/>
      <c r="CR910" s="32"/>
      <c r="CS910" s="32"/>
      <c r="CT910" s="32"/>
      <c r="CU910" s="32"/>
      <c r="CV910" s="32"/>
      <c r="CW910" s="32"/>
      <c r="CX910" s="32"/>
      <c r="CY910" s="32"/>
      <c r="CZ910" s="32"/>
      <c r="DA910" s="32"/>
      <c r="DB910" s="32"/>
      <c r="DC910" s="32"/>
      <c r="DD910" s="32"/>
      <c r="DE910" s="32"/>
      <c r="DF910" s="32"/>
      <c r="DG910" s="32"/>
      <c r="DH910" s="32"/>
      <c r="DI910" s="32"/>
      <c r="DJ910" s="32"/>
      <c r="DK910" s="32"/>
      <c r="DL910" s="32"/>
      <c r="DM910" s="32"/>
      <c r="DN910" s="32"/>
      <c r="DO910" s="32"/>
      <c r="DP910" s="32"/>
      <c r="DQ910" s="32"/>
      <c r="DR910" s="32"/>
      <c r="DS910" s="32"/>
      <c r="DT910" s="32"/>
      <c r="DU910" s="32"/>
      <c r="DV910" s="32"/>
      <c r="DW910" s="32"/>
      <c r="DX910" s="32"/>
      <c r="DY910" s="32"/>
      <c r="DZ910" s="32"/>
      <c r="EA910" s="32"/>
      <c r="EB910" s="32"/>
      <c r="EC910" s="32"/>
      <c r="ED910" s="32"/>
      <c r="EE910" s="32"/>
      <c r="EF910" s="32"/>
      <c r="EG910" s="32"/>
      <c r="EH910" s="32"/>
      <c r="EI910" s="32"/>
      <c r="EJ910" s="32"/>
      <c r="EK910" s="32"/>
      <c r="EL910" s="32"/>
      <c r="EM910" s="32"/>
      <c r="EN910" s="32"/>
      <c r="EO910" s="32"/>
      <c r="EP910" s="32"/>
      <c r="EQ910" s="32"/>
      <c r="ER910" s="32"/>
      <c r="ES910" s="32"/>
      <c r="ET910" s="32"/>
      <c r="EU910" s="32"/>
      <c r="EV910" s="32"/>
      <c r="EW910" s="32"/>
      <c r="EX910" s="32"/>
      <c r="EY910" s="32"/>
      <c r="EZ910" s="32"/>
      <c r="FA910" s="32"/>
      <c r="FB910" s="32"/>
      <c r="FC910" s="32"/>
      <c r="FD910" s="32"/>
      <c r="FE910" s="32"/>
      <c r="FF910" s="32"/>
      <c r="FG910" s="32"/>
      <c r="FH910" s="32"/>
      <c r="FI910" s="32"/>
      <c r="FJ910" s="32"/>
      <c r="FK910" s="32"/>
      <c r="FL910" s="32"/>
      <c r="FM910" s="32"/>
      <c r="FN910" s="32"/>
      <c r="FO910" s="32"/>
      <c r="FP910" s="32"/>
      <c r="FQ910" s="32"/>
      <c r="FR910" s="32"/>
      <c r="FS910" s="32"/>
      <c r="FT910" s="32"/>
      <c r="FU910" s="32"/>
      <c r="FV910" s="32"/>
      <c r="FW910" s="32"/>
      <c r="FX910" s="32"/>
      <c r="FY910" s="32"/>
      <c r="FZ910" s="32"/>
      <c r="GA910" s="32"/>
      <c r="GB910" s="32"/>
      <c r="GC910" s="32"/>
      <c r="GD910" s="32"/>
      <c r="GE910" s="32"/>
      <c r="GF910" s="32"/>
      <c r="GG910" s="32"/>
      <c r="GH910" s="32"/>
      <c r="GI910" s="32"/>
      <c r="GJ910" s="32"/>
      <c r="GK910" s="32"/>
      <c r="GL910" s="32"/>
      <c r="GM910" s="32"/>
      <c r="GN910" s="32"/>
      <c r="GO910" s="32"/>
      <c r="GP910" s="32"/>
      <c r="GQ910" s="32"/>
      <c r="GR910" s="32"/>
      <c r="GS910" s="32"/>
      <c r="GT910" s="32"/>
      <c r="GU910" s="32"/>
      <c r="GV910" s="32"/>
      <c r="GW910" s="32"/>
      <c r="GX910" s="32"/>
      <c r="GY910" s="32"/>
      <c r="GZ910" s="32"/>
      <c r="HA910" s="32"/>
      <c r="HB910" s="32"/>
      <c r="HC910" s="32"/>
      <c r="HD910" s="32"/>
      <c r="HE910" s="32"/>
      <c r="HF910" s="32"/>
      <c r="HG910" s="32"/>
      <c r="HH910" s="32"/>
      <c r="HI910" s="32"/>
      <c r="HJ910" s="32"/>
      <c r="HK910" s="32"/>
      <c r="HL910" s="32"/>
      <c r="HM910" s="32"/>
      <c r="HN910" s="32"/>
      <c r="HO910" s="32"/>
      <c r="HP910" s="32"/>
      <c r="HQ910" s="32"/>
      <c r="HR910" s="32"/>
      <c r="HS910" s="32"/>
      <c r="HT910" s="32"/>
      <c r="HU910" s="32"/>
      <c r="HV910" s="32"/>
      <c r="HW910" s="32"/>
      <c r="HX910" s="32"/>
      <c r="HY910" s="32"/>
      <c r="HZ910" s="32"/>
      <c r="IA910" s="32"/>
      <c r="IB910" s="32"/>
      <c r="IC910" s="32"/>
      <c r="ID910" s="32"/>
      <c r="IE910" s="32"/>
      <c r="IF910" s="32"/>
      <c r="IG910" s="32"/>
      <c r="IH910" s="32"/>
      <c r="II910" s="32"/>
      <c r="IJ910" s="32"/>
      <c r="IK910" s="32"/>
      <c r="IL910" s="32"/>
      <c r="IM910" s="32"/>
      <c r="IN910" s="32"/>
      <c r="IO910" s="32"/>
      <c r="IP910" s="32"/>
      <c r="IQ910" s="32"/>
      <c r="IR910" s="32"/>
      <c r="IS910" s="32"/>
      <c r="IT910" s="32"/>
      <c r="IU910" s="32"/>
      <c r="IV910" s="32"/>
      <c r="IW910" s="32"/>
      <c r="IX910" s="32"/>
    </row>
    <row r="911" spans="1:258" s="32" customFormat="1" ht="25.15" customHeight="1" x14ac:dyDescent="0.25">
      <c r="A911" s="21" t="s">
        <v>1704</v>
      </c>
      <c r="B911" s="24" t="s">
        <v>666</v>
      </c>
      <c r="C911" s="2">
        <f t="shared" si="237"/>
        <v>1933800</v>
      </c>
      <c r="D911" s="3">
        <f t="shared" si="238"/>
        <v>0</v>
      </c>
      <c r="E911" s="3">
        <v>0</v>
      </c>
      <c r="F911" s="3">
        <v>0</v>
      </c>
      <c r="G911" s="3">
        <v>0</v>
      </c>
      <c r="H911" s="3">
        <v>0</v>
      </c>
      <c r="I911" s="3">
        <v>0</v>
      </c>
      <c r="J911" s="3">
        <v>0</v>
      </c>
      <c r="K911" s="4">
        <v>0</v>
      </c>
      <c r="L911" s="3">
        <v>0</v>
      </c>
      <c r="M911" s="3">
        <v>293</v>
      </c>
      <c r="N911" s="3">
        <f t="shared" si="243"/>
        <v>1933800</v>
      </c>
      <c r="O911" s="3">
        <v>0</v>
      </c>
      <c r="P911" s="3">
        <v>0</v>
      </c>
      <c r="Q911" s="3">
        <v>0</v>
      </c>
      <c r="R911" s="3">
        <f t="shared" si="245"/>
        <v>0</v>
      </c>
      <c r="S911" s="3">
        <v>0</v>
      </c>
      <c r="T911" s="13">
        <v>0</v>
      </c>
      <c r="U911" s="3">
        <v>0</v>
      </c>
      <c r="V911" s="5">
        <f t="shared" si="239"/>
        <v>6600</v>
      </c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  <c r="BO911" s="6"/>
      <c r="BP911" s="6"/>
      <c r="BQ911" s="6"/>
      <c r="BR911" s="6"/>
      <c r="BS911" s="6"/>
      <c r="BT911" s="6"/>
      <c r="BU911" s="6"/>
      <c r="BV911" s="6"/>
      <c r="BW911" s="6"/>
      <c r="BX911" s="6"/>
      <c r="BY911" s="6"/>
      <c r="BZ911" s="6"/>
      <c r="CA911" s="6"/>
      <c r="CB911" s="6"/>
      <c r="CC911" s="6"/>
      <c r="CD911" s="6"/>
      <c r="CE911" s="6"/>
      <c r="CF911" s="6"/>
      <c r="CG911" s="6"/>
      <c r="CH911" s="6"/>
      <c r="CI911" s="6"/>
      <c r="CJ911" s="6"/>
      <c r="CK911" s="6"/>
      <c r="CL911" s="6"/>
      <c r="CM911" s="6"/>
      <c r="CN911" s="6"/>
      <c r="CO911" s="6"/>
      <c r="CP911" s="6"/>
      <c r="CQ911" s="6"/>
      <c r="CR911" s="6"/>
      <c r="CS911" s="6"/>
      <c r="CT911" s="6"/>
      <c r="CU911" s="6"/>
      <c r="CV911" s="6"/>
      <c r="CW911" s="6"/>
      <c r="CX911" s="6"/>
      <c r="CY911" s="6"/>
      <c r="CZ911" s="6"/>
      <c r="DA911" s="6"/>
      <c r="DB911" s="6"/>
      <c r="DC911" s="6"/>
      <c r="DD911" s="6"/>
      <c r="DE911" s="6"/>
      <c r="DF911" s="6"/>
      <c r="DG911" s="6"/>
      <c r="DH911" s="6"/>
      <c r="DI911" s="6"/>
      <c r="DJ911" s="6"/>
      <c r="DK911" s="6"/>
      <c r="DL911" s="6"/>
      <c r="DM911" s="6"/>
      <c r="DN911" s="6"/>
      <c r="DO911" s="6"/>
      <c r="DP911" s="6"/>
      <c r="DQ911" s="6"/>
      <c r="DR911" s="6"/>
      <c r="DS911" s="6"/>
      <c r="DT911" s="6"/>
      <c r="DU911" s="6"/>
      <c r="DV911" s="6"/>
      <c r="DW911" s="6"/>
      <c r="DX911" s="6"/>
      <c r="DY911" s="6"/>
      <c r="DZ911" s="6"/>
      <c r="EA911" s="6"/>
      <c r="EB911" s="6"/>
      <c r="EC911" s="6"/>
      <c r="ED911" s="6"/>
      <c r="EE911" s="6"/>
      <c r="EF911" s="6"/>
      <c r="EG911" s="6"/>
      <c r="EH911" s="6"/>
      <c r="EI911" s="6"/>
      <c r="EJ911" s="6"/>
      <c r="EK911" s="6"/>
      <c r="EL911" s="6"/>
      <c r="EM911" s="6"/>
      <c r="EN911" s="6"/>
      <c r="EO911" s="6"/>
      <c r="EP911" s="6"/>
      <c r="EQ911" s="6"/>
      <c r="ER911" s="6"/>
      <c r="ES911" s="6"/>
      <c r="ET911" s="6"/>
      <c r="EU911" s="6"/>
      <c r="EV911" s="6"/>
      <c r="EW911" s="6"/>
      <c r="EX911" s="6"/>
      <c r="EY911" s="6"/>
      <c r="EZ911" s="6"/>
      <c r="FA911" s="6"/>
      <c r="FB911" s="6"/>
      <c r="FC911" s="6"/>
      <c r="FD911" s="6"/>
      <c r="FE911" s="6"/>
      <c r="FF911" s="6"/>
      <c r="FG911" s="6"/>
      <c r="FH911" s="6"/>
      <c r="FI911" s="6"/>
      <c r="FJ911" s="6"/>
      <c r="FK911" s="6"/>
      <c r="FL911" s="6"/>
      <c r="FM911" s="6"/>
      <c r="FN911" s="6"/>
      <c r="FO911" s="6"/>
      <c r="FP911" s="6"/>
      <c r="FQ911" s="6"/>
      <c r="FR911" s="6"/>
      <c r="FS911" s="6"/>
      <c r="FT911" s="6"/>
      <c r="FU911" s="6"/>
      <c r="FV911" s="6"/>
      <c r="FW911" s="6"/>
      <c r="FX911" s="6"/>
      <c r="FY911" s="6"/>
      <c r="FZ911" s="6"/>
      <c r="GA911" s="6"/>
      <c r="GB911" s="6"/>
      <c r="GC911" s="6"/>
      <c r="GD911" s="6"/>
      <c r="GE911" s="6"/>
      <c r="GF911" s="6"/>
      <c r="GG911" s="6"/>
      <c r="GH911" s="6"/>
      <c r="GI911" s="6"/>
      <c r="GJ911" s="6"/>
      <c r="GK911" s="6"/>
      <c r="GL911" s="6"/>
      <c r="GM911" s="6"/>
      <c r="GN911" s="6"/>
      <c r="GO911" s="6"/>
      <c r="GP911" s="6"/>
      <c r="GQ911" s="6"/>
      <c r="GR911" s="6"/>
      <c r="GS911" s="6"/>
      <c r="GT911" s="6"/>
      <c r="GU911" s="6"/>
      <c r="GV911" s="6"/>
      <c r="GW911" s="6"/>
      <c r="GX911" s="6"/>
      <c r="GY911" s="6"/>
      <c r="GZ911" s="6"/>
      <c r="HA911" s="6"/>
      <c r="HB911" s="6"/>
      <c r="HC911" s="6"/>
      <c r="HD911" s="6"/>
      <c r="HE911" s="6"/>
      <c r="HF911" s="6"/>
      <c r="HG911" s="6"/>
      <c r="HH911" s="6"/>
      <c r="HI911" s="6"/>
      <c r="HJ911" s="6"/>
      <c r="HK911" s="6"/>
      <c r="HL911" s="6"/>
      <c r="HM911" s="6"/>
      <c r="HN911" s="6"/>
      <c r="HO911" s="6"/>
      <c r="HP911" s="6"/>
      <c r="HQ911" s="6"/>
      <c r="HR911" s="6"/>
      <c r="HS911" s="6"/>
      <c r="HT911" s="6"/>
      <c r="HU911" s="6"/>
      <c r="HV911" s="6"/>
      <c r="HW911" s="6"/>
      <c r="HX911" s="6"/>
      <c r="HY911" s="6"/>
      <c r="HZ911" s="6"/>
      <c r="IA911" s="6"/>
      <c r="IB911" s="6"/>
      <c r="IC911" s="6"/>
      <c r="ID911" s="6"/>
      <c r="IE911" s="6"/>
      <c r="IF911" s="6"/>
      <c r="IG911" s="6"/>
      <c r="IH911" s="6"/>
      <c r="II911" s="6"/>
      <c r="IJ911" s="6"/>
      <c r="IK911" s="6"/>
      <c r="IL911" s="6"/>
      <c r="IM911" s="6"/>
      <c r="IN911" s="6"/>
      <c r="IO911" s="6"/>
      <c r="IP911" s="6"/>
      <c r="IQ911" s="6"/>
      <c r="IR911" s="6"/>
      <c r="IS911" s="6"/>
      <c r="IT911" s="6"/>
      <c r="IU911" s="6"/>
      <c r="IV911" s="6"/>
      <c r="IW911" s="6"/>
      <c r="IX911" s="6"/>
    </row>
    <row r="912" spans="1:258" ht="25.15" customHeight="1" x14ac:dyDescent="0.25">
      <c r="A912" s="21" t="s">
        <v>1705</v>
      </c>
      <c r="B912" s="24" t="s">
        <v>667</v>
      </c>
      <c r="C912" s="2">
        <f t="shared" si="237"/>
        <v>1940400</v>
      </c>
      <c r="D912" s="3">
        <f t="shared" si="238"/>
        <v>0</v>
      </c>
      <c r="E912" s="3">
        <v>0</v>
      </c>
      <c r="F912" s="3">
        <v>0</v>
      </c>
      <c r="G912" s="3">
        <v>0</v>
      </c>
      <c r="H912" s="3">
        <v>0</v>
      </c>
      <c r="I912" s="3">
        <v>0</v>
      </c>
      <c r="J912" s="3">
        <v>0</v>
      </c>
      <c r="K912" s="4">
        <v>0</v>
      </c>
      <c r="L912" s="3">
        <v>0</v>
      </c>
      <c r="M912" s="3">
        <v>294</v>
      </c>
      <c r="N912" s="3">
        <f t="shared" si="243"/>
        <v>1940400</v>
      </c>
      <c r="O912" s="3">
        <v>0</v>
      </c>
      <c r="P912" s="3">
        <v>0</v>
      </c>
      <c r="Q912" s="3">
        <v>0</v>
      </c>
      <c r="R912" s="3">
        <f t="shared" si="245"/>
        <v>0</v>
      </c>
      <c r="S912" s="3">
        <v>0</v>
      </c>
      <c r="T912" s="13">
        <v>0</v>
      </c>
      <c r="U912" s="3">
        <v>0</v>
      </c>
      <c r="V912" s="5">
        <f t="shared" si="239"/>
        <v>6600</v>
      </c>
    </row>
    <row r="913" spans="1:258" ht="25.15" customHeight="1" x14ac:dyDescent="0.25">
      <c r="A913" s="21" t="s">
        <v>1706</v>
      </c>
      <c r="B913" s="24" t="s">
        <v>668</v>
      </c>
      <c r="C913" s="2">
        <f t="shared" si="237"/>
        <v>1920600</v>
      </c>
      <c r="D913" s="3">
        <f t="shared" si="238"/>
        <v>0</v>
      </c>
      <c r="E913" s="3">
        <v>0</v>
      </c>
      <c r="F913" s="3">
        <v>0</v>
      </c>
      <c r="G913" s="3">
        <v>0</v>
      </c>
      <c r="H913" s="3">
        <v>0</v>
      </c>
      <c r="I913" s="3">
        <v>0</v>
      </c>
      <c r="J913" s="3">
        <v>0</v>
      </c>
      <c r="K913" s="4">
        <v>0</v>
      </c>
      <c r="L913" s="3">
        <v>0</v>
      </c>
      <c r="M913" s="3">
        <v>291</v>
      </c>
      <c r="N913" s="3">
        <f t="shared" si="243"/>
        <v>1920600</v>
      </c>
      <c r="O913" s="3">
        <v>0</v>
      </c>
      <c r="P913" s="3">
        <v>0</v>
      </c>
      <c r="Q913" s="3">
        <v>0</v>
      </c>
      <c r="R913" s="3">
        <f t="shared" si="245"/>
        <v>0</v>
      </c>
      <c r="S913" s="3">
        <v>0</v>
      </c>
      <c r="T913" s="13">
        <v>0</v>
      </c>
      <c r="U913" s="3">
        <v>0</v>
      </c>
      <c r="V913" s="5">
        <f t="shared" si="239"/>
        <v>6600</v>
      </c>
      <c r="W913" s="31"/>
      <c r="X913" s="31"/>
      <c r="Y913" s="31"/>
      <c r="Z913" s="31"/>
      <c r="AA913" s="31"/>
      <c r="AB913" s="31"/>
      <c r="AC913" s="31"/>
      <c r="AD913" s="31"/>
      <c r="AE913" s="31"/>
      <c r="AF913" s="31"/>
      <c r="AG913" s="31"/>
      <c r="AH913" s="31"/>
      <c r="AI913" s="31"/>
      <c r="AJ913" s="31"/>
      <c r="AK913" s="31"/>
      <c r="AL913" s="31"/>
      <c r="AM913" s="31"/>
      <c r="AN913" s="31"/>
      <c r="AO913" s="31"/>
      <c r="AP913" s="31"/>
      <c r="AQ913" s="31"/>
      <c r="AR913" s="31"/>
      <c r="AS913" s="31"/>
      <c r="AT913" s="31"/>
      <c r="AU913" s="31"/>
      <c r="AV913" s="31"/>
      <c r="AW913" s="31"/>
      <c r="AX913" s="31"/>
      <c r="AY913" s="31"/>
      <c r="AZ913" s="31"/>
      <c r="BA913" s="31"/>
      <c r="BB913" s="31"/>
      <c r="BC913" s="31"/>
      <c r="BD913" s="31"/>
      <c r="BE913" s="31"/>
      <c r="BF913" s="31"/>
      <c r="BG913" s="31"/>
      <c r="BH913" s="31"/>
      <c r="BI913" s="31"/>
      <c r="BJ913" s="31"/>
      <c r="BK913" s="31"/>
      <c r="BL913" s="31"/>
      <c r="BM913" s="31"/>
      <c r="BN913" s="31"/>
      <c r="BO913" s="31"/>
      <c r="BP913" s="31"/>
      <c r="BQ913" s="31"/>
      <c r="BR913" s="31"/>
      <c r="BS913" s="31"/>
      <c r="BT913" s="31"/>
      <c r="BU913" s="31"/>
      <c r="BV913" s="31"/>
      <c r="BW913" s="31"/>
      <c r="BX913" s="31"/>
      <c r="BY913" s="31"/>
      <c r="BZ913" s="31"/>
      <c r="CA913" s="31"/>
      <c r="CB913" s="31"/>
      <c r="CC913" s="31"/>
      <c r="CD913" s="31"/>
      <c r="CE913" s="31"/>
      <c r="CF913" s="31"/>
      <c r="CG913" s="31"/>
      <c r="CH913" s="31"/>
      <c r="CI913" s="31"/>
      <c r="CJ913" s="31"/>
      <c r="CK913" s="31"/>
      <c r="CL913" s="31"/>
      <c r="CM913" s="31"/>
      <c r="CN913" s="31"/>
      <c r="CO913" s="31"/>
      <c r="CP913" s="31"/>
      <c r="CQ913" s="31"/>
      <c r="CR913" s="31"/>
      <c r="CS913" s="31"/>
      <c r="CT913" s="31"/>
      <c r="CU913" s="31"/>
      <c r="CV913" s="31"/>
      <c r="CW913" s="31"/>
      <c r="CX913" s="31"/>
      <c r="CY913" s="31"/>
      <c r="CZ913" s="31"/>
      <c r="DA913" s="31"/>
      <c r="DB913" s="31"/>
      <c r="DC913" s="31"/>
      <c r="DD913" s="31"/>
      <c r="DE913" s="31"/>
      <c r="DF913" s="31"/>
      <c r="DG913" s="31"/>
      <c r="DH913" s="31"/>
      <c r="DI913" s="31"/>
      <c r="DJ913" s="31"/>
      <c r="DK913" s="31"/>
      <c r="DL913" s="31"/>
      <c r="DM913" s="31"/>
      <c r="DN913" s="31"/>
      <c r="DO913" s="31"/>
      <c r="DP913" s="31"/>
      <c r="DQ913" s="31"/>
      <c r="DR913" s="31"/>
      <c r="DS913" s="31"/>
      <c r="DT913" s="31"/>
      <c r="DU913" s="31"/>
      <c r="DV913" s="31"/>
      <c r="DW913" s="31"/>
      <c r="DX913" s="31"/>
      <c r="DY913" s="31"/>
      <c r="DZ913" s="31"/>
      <c r="EA913" s="31"/>
      <c r="EB913" s="31"/>
      <c r="EC913" s="31"/>
      <c r="ED913" s="31"/>
      <c r="EE913" s="31"/>
      <c r="EF913" s="31"/>
      <c r="EG913" s="31"/>
      <c r="EH913" s="31"/>
      <c r="EI913" s="31"/>
      <c r="EJ913" s="31"/>
      <c r="EK913" s="31"/>
      <c r="EL913" s="31"/>
      <c r="EM913" s="31"/>
      <c r="EN913" s="31"/>
      <c r="EO913" s="31"/>
      <c r="EP913" s="31"/>
      <c r="EQ913" s="31"/>
      <c r="ER913" s="31"/>
      <c r="ES913" s="31"/>
      <c r="ET913" s="31"/>
      <c r="EU913" s="31"/>
      <c r="EV913" s="31"/>
      <c r="EW913" s="31"/>
      <c r="EX913" s="31"/>
      <c r="EY913" s="31"/>
      <c r="EZ913" s="31"/>
      <c r="FA913" s="31"/>
      <c r="FB913" s="31"/>
      <c r="FC913" s="31"/>
      <c r="FD913" s="31"/>
      <c r="FE913" s="31"/>
      <c r="FF913" s="31"/>
      <c r="FG913" s="31"/>
      <c r="FH913" s="31"/>
      <c r="FI913" s="31"/>
      <c r="FJ913" s="31"/>
      <c r="FK913" s="31"/>
      <c r="FL913" s="31"/>
      <c r="FM913" s="31"/>
      <c r="FN913" s="31"/>
      <c r="FO913" s="31"/>
      <c r="FP913" s="31"/>
      <c r="FQ913" s="31"/>
      <c r="FR913" s="31"/>
      <c r="FS913" s="31"/>
      <c r="FT913" s="31"/>
      <c r="FU913" s="31"/>
      <c r="FV913" s="31"/>
      <c r="FW913" s="31"/>
      <c r="FX913" s="31"/>
      <c r="FY913" s="31"/>
      <c r="FZ913" s="31"/>
      <c r="GA913" s="31"/>
      <c r="GB913" s="31"/>
      <c r="GC913" s="31"/>
      <c r="GD913" s="31"/>
      <c r="GE913" s="31"/>
      <c r="GF913" s="31"/>
      <c r="GG913" s="31"/>
      <c r="GH913" s="31"/>
      <c r="GI913" s="31"/>
      <c r="GJ913" s="31"/>
      <c r="GK913" s="31"/>
      <c r="GL913" s="31"/>
      <c r="GM913" s="31"/>
      <c r="GN913" s="31"/>
      <c r="GO913" s="31"/>
      <c r="GP913" s="31"/>
      <c r="GQ913" s="31"/>
      <c r="GR913" s="31"/>
      <c r="GS913" s="31"/>
      <c r="GT913" s="31"/>
      <c r="GU913" s="31"/>
      <c r="GV913" s="31"/>
      <c r="GW913" s="31"/>
      <c r="GX913" s="31"/>
      <c r="GY913" s="31"/>
      <c r="GZ913" s="31"/>
      <c r="HA913" s="31"/>
      <c r="HB913" s="31"/>
      <c r="HC913" s="31"/>
      <c r="HD913" s="31"/>
      <c r="HE913" s="31"/>
      <c r="HF913" s="31"/>
      <c r="HG913" s="31"/>
      <c r="HH913" s="31"/>
      <c r="HI913" s="31"/>
      <c r="HJ913" s="31"/>
      <c r="HK913" s="31"/>
      <c r="HL913" s="31"/>
      <c r="HM913" s="31"/>
      <c r="HN913" s="31"/>
      <c r="HO913" s="31"/>
      <c r="HP913" s="31"/>
      <c r="HQ913" s="31"/>
      <c r="HR913" s="31"/>
      <c r="HS913" s="31"/>
      <c r="HT913" s="31"/>
      <c r="HU913" s="31"/>
      <c r="HV913" s="31"/>
      <c r="HW913" s="31"/>
      <c r="HX913" s="31"/>
      <c r="HY913" s="31"/>
      <c r="HZ913" s="31"/>
      <c r="IA913" s="31"/>
      <c r="IB913" s="31"/>
      <c r="IC913" s="31"/>
      <c r="ID913" s="31"/>
      <c r="IE913" s="31"/>
      <c r="IF913" s="31"/>
      <c r="IG913" s="31"/>
      <c r="IH913" s="31"/>
      <c r="II913" s="31"/>
      <c r="IJ913" s="31"/>
      <c r="IK913" s="31"/>
      <c r="IL913" s="31"/>
      <c r="IM913" s="31"/>
      <c r="IN913" s="31"/>
      <c r="IO913" s="31"/>
      <c r="IP913" s="31"/>
      <c r="IQ913" s="31"/>
      <c r="IR913" s="31"/>
      <c r="IS913" s="31"/>
      <c r="IT913" s="31"/>
      <c r="IU913" s="31"/>
      <c r="IV913" s="31"/>
      <c r="IW913" s="31"/>
      <c r="IX913" s="31"/>
    </row>
    <row r="914" spans="1:258" ht="25.15" customHeight="1" x14ac:dyDescent="0.25">
      <c r="A914" s="21" t="s">
        <v>1707</v>
      </c>
      <c r="B914" s="24" t="s">
        <v>669</v>
      </c>
      <c r="C914" s="2">
        <f t="shared" si="237"/>
        <v>1907400</v>
      </c>
      <c r="D914" s="3">
        <f t="shared" si="238"/>
        <v>0</v>
      </c>
      <c r="E914" s="3">
        <v>0</v>
      </c>
      <c r="F914" s="3">
        <v>0</v>
      </c>
      <c r="G914" s="3">
        <v>0</v>
      </c>
      <c r="H914" s="3">
        <v>0</v>
      </c>
      <c r="I914" s="3">
        <v>0</v>
      </c>
      <c r="J914" s="3">
        <v>0</v>
      </c>
      <c r="K914" s="4">
        <v>0</v>
      </c>
      <c r="L914" s="3">
        <v>0</v>
      </c>
      <c r="M914" s="3">
        <v>289</v>
      </c>
      <c r="N914" s="3">
        <f t="shared" si="243"/>
        <v>1907400</v>
      </c>
      <c r="O914" s="3">
        <v>0</v>
      </c>
      <c r="P914" s="3">
        <v>0</v>
      </c>
      <c r="Q914" s="3">
        <v>0</v>
      </c>
      <c r="R914" s="3">
        <f t="shared" si="245"/>
        <v>0</v>
      </c>
      <c r="S914" s="3">
        <v>0</v>
      </c>
      <c r="T914" s="13">
        <v>0</v>
      </c>
      <c r="U914" s="3">
        <v>0</v>
      </c>
      <c r="V914" s="5">
        <f t="shared" si="239"/>
        <v>6600</v>
      </c>
      <c r="W914" s="31"/>
      <c r="X914" s="31"/>
      <c r="Y914" s="31"/>
      <c r="Z914" s="31"/>
      <c r="AA914" s="31"/>
      <c r="AB914" s="31"/>
      <c r="AC914" s="31"/>
      <c r="AD914" s="31"/>
      <c r="AE914" s="31"/>
      <c r="AF914" s="31"/>
      <c r="AG914" s="31"/>
      <c r="AH914" s="31"/>
      <c r="AI914" s="31"/>
      <c r="AJ914" s="31"/>
      <c r="AK914" s="31"/>
      <c r="AL914" s="31"/>
      <c r="AM914" s="31"/>
      <c r="AN914" s="31"/>
      <c r="AO914" s="31"/>
      <c r="AP914" s="31"/>
      <c r="AQ914" s="31"/>
      <c r="AR914" s="31"/>
      <c r="AS914" s="31"/>
      <c r="AT914" s="31"/>
      <c r="AU914" s="31"/>
      <c r="AV914" s="31"/>
      <c r="AW914" s="31"/>
      <c r="AX914" s="31"/>
      <c r="AY914" s="31"/>
      <c r="AZ914" s="31"/>
      <c r="BA914" s="31"/>
      <c r="BB914" s="31"/>
      <c r="BC914" s="31"/>
      <c r="BD914" s="31"/>
      <c r="BE914" s="31"/>
      <c r="BF914" s="31"/>
      <c r="BG914" s="31"/>
      <c r="BH914" s="31"/>
      <c r="BI914" s="31"/>
      <c r="BJ914" s="31"/>
      <c r="BK914" s="31"/>
      <c r="BL914" s="31"/>
      <c r="BM914" s="31"/>
      <c r="BN914" s="31"/>
      <c r="BO914" s="31"/>
      <c r="BP914" s="31"/>
      <c r="BQ914" s="31"/>
      <c r="BR914" s="31"/>
      <c r="BS914" s="31"/>
      <c r="BT914" s="31"/>
      <c r="BU914" s="31"/>
      <c r="BV914" s="31"/>
      <c r="BW914" s="31"/>
      <c r="BX914" s="31"/>
      <c r="BY914" s="31"/>
      <c r="BZ914" s="31"/>
      <c r="CA914" s="31"/>
      <c r="CB914" s="31"/>
      <c r="CC914" s="31"/>
      <c r="CD914" s="31"/>
      <c r="CE914" s="31"/>
      <c r="CF914" s="31"/>
      <c r="CG914" s="31"/>
      <c r="CH914" s="31"/>
      <c r="CI914" s="31"/>
      <c r="CJ914" s="31"/>
      <c r="CK914" s="31"/>
      <c r="CL914" s="31"/>
      <c r="CM914" s="31"/>
      <c r="CN914" s="31"/>
      <c r="CO914" s="31"/>
      <c r="CP914" s="31"/>
      <c r="CQ914" s="31"/>
      <c r="CR914" s="31"/>
      <c r="CS914" s="31"/>
      <c r="CT914" s="31"/>
      <c r="CU914" s="31"/>
      <c r="CV914" s="31"/>
      <c r="CW914" s="31"/>
      <c r="CX914" s="31"/>
      <c r="CY914" s="31"/>
      <c r="CZ914" s="31"/>
      <c r="DA914" s="31"/>
      <c r="DB914" s="31"/>
      <c r="DC914" s="31"/>
      <c r="DD914" s="31"/>
      <c r="DE914" s="31"/>
      <c r="DF914" s="31"/>
      <c r="DG914" s="31"/>
      <c r="DH914" s="31"/>
      <c r="DI914" s="31"/>
      <c r="DJ914" s="31"/>
      <c r="DK914" s="31"/>
      <c r="DL914" s="31"/>
      <c r="DM914" s="31"/>
      <c r="DN914" s="31"/>
      <c r="DO914" s="31"/>
      <c r="DP914" s="31"/>
      <c r="DQ914" s="31"/>
      <c r="DR914" s="31"/>
      <c r="DS914" s="31"/>
      <c r="DT914" s="31"/>
      <c r="DU914" s="31"/>
      <c r="DV914" s="31"/>
      <c r="DW914" s="31"/>
      <c r="DX914" s="31"/>
      <c r="DY914" s="31"/>
      <c r="DZ914" s="31"/>
      <c r="EA914" s="31"/>
      <c r="EB914" s="31"/>
      <c r="EC914" s="31"/>
      <c r="ED914" s="31"/>
      <c r="EE914" s="31"/>
      <c r="EF914" s="31"/>
      <c r="EG914" s="31"/>
      <c r="EH914" s="31"/>
      <c r="EI914" s="31"/>
      <c r="EJ914" s="31"/>
      <c r="EK914" s="31"/>
      <c r="EL914" s="31"/>
      <c r="EM914" s="31"/>
      <c r="EN914" s="31"/>
      <c r="EO914" s="31"/>
      <c r="EP914" s="31"/>
      <c r="EQ914" s="31"/>
      <c r="ER914" s="31"/>
      <c r="ES914" s="31"/>
      <c r="ET914" s="31"/>
      <c r="EU914" s="31"/>
      <c r="EV914" s="31"/>
      <c r="EW914" s="31"/>
      <c r="EX914" s="31"/>
      <c r="EY914" s="31"/>
      <c r="EZ914" s="31"/>
      <c r="FA914" s="31"/>
      <c r="FB914" s="31"/>
      <c r="FC914" s="31"/>
      <c r="FD914" s="31"/>
      <c r="FE914" s="31"/>
      <c r="FF914" s="31"/>
      <c r="FG914" s="31"/>
      <c r="FH914" s="31"/>
      <c r="FI914" s="31"/>
      <c r="FJ914" s="31"/>
      <c r="FK914" s="31"/>
      <c r="FL914" s="31"/>
      <c r="FM914" s="31"/>
      <c r="FN914" s="31"/>
      <c r="FO914" s="31"/>
      <c r="FP914" s="31"/>
      <c r="FQ914" s="31"/>
      <c r="FR914" s="31"/>
      <c r="FS914" s="31"/>
      <c r="FT914" s="31"/>
      <c r="FU914" s="31"/>
      <c r="FV914" s="31"/>
      <c r="FW914" s="31"/>
      <c r="FX914" s="31"/>
      <c r="FY914" s="31"/>
      <c r="FZ914" s="31"/>
      <c r="GA914" s="31"/>
      <c r="GB914" s="31"/>
      <c r="GC914" s="31"/>
      <c r="GD914" s="31"/>
      <c r="GE914" s="31"/>
      <c r="GF914" s="31"/>
      <c r="GG914" s="31"/>
      <c r="GH914" s="31"/>
      <c r="GI914" s="31"/>
      <c r="GJ914" s="31"/>
      <c r="GK914" s="31"/>
      <c r="GL914" s="31"/>
      <c r="GM914" s="31"/>
      <c r="GN914" s="31"/>
      <c r="GO914" s="31"/>
      <c r="GP914" s="31"/>
      <c r="GQ914" s="31"/>
      <c r="GR914" s="31"/>
      <c r="GS914" s="31"/>
      <c r="GT914" s="31"/>
      <c r="GU914" s="31"/>
      <c r="GV914" s="31"/>
      <c r="GW914" s="31"/>
      <c r="GX914" s="31"/>
      <c r="GY914" s="31"/>
      <c r="GZ914" s="31"/>
      <c r="HA914" s="31"/>
      <c r="HB914" s="31"/>
      <c r="HC914" s="31"/>
      <c r="HD914" s="31"/>
      <c r="HE914" s="31"/>
      <c r="HF914" s="31"/>
      <c r="HG914" s="31"/>
      <c r="HH914" s="31"/>
      <c r="HI914" s="31"/>
      <c r="HJ914" s="31"/>
      <c r="HK914" s="31"/>
      <c r="HL914" s="31"/>
      <c r="HM914" s="31"/>
      <c r="HN914" s="31"/>
      <c r="HO914" s="31"/>
      <c r="HP914" s="31"/>
      <c r="HQ914" s="31"/>
      <c r="HR914" s="31"/>
      <c r="HS914" s="31"/>
      <c r="HT914" s="31"/>
      <c r="HU914" s="31"/>
      <c r="HV914" s="31"/>
      <c r="HW914" s="31"/>
      <c r="HX914" s="31"/>
      <c r="HY914" s="31"/>
      <c r="HZ914" s="31"/>
      <c r="IA914" s="31"/>
      <c r="IB914" s="31"/>
      <c r="IC914" s="31"/>
      <c r="ID914" s="31"/>
      <c r="IE914" s="31"/>
      <c r="IF914" s="31"/>
      <c r="IG914" s="31"/>
      <c r="IH914" s="31"/>
      <c r="II914" s="31"/>
      <c r="IJ914" s="31"/>
      <c r="IK914" s="31"/>
      <c r="IL914" s="31"/>
      <c r="IM914" s="31"/>
      <c r="IN914" s="31"/>
      <c r="IO914" s="31"/>
      <c r="IP914" s="31"/>
      <c r="IQ914" s="31"/>
      <c r="IR914" s="31"/>
      <c r="IS914" s="31"/>
      <c r="IT914" s="31"/>
      <c r="IU914" s="31"/>
      <c r="IV914" s="31"/>
      <c r="IW914" s="31"/>
      <c r="IX914" s="31"/>
    </row>
    <row r="915" spans="1:258" ht="25.15" customHeight="1" x14ac:dyDescent="0.25">
      <c r="A915" s="21" t="s">
        <v>1708</v>
      </c>
      <c r="B915" s="24" t="s">
        <v>747</v>
      </c>
      <c r="C915" s="2">
        <f t="shared" si="237"/>
        <v>4501200</v>
      </c>
      <c r="D915" s="3">
        <f t="shared" si="238"/>
        <v>0</v>
      </c>
      <c r="E915" s="3">
        <v>0</v>
      </c>
      <c r="F915" s="3">
        <v>0</v>
      </c>
      <c r="G915" s="3">
        <v>0</v>
      </c>
      <c r="H915" s="3">
        <v>0</v>
      </c>
      <c r="I915" s="3">
        <v>0</v>
      </c>
      <c r="J915" s="3">
        <v>0</v>
      </c>
      <c r="K915" s="4">
        <v>0</v>
      </c>
      <c r="L915" s="3">
        <v>0</v>
      </c>
      <c r="M915" s="13">
        <v>682</v>
      </c>
      <c r="N915" s="3">
        <f t="shared" si="243"/>
        <v>4501200</v>
      </c>
      <c r="O915" s="3">
        <v>0</v>
      </c>
      <c r="P915" s="3">
        <v>0</v>
      </c>
      <c r="Q915" s="3">
        <v>0</v>
      </c>
      <c r="R915" s="3">
        <f t="shared" si="245"/>
        <v>0</v>
      </c>
      <c r="S915" s="3">
        <v>0</v>
      </c>
      <c r="T915" s="13">
        <v>0</v>
      </c>
      <c r="U915" s="3">
        <v>0</v>
      </c>
      <c r="V915" s="5">
        <f t="shared" si="239"/>
        <v>6600</v>
      </c>
    </row>
    <row r="916" spans="1:258" ht="25.15" customHeight="1" x14ac:dyDescent="0.25">
      <c r="A916" s="21" t="s">
        <v>1709</v>
      </c>
      <c r="B916" s="24" t="s">
        <v>670</v>
      </c>
      <c r="C916" s="2">
        <f t="shared" si="237"/>
        <v>1927200</v>
      </c>
      <c r="D916" s="3">
        <f t="shared" si="238"/>
        <v>0</v>
      </c>
      <c r="E916" s="3">
        <v>0</v>
      </c>
      <c r="F916" s="3">
        <v>0</v>
      </c>
      <c r="G916" s="3">
        <v>0</v>
      </c>
      <c r="H916" s="3">
        <v>0</v>
      </c>
      <c r="I916" s="3">
        <v>0</v>
      </c>
      <c r="J916" s="3">
        <v>0</v>
      </c>
      <c r="K916" s="4">
        <v>0</v>
      </c>
      <c r="L916" s="3">
        <v>0</v>
      </c>
      <c r="M916" s="3">
        <v>292</v>
      </c>
      <c r="N916" s="3">
        <f t="shared" si="243"/>
        <v>1927200</v>
      </c>
      <c r="O916" s="3">
        <v>0</v>
      </c>
      <c r="P916" s="3">
        <v>0</v>
      </c>
      <c r="Q916" s="3">
        <v>0</v>
      </c>
      <c r="R916" s="3">
        <f t="shared" si="245"/>
        <v>0</v>
      </c>
      <c r="S916" s="3">
        <v>0</v>
      </c>
      <c r="T916" s="13">
        <v>0</v>
      </c>
      <c r="U916" s="3">
        <v>0</v>
      </c>
      <c r="V916" s="5">
        <f t="shared" si="239"/>
        <v>6600</v>
      </c>
    </row>
    <row r="917" spans="1:258" ht="25.15" customHeight="1" x14ac:dyDescent="0.25">
      <c r="A917" s="21" t="s">
        <v>1710</v>
      </c>
      <c r="B917" s="24" t="s">
        <v>671</v>
      </c>
      <c r="C917" s="2">
        <f t="shared" si="237"/>
        <v>1927200</v>
      </c>
      <c r="D917" s="3">
        <f t="shared" si="238"/>
        <v>0</v>
      </c>
      <c r="E917" s="3">
        <v>0</v>
      </c>
      <c r="F917" s="3">
        <v>0</v>
      </c>
      <c r="G917" s="3">
        <v>0</v>
      </c>
      <c r="H917" s="3">
        <v>0</v>
      </c>
      <c r="I917" s="3">
        <v>0</v>
      </c>
      <c r="J917" s="3">
        <v>0</v>
      </c>
      <c r="K917" s="4">
        <v>0</v>
      </c>
      <c r="L917" s="3">
        <v>0</v>
      </c>
      <c r="M917" s="3">
        <v>292</v>
      </c>
      <c r="N917" s="3">
        <f t="shared" si="243"/>
        <v>1927200</v>
      </c>
      <c r="O917" s="3">
        <v>0</v>
      </c>
      <c r="P917" s="3">
        <v>0</v>
      </c>
      <c r="Q917" s="3">
        <v>0</v>
      </c>
      <c r="R917" s="3">
        <f t="shared" si="245"/>
        <v>0</v>
      </c>
      <c r="S917" s="3">
        <v>0</v>
      </c>
      <c r="T917" s="13">
        <v>0</v>
      </c>
      <c r="U917" s="3">
        <v>0</v>
      </c>
      <c r="V917" s="5">
        <f t="shared" si="239"/>
        <v>6600</v>
      </c>
    </row>
    <row r="918" spans="1:258" ht="25.15" customHeight="1" x14ac:dyDescent="0.25">
      <c r="A918" s="21" t="s">
        <v>1711</v>
      </c>
      <c r="B918" s="24" t="s">
        <v>672</v>
      </c>
      <c r="C918" s="2">
        <f t="shared" si="237"/>
        <v>4501200</v>
      </c>
      <c r="D918" s="3">
        <f t="shared" si="238"/>
        <v>0</v>
      </c>
      <c r="E918" s="3">
        <v>0</v>
      </c>
      <c r="F918" s="3">
        <v>0</v>
      </c>
      <c r="G918" s="3">
        <v>0</v>
      </c>
      <c r="H918" s="3">
        <v>0</v>
      </c>
      <c r="I918" s="3">
        <v>0</v>
      </c>
      <c r="J918" s="3">
        <v>0</v>
      </c>
      <c r="K918" s="4">
        <v>0</v>
      </c>
      <c r="L918" s="3">
        <v>0</v>
      </c>
      <c r="M918" s="3">
        <v>682</v>
      </c>
      <c r="N918" s="3">
        <f t="shared" si="243"/>
        <v>4501200</v>
      </c>
      <c r="O918" s="3">
        <v>0</v>
      </c>
      <c r="P918" s="3">
        <v>0</v>
      </c>
      <c r="Q918" s="3">
        <v>0</v>
      </c>
      <c r="R918" s="3">
        <f t="shared" si="245"/>
        <v>0</v>
      </c>
      <c r="S918" s="3">
        <v>0</v>
      </c>
      <c r="T918" s="13">
        <v>0</v>
      </c>
      <c r="U918" s="3">
        <v>0</v>
      </c>
      <c r="V918" s="5">
        <f t="shared" si="239"/>
        <v>6600</v>
      </c>
    </row>
    <row r="919" spans="1:258" ht="25.15" customHeight="1" x14ac:dyDescent="0.25">
      <c r="A919" s="21" t="s">
        <v>1712</v>
      </c>
      <c r="B919" s="24" t="s">
        <v>673</v>
      </c>
      <c r="C919" s="2">
        <f t="shared" si="237"/>
        <v>1960200</v>
      </c>
      <c r="D919" s="3">
        <f t="shared" si="238"/>
        <v>0</v>
      </c>
      <c r="E919" s="3">
        <v>0</v>
      </c>
      <c r="F919" s="3">
        <v>0</v>
      </c>
      <c r="G919" s="3">
        <v>0</v>
      </c>
      <c r="H919" s="3">
        <v>0</v>
      </c>
      <c r="I919" s="3">
        <v>0</v>
      </c>
      <c r="J919" s="3">
        <v>0</v>
      </c>
      <c r="K919" s="4">
        <v>0</v>
      </c>
      <c r="L919" s="3">
        <v>0</v>
      </c>
      <c r="M919" s="3">
        <v>297</v>
      </c>
      <c r="N919" s="3">
        <f t="shared" si="243"/>
        <v>1960200</v>
      </c>
      <c r="O919" s="3">
        <v>0</v>
      </c>
      <c r="P919" s="3">
        <v>0</v>
      </c>
      <c r="Q919" s="3">
        <v>0</v>
      </c>
      <c r="R919" s="3">
        <f t="shared" si="245"/>
        <v>0</v>
      </c>
      <c r="S919" s="3">
        <v>0</v>
      </c>
      <c r="T919" s="13">
        <v>0</v>
      </c>
      <c r="U919" s="3">
        <v>0</v>
      </c>
      <c r="V919" s="5">
        <f t="shared" si="239"/>
        <v>6600</v>
      </c>
      <c r="W919" s="32"/>
      <c r="X919" s="32"/>
      <c r="Y919" s="32"/>
      <c r="Z919" s="32"/>
      <c r="AA919" s="32"/>
      <c r="AB919" s="32"/>
      <c r="AC919" s="32"/>
      <c r="AD919" s="32"/>
      <c r="AE919" s="32"/>
      <c r="AF919" s="32"/>
      <c r="AG919" s="32"/>
      <c r="AH919" s="32"/>
      <c r="AI919" s="32"/>
      <c r="AJ919" s="32"/>
      <c r="AK919" s="32"/>
      <c r="AL919" s="32"/>
      <c r="AM919" s="32"/>
      <c r="AN919" s="32"/>
      <c r="AO919" s="32"/>
      <c r="AP919" s="32"/>
      <c r="AQ919" s="32"/>
      <c r="AR919" s="32"/>
      <c r="AS919" s="32"/>
      <c r="AT919" s="32"/>
      <c r="AU919" s="32"/>
      <c r="AV919" s="32"/>
      <c r="AW919" s="32"/>
      <c r="AX919" s="32"/>
      <c r="AY919" s="32"/>
      <c r="AZ919" s="32"/>
      <c r="BA919" s="32"/>
      <c r="BB919" s="32"/>
      <c r="BC919" s="32"/>
      <c r="BD919" s="32"/>
      <c r="BE919" s="32"/>
      <c r="BF919" s="32"/>
      <c r="BG919" s="32"/>
      <c r="BH919" s="32"/>
      <c r="BI919" s="32"/>
      <c r="BJ919" s="32"/>
      <c r="BK919" s="32"/>
      <c r="BL919" s="32"/>
      <c r="BM919" s="32"/>
      <c r="BN919" s="32"/>
      <c r="BO919" s="32"/>
      <c r="BP919" s="32"/>
      <c r="BQ919" s="32"/>
      <c r="BR919" s="32"/>
      <c r="BS919" s="32"/>
      <c r="BT919" s="32"/>
      <c r="BU919" s="32"/>
      <c r="BV919" s="32"/>
      <c r="BW919" s="32"/>
      <c r="BX919" s="32"/>
      <c r="BY919" s="32"/>
      <c r="BZ919" s="32"/>
      <c r="CA919" s="32"/>
      <c r="CB919" s="32"/>
      <c r="CC919" s="32"/>
      <c r="CD919" s="32"/>
      <c r="CE919" s="32"/>
      <c r="CF919" s="32"/>
      <c r="CG919" s="32"/>
      <c r="CH919" s="32"/>
      <c r="CI919" s="32"/>
      <c r="CJ919" s="32"/>
      <c r="CK919" s="32"/>
      <c r="CL919" s="32"/>
      <c r="CM919" s="32"/>
      <c r="CN919" s="32"/>
      <c r="CO919" s="32"/>
      <c r="CP919" s="32"/>
      <c r="CQ919" s="32"/>
      <c r="CR919" s="32"/>
      <c r="CS919" s="32"/>
      <c r="CT919" s="32"/>
      <c r="CU919" s="32"/>
      <c r="CV919" s="32"/>
      <c r="CW919" s="32"/>
      <c r="CX919" s="32"/>
      <c r="CY919" s="32"/>
      <c r="CZ919" s="32"/>
      <c r="DA919" s="32"/>
      <c r="DB919" s="32"/>
      <c r="DC919" s="32"/>
      <c r="DD919" s="32"/>
      <c r="DE919" s="32"/>
      <c r="DF919" s="32"/>
      <c r="DG919" s="32"/>
      <c r="DH919" s="32"/>
      <c r="DI919" s="32"/>
      <c r="DJ919" s="32"/>
      <c r="DK919" s="32"/>
      <c r="DL919" s="32"/>
      <c r="DM919" s="32"/>
      <c r="DN919" s="32"/>
      <c r="DO919" s="32"/>
      <c r="DP919" s="32"/>
      <c r="DQ919" s="32"/>
      <c r="DR919" s="32"/>
      <c r="DS919" s="32"/>
      <c r="DT919" s="32"/>
      <c r="DU919" s="32"/>
      <c r="DV919" s="32"/>
      <c r="DW919" s="32"/>
      <c r="DX919" s="32"/>
      <c r="DY919" s="32"/>
      <c r="DZ919" s="32"/>
      <c r="EA919" s="32"/>
      <c r="EB919" s="32"/>
      <c r="EC919" s="32"/>
      <c r="ED919" s="32"/>
      <c r="EE919" s="32"/>
      <c r="EF919" s="32"/>
      <c r="EG919" s="32"/>
      <c r="EH919" s="32"/>
      <c r="EI919" s="32"/>
      <c r="EJ919" s="32"/>
      <c r="EK919" s="32"/>
      <c r="EL919" s="32"/>
      <c r="EM919" s="32"/>
      <c r="EN919" s="32"/>
      <c r="EO919" s="32"/>
      <c r="EP919" s="32"/>
      <c r="EQ919" s="32"/>
      <c r="ER919" s="32"/>
      <c r="ES919" s="32"/>
      <c r="ET919" s="32"/>
      <c r="EU919" s="32"/>
      <c r="EV919" s="32"/>
      <c r="EW919" s="32"/>
      <c r="EX919" s="32"/>
      <c r="EY919" s="32"/>
      <c r="EZ919" s="32"/>
      <c r="FA919" s="32"/>
      <c r="FB919" s="32"/>
      <c r="FC919" s="32"/>
      <c r="FD919" s="32"/>
      <c r="FE919" s="32"/>
      <c r="FF919" s="32"/>
      <c r="FG919" s="32"/>
      <c r="FH919" s="32"/>
      <c r="FI919" s="32"/>
      <c r="FJ919" s="32"/>
      <c r="FK919" s="32"/>
      <c r="FL919" s="32"/>
      <c r="FM919" s="32"/>
      <c r="FN919" s="32"/>
      <c r="FO919" s="32"/>
      <c r="FP919" s="32"/>
      <c r="FQ919" s="32"/>
      <c r="FR919" s="32"/>
      <c r="FS919" s="32"/>
      <c r="FT919" s="32"/>
      <c r="FU919" s="32"/>
      <c r="FV919" s="32"/>
      <c r="FW919" s="32"/>
      <c r="FX919" s="32"/>
      <c r="FY919" s="32"/>
      <c r="FZ919" s="32"/>
      <c r="GA919" s="32"/>
      <c r="GB919" s="32"/>
      <c r="GC919" s="32"/>
      <c r="GD919" s="32"/>
      <c r="GE919" s="32"/>
      <c r="GF919" s="32"/>
      <c r="GG919" s="32"/>
      <c r="GH919" s="32"/>
      <c r="GI919" s="32"/>
      <c r="GJ919" s="32"/>
      <c r="GK919" s="32"/>
      <c r="GL919" s="32"/>
      <c r="GM919" s="32"/>
      <c r="GN919" s="32"/>
      <c r="GO919" s="32"/>
      <c r="GP919" s="32"/>
      <c r="GQ919" s="32"/>
      <c r="GR919" s="32"/>
      <c r="GS919" s="32"/>
      <c r="GT919" s="32"/>
      <c r="GU919" s="32"/>
      <c r="GV919" s="32"/>
      <c r="GW919" s="32"/>
      <c r="GX919" s="32"/>
      <c r="GY919" s="32"/>
      <c r="GZ919" s="32"/>
      <c r="HA919" s="32"/>
      <c r="HB919" s="32"/>
      <c r="HC919" s="32"/>
      <c r="HD919" s="32"/>
      <c r="HE919" s="32"/>
      <c r="HF919" s="32"/>
      <c r="HG919" s="32"/>
      <c r="HH919" s="32"/>
      <c r="HI919" s="32"/>
      <c r="HJ919" s="32"/>
      <c r="HK919" s="32"/>
      <c r="HL919" s="32"/>
      <c r="HM919" s="32"/>
      <c r="HN919" s="32"/>
      <c r="HO919" s="32"/>
      <c r="HP919" s="32"/>
      <c r="HQ919" s="32"/>
      <c r="HR919" s="32"/>
      <c r="HS919" s="32"/>
      <c r="HT919" s="32"/>
      <c r="HU919" s="32"/>
      <c r="HV919" s="32"/>
      <c r="HW919" s="32"/>
      <c r="HX919" s="32"/>
      <c r="HY919" s="32"/>
      <c r="HZ919" s="32"/>
      <c r="IA919" s="32"/>
      <c r="IB919" s="32"/>
      <c r="IC919" s="32"/>
      <c r="ID919" s="32"/>
      <c r="IE919" s="32"/>
      <c r="IF919" s="32"/>
      <c r="IG919" s="32"/>
      <c r="IH919" s="32"/>
      <c r="II919" s="32"/>
      <c r="IJ919" s="32"/>
      <c r="IK919" s="32"/>
      <c r="IL919" s="32"/>
      <c r="IM919" s="32"/>
      <c r="IN919" s="32"/>
      <c r="IO919" s="32"/>
      <c r="IP919" s="32"/>
      <c r="IQ919" s="32"/>
      <c r="IR919" s="32"/>
      <c r="IS919" s="32"/>
      <c r="IT919" s="32"/>
      <c r="IU919" s="32"/>
      <c r="IV919" s="32"/>
      <c r="IW919" s="32"/>
      <c r="IX919" s="32"/>
    </row>
    <row r="920" spans="1:258" ht="25.15" customHeight="1" x14ac:dyDescent="0.25">
      <c r="A920" s="21" t="s">
        <v>1713</v>
      </c>
      <c r="B920" s="24" t="s">
        <v>663</v>
      </c>
      <c r="C920" s="2">
        <f t="shared" si="237"/>
        <v>1927200</v>
      </c>
      <c r="D920" s="3">
        <f t="shared" si="238"/>
        <v>0</v>
      </c>
      <c r="E920" s="3">
        <v>0</v>
      </c>
      <c r="F920" s="3">
        <v>0</v>
      </c>
      <c r="G920" s="3">
        <v>0</v>
      </c>
      <c r="H920" s="3">
        <v>0</v>
      </c>
      <c r="I920" s="3">
        <v>0</v>
      </c>
      <c r="J920" s="3">
        <v>0</v>
      </c>
      <c r="K920" s="4">
        <v>0</v>
      </c>
      <c r="L920" s="3">
        <v>0</v>
      </c>
      <c r="M920" s="3">
        <v>292</v>
      </c>
      <c r="N920" s="3">
        <f t="shared" si="243"/>
        <v>1927200</v>
      </c>
      <c r="O920" s="3">
        <v>0</v>
      </c>
      <c r="P920" s="3">
        <v>0</v>
      </c>
      <c r="Q920" s="3">
        <v>0</v>
      </c>
      <c r="R920" s="3">
        <f t="shared" si="245"/>
        <v>0</v>
      </c>
      <c r="S920" s="3">
        <v>0</v>
      </c>
      <c r="T920" s="13">
        <v>0</v>
      </c>
      <c r="U920" s="3">
        <v>0</v>
      </c>
      <c r="V920" s="5">
        <f t="shared" si="239"/>
        <v>6600</v>
      </c>
    </row>
    <row r="921" spans="1:258" ht="25.15" customHeight="1" x14ac:dyDescent="0.25">
      <c r="A921" s="21" t="s">
        <v>1714</v>
      </c>
      <c r="B921" s="24" t="s">
        <v>385</v>
      </c>
      <c r="C921" s="2">
        <f t="shared" si="237"/>
        <v>357312</v>
      </c>
      <c r="D921" s="3">
        <f t="shared" si="238"/>
        <v>0</v>
      </c>
      <c r="E921" s="3">
        <v>0</v>
      </c>
      <c r="F921" s="3">
        <v>0</v>
      </c>
      <c r="G921" s="3">
        <v>0</v>
      </c>
      <c r="H921" s="3">
        <v>0</v>
      </c>
      <c r="I921" s="3">
        <v>0</v>
      </c>
      <c r="J921" s="3">
        <v>0</v>
      </c>
      <c r="K921" s="4">
        <v>0</v>
      </c>
      <c r="L921" s="3">
        <v>0</v>
      </c>
      <c r="M921" s="3">
        <v>0</v>
      </c>
      <c r="N921" s="3">
        <v>0</v>
      </c>
      <c r="O921" s="3">
        <v>297.76</v>
      </c>
      <c r="P921" s="3">
        <f>O921*1200</f>
        <v>357312</v>
      </c>
      <c r="Q921" s="3">
        <v>0</v>
      </c>
      <c r="R921" s="3">
        <v>0</v>
      </c>
      <c r="S921" s="3">
        <v>0</v>
      </c>
      <c r="T921" s="3">
        <v>0</v>
      </c>
      <c r="U921" s="3">
        <v>0</v>
      </c>
      <c r="V921" s="5" t="e">
        <f t="shared" si="239"/>
        <v>#DIV/0!</v>
      </c>
    </row>
    <row r="922" spans="1:258" ht="25.15" customHeight="1" x14ac:dyDescent="0.25">
      <c r="A922" s="21" t="s">
        <v>1715</v>
      </c>
      <c r="B922" s="24" t="s">
        <v>374</v>
      </c>
      <c r="C922" s="2">
        <f t="shared" si="237"/>
        <v>6695256.1200000001</v>
      </c>
      <c r="D922" s="3">
        <f t="shared" si="238"/>
        <v>6459240</v>
      </c>
      <c r="E922" s="3">
        <v>0</v>
      </c>
      <c r="F922" s="3">
        <f>1300*3399.6</f>
        <v>4419480</v>
      </c>
      <c r="G922" s="3">
        <f>300*3399.6</f>
        <v>1019880</v>
      </c>
      <c r="H922" s="3">
        <v>0</v>
      </c>
      <c r="I922" s="3">
        <f>300*3399.6</f>
        <v>1019880</v>
      </c>
      <c r="J922" s="3">
        <f>350*0</f>
        <v>0</v>
      </c>
      <c r="K922" s="4">
        <v>0</v>
      </c>
      <c r="L922" s="3">
        <v>0</v>
      </c>
      <c r="M922" s="3">
        <v>0</v>
      </c>
      <c r="N922" s="3">
        <v>0</v>
      </c>
      <c r="O922" s="3">
        <v>0</v>
      </c>
      <c r="P922" s="3">
        <v>0</v>
      </c>
      <c r="Q922" s="3">
        <v>0</v>
      </c>
      <c r="R922" s="3">
        <f>Q922*3000</f>
        <v>0</v>
      </c>
      <c r="S922" s="3">
        <v>0</v>
      </c>
      <c r="T922" s="13">
        <v>0</v>
      </c>
      <c r="U922" s="3">
        <v>236016.12</v>
      </c>
      <c r="V922" s="5" t="e">
        <f t="shared" si="239"/>
        <v>#DIV/0!</v>
      </c>
    </row>
    <row r="923" spans="1:258" ht="25.15" customHeight="1" x14ac:dyDescent="0.25">
      <c r="A923" s="21" t="s">
        <v>1716</v>
      </c>
      <c r="B923" s="24" t="s">
        <v>748</v>
      </c>
      <c r="C923" s="2">
        <f t="shared" si="237"/>
        <v>3517800</v>
      </c>
      <c r="D923" s="3">
        <f t="shared" si="238"/>
        <v>0</v>
      </c>
      <c r="E923" s="3">
        <v>0</v>
      </c>
      <c r="F923" s="3">
        <v>0</v>
      </c>
      <c r="G923" s="3">
        <v>0</v>
      </c>
      <c r="H923" s="3">
        <v>0</v>
      </c>
      <c r="I923" s="3">
        <v>0</v>
      </c>
      <c r="J923" s="3">
        <v>0</v>
      </c>
      <c r="K923" s="4">
        <v>0</v>
      </c>
      <c r="L923" s="3">
        <v>0</v>
      </c>
      <c r="M923" s="13">
        <v>533</v>
      </c>
      <c r="N923" s="3">
        <f>M923*6600</f>
        <v>3517800</v>
      </c>
      <c r="O923" s="3">
        <v>0</v>
      </c>
      <c r="P923" s="3">
        <v>0</v>
      </c>
      <c r="Q923" s="3">
        <v>0</v>
      </c>
      <c r="R923" s="3">
        <f t="shared" ref="R923:R929" si="246">Q923*3200</f>
        <v>0</v>
      </c>
      <c r="S923" s="3">
        <v>0</v>
      </c>
      <c r="T923" s="13">
        <v>0</v>
      </c>
      <c r="U923" s="3">
        <v>0</v>
      </c>
      <c r="V923" s="5">
        <f t="shared" si="239"/>
        <v>6600</v>
      </c>
    </row>
    <row r="924" spans="1:258" ht="25.15" customHeight="1" x14ac:dyDescent="0.25">
      <c r="A924" s="21" t="s">
        <v>1717</v>
      </c>
      <c r="B924" s="24" t="s">
        <v>674</v>
      </c>
      <c r="C924" s="2">
        <f t="shared" ref="C924:C987" si="247">D924+L924+N924+P924+R924+S924+T924+U924</f>
        <v>3550800</v>
      </c>
      <c r="D924" s="3">
        <f t="shared" ref="D924:D987" si="248">SUM(E924:J924)</f>
        <v>0</v>
      </c>
      <c r="E924" s="3">
        <v>0</v>
      </c>
      <c r="F924" s="3">
        <v>0</v>
      </c>
      <c r="G924" s="3">
        <v>0</v>
      </c>
      <c r="H924" s="3">
        <v>0</v>
      </c>
      <c r="I924" s="3">
        <v>0</v>
      </c>
      <c r="J924" s="3">
        <v>0</v>
      </c>
      <c r="K924" s="4">
        <v>0</v>
      </c>
      <c r="L924" s="3">
        <v>0</v>
      </c>
      <c r="M924" s="3">
        <v>538</v>
      </c>
      <c r="N924" s="3">
        <f>M924*6600</f>
        <v>3550800</v>
      </c>
      <c r="O924" s="3">
        <v>0</v>
      </c>
      <c r="P924" s="3">
        <v>0</v>
      </c>
      <c r="Q924" s="3">
        <v>0</v>
      </c>
      <c r="R924" s="3">
        <f t="shared" si="246"/>
        <v>0</v>
      </c>
      <c r="S924" s="3">
        <v>0</v>
      </c>
      <c r="T924" s="13">
        <v>0</v>
      </c>
      <c r="U924" s="3">
        <v>0</v>
      </c>
      <c r="V924" s="5">
        <f t="shared" ref="V924:V987" si="249">N924/M924</f>
        <v>6600</v>
      </c>
    </row>
    <row r="925" spans="1:258" ht="25.15" customHeight="1" x14ac:dyDescent="0.25">
      <c r="A925" s="21" t="s">
        <v>1718</v>
      </c>
      <c r="B925" s="24" t="s">
        <v>675</v>
      </c>
      <c r="C925" s="2">
        <f t="shared" si="247"/>
        <v>3550800</v>
      </c>
      <c r="D925" s="3">
        <f t="shared" si="248"/>
        <v>0</v>
      </c>
      <c r="E925" s="3">
        <v>0</v>
      </c>
      <c r="F925" s="3">
        <v>0</v>
      </c>
      <c r="G925" s="3">
        <v>0</v>
      </c>
      <c r="H925" s="3">
        <v>0</v>
      </c>
      <c r="I925" s="3">
        <v>0</v>
      </c>
      <c r="J925" s="3">
        <v>0</v>
      </c>
      <c r="K925" s="4">
        <v>0</v>
      </c>
      <c r="L925" s="3">
        <v>0</v>
      </c>
      <c r="M925" s="3">
        <v>538</v>
      </c>
      <c r="N925" s="3">
        <f>M925*6600</f>
        <v>3550800</v>
      </c>
      <c r="O925" s="3">
        <v>0</v>
      </c>
      <c r="P925" s="3">
        <v>0</v>
      </c>
      <c r="Q925" s="13">
        <v>0</v>
      </c>
      <c r="R925" s="3">
        <f t="shared" si="246"/>
        <v>0</v>
      </c>
      <c r="S925" s="3">
        <v>0</v>
      </c>
      <c r="T925" s="13">
        <v>0</v>
      </c>
      <c r="U925" s="3">
        <v>0</v>
      </c>
      <c r="V925" s="5">
        <f t="shared" si="249"/>
        <v>6600</v>
      </c>
    </row>
    <row r="926" spans="1:258" ht="25.15" customHeight="1" x14ac:dyDescent="0.25">
      <c r="A926" s="21" t="s">
        <v>1719</v>
      </c>
      <c r="B926" s="24" t="s">
        <v>927</v>
      </c>
      <c r="C926" s="2">
        <f t="shared" si="247"/>
        <v>36563525.770000003</v>
      </c>
      <c r="D926" s="3">
        <f t="shared" si="248"/>
        <v>0</v>
      </c>
      <c r="E926" s="3">
        <v>0</v>
      </c>
      <c r="F926" s="3">
        <v>0</v>
      </c>
      <c r="G926" s="3">
        <v>0</v>
      </c>
      <c r="H926" s="3">
        <v>0</v>
      </c>
      <c r="I926" s="3">
        <v>0</v>
      </c>
      <c r="J926" s="3">
        <v>0</v>
      </c>
      <c r="K926" s="4">
        <v>0</v>
      </c>
      <c r="L926" s="3">
        <v>0</v>
      </c>
      <c r="M926" s="3">
        <v>0</v>
      </c>
      <c r="N926" s="3">
        <v>0</v>
      </c>
      <c r="O926" s="3">
        <v>0</v>
      </c>
      <c r="P926" s="3">
        <v>0</v>
      </c>
      <c r="Q926" s="3">
        <v>11308</v>
      </c>
      <c r="R926" s="3">
        <f t="shared" si="246"/>
        <v>36185600</v>
      </c>
      <c r="S926" s="3">
        <v>0</v>
      </c>
      <c r="T926" s="13">
        <v>0</v>
      </c>
      <c r="U926" s="3">
        <v>377925.77</v>
      </c>
      <c r="V926" s="5" t="e">
        <f t="shared" si="249"/>
        <v>#DIV/0!</v>
      </c>
    </row>
    <row r="927" spans="1:258" ht="25.15" customHeight="1" x14ac:dyDescent="0.25">
      <c r="A927" s="21" t="s">
        <v>1720</v>
      </c>
      <c r="B927" s="24" t="s">
        <v>570</v>
      </c>
      <c r="C927" s="2">
        <f t="shared" si="247"/>
        <v>6973400</v>
      </c>
      <c r="D927" s="3">
        <f t="shared" si="248"/>
        <v>0</v>
      </c>
      <c r="E927" s="3">
        <v>0</v>
      </c>
      <c r="F927" s="3">
        <v>0</v>
      </c>
      <c r="G927" s="3">
        <v>0</v>
      </c>
      <c r="H927" s="3">
        <v>0</v>
      </c>
      <c r="I927" s="3">
        <v>0</v>
      </c>
      <c r="J927" s="3">
        <v>0</v>
      </c>
      <c r="K927" s="14">
        <v>0</v>
      </c>
      <c r="L927" s="13">
        <v>0</v>
      </c>
      <c r="M927" s="13">
        <v>659</v>
      </c>
      <c r="N927" s="3">
        <f>M927*6600</f>
        <v>4349400</v>
      </c>
      <c r="O927" s="13">
        <v>0</v>
      </c>
      <c r="P927" s="13">
        <v>0</v>
      </c>
      <c r="Q927" s="13">
        <v>820</v>
      </c>
      <c r="R927" s="3">
        <f t="shared" si="246"/>
        <v>2624000</v>
      </c>
      <c r="S927" s="13">
        <v>0</v>
      </c>
      <c r="T927" s="13">
        <v>0</v>
      </c>
      <c r="U927" s="13">
        <v>0</v>
      </c>
      <c r="V927" s="5">
        <f t="shared" si="249"/>
        <v>6600</v>
      </c>
    </row>
    <row r="928" spans="1:258" ht="25.15" customHeight="1" x14ac:dyDescent="0.25">
      <c r="A928" s="21" t="s">
        <v>1721</v>
      </c>
      <c r="B928" s="24" t="s">
        <v>676</v>
      </c>
      <c r="C928" s="2">
        <f t="shared" si="247"/>
        <v>3435960</v>
      </c>
      <c r="D928" s="3">
        <f t="shared" si="248"/>
        <v>0</v>
      </c>
      <c r="E928" s="3">
        <v>0</v>
      </c>
      <c r="F928" s="3">
        <v>0</v>
      </c>
      <c r="G928" s="3">
        <v>0</v>
      </c>
      <c r="H928" s="3">
        <v>0</v>
      </c>
      <c r="I928" s="3">
        <v>0</v>
      </c>
      <c r="J928" s="3">
        <v>0</v>
      </c>
      <c r="K928" s="4">
        <v>0</v>
      </c>
      <c r="L928" s="3">
        <v>0</v>
      </c>
      <c r="M928" s="3">
        <v>520.6</v>
      </c>
      <c r="N928" s="3">
        <f>M928*6600</f>
        <v>3435960</v>
      </c>
      <c r="O928" s="3">
        <v>0</v>
      </c>
      <c r="P928" s="3">
        <v>0</v>
      </c>
      <c r="Q928" s="13">
        <v>0</v>
      </c>
      <c r="R928" s="3">
        <f t="shared" si="246"/>
        <v>0</v>
      </c>
      <c r="S928" s="3">
        <v>0</v>
      </c>
      <c r="T928" s="13">
        <v>0</v>
      </c>
      <c r="U928" s="3">
        <v>0</v>
      </c>
      <c r="V928" s="5">
        <f t="shared" si="249"/>
        <v>6600</v>
      </c>
    </row>
    <row r="929" spans="1:258" ht="25.15" customHeight="1" x14ac:dyDescent="0.25">
      <c r="A929" s="21" t="s">
        <v>1722</v>
      </c>
      <c r="B929" s="24" t="s">
        <v>677</v>
      </c>
      <c r="C929" s="2">
        <f t="shared" si="247"/>
        <v>1933800</v>
      </c>
      <c r="D929" s="3">
        <f t="shared" si="248"/>
        <v>0</v>
      </c>
      <c r="E929" s="3">
        <v>0</v>
      </c>
      <c r="F929" s="3">
        <v>0</v>
      </c>
      <c r="G929" s="3">
        <v>0</v>
      </c>
      <c r="H929" s="3">
        <v>0</v>
      </c>
      <c r="I929" s="3">
        <v>0</v>
      </c>
      <c r="J929" s="3">
        <v>0</v>
      </c>
      <c r="K929" s="4">
        <v>0</v>
      </c>
      <c r="L929" s="3">
        <v>0</v>
      </c>
      <c r="M929" s="3">
        <v>293</v>
      </c>
      <c r="N929" s="3">
        <f>M929*6600</f>
        <v>1933800</v>
      </c>
      <c r="O929" s="3">
        <v>0</v>
      </c>
      <c r="P929" s="3">
        <v>0</v>
      </c>
      <c r="Q929" s="13">
        <v>0</v>
      </c>
      <c r="R929" s="3">
        <f t="shared" si="246"/>
        <v>0</v>
      </c>
      <c r="S929" s="3">
        <v>0</v>
      </c>
      <c r="T929" s="13">
        <v>0</v>
      </c>
      <c r="U929" s="3">
        <v>0</v>
      </c>
      <c r="V929" s="5">
        <f t="shared" si="249"/>
        <v>6600</v>
      </c>
    </row>
    <row r="930" spans="1:258" ht="25.15" customHeight="1" x14ac:dyDescent="0.25">
      <c r="A930" s="21" t="s">
        <v>1723</v>
      </c>
      <c r="B930" s="27" t="s">
        <v>787</v>
      </c>
      <c r="C930" s="2">
        <f t="shared" si="247"/>
        <v>300000</v>
      </c>
      <c r="D930" s="3">
        <f t="shared" si="248"/>
        <v>0</v>
      </c>
      <c r="E930" s="3">
        <v>0</v>
      </c>
      <c r="F930" s="3">
        <v>0</v>
      </c>
      <c r="G930" s="3">
        <v>0</v>
      </c>
      <c r="H930" s="3">
        <v>0</v>
      </c>
      <c r="I930" s="3">
        <v>0</v>
      </c>
      <c r="J930" s="3">
        <v>0</v>
      </c>
      <c r="K930" s="4">
        <v>0</v>
      </c>
      <c r="L930" s="3">
        <v>0</v>
      </c>
      <c r="M930" s="13">
        <v>0</v>
      </c>
      <c r="N930" s="3">
        <v>0</v>
      </c>
      <c r="O930" s="3">
        <v>0</v>
      </c>
      <c r="P930" s="3">
        <v>0</v>
      </c>
      <c r="Q930" s="3">
        <v>0</v>
      </c>
      <c r="R930" s="3">
        <v>0</v>
      </c>
      <c r="S930" s="3">
        <v>0</v>
      </c>
      <c r="T930" s="13">
        <v>0</v>
      </c>
      <c r="U930" s="3">
        <v>300000</v>
      </c>
      <c r="V930" s="5" t="e">
        <f t="shared" si="249"/>
        <v>#DIV/0!</v>
      </c>
    </row>
    <row r="931" spans="1:258" ht="25.15" customHeight="1" x14ac:dyDescent="0.25">
      <c r="A931" s="21" t="s">
        <v>1724</v>
      </c>
      <c r="B931" s="24" t="s">
        <v>577</v>
      </c>
      <c r="C931" s="2">
        <f t="shared" si="247"/>
        <v>1611500</v>
      </c>
      <c r="D931" s="3">
        <f t="shared" si="248"/>
        <v>0</v>
      </c>
      <c r="E931" s="3">
        <v>0</v>
      </c>
      <c r="F931" s="3">
        <v>0</v>
      </c>
      <c r="G931" s="3">
        <v>0</v>
      </c>
      <c r="H931" s="3">
        <v>0</v>
      </c>
      <c r="I931" s="3">
        <v>0</v>
      </c>
      <c r="J931" s="3">
        <v>0</v>
      </c>
      <c r="K931" s="14">
        <v>0</v>
      </c>
      <c r="L931" s="13">
        <v>0</v>
      </c>
      <c r="M931" s="13">
        <v>293</v>
      </c>
      <c r="N931" s="3">
        <f>M931*5500</f>
        <v>1611500</v>
      </c>
      <c r="O931" s="13">
        <v>0</v>
      </c>
      <c r="P931" s="13">
        <v>0</v>
      </c>
      <c r="Q931" s="13">
        <v>0</v>
      </c>
      <c r="R931" s="3">
        <v>0</v>
      </c>
      <c r="S931" s="13">
        <v>0</v>
      </c>
      <c r="T931" s="13">
        <v>0</v>
      </c>
      <c r="U931" s="13">
        <v>0</v>
      </c>
      <c r="V931" s="5">
        <f t="shared" si="249"/>
        <v>5500</v>
      </c>
    </row>
    <row r="932" spans="1:258" ht="25.15" customHeight="1" x14ac:dyDescent="0.25">
      <c r="A932" s="21" t="s">
        <v>1725</v>
      </c>
      <c r="B932" s="24" t="s">
        <v>501</v>
      </c>
      <c r="C932" s="2">
        <f t="shared" si="247"/>
        <v>3432000</v>
      </c>
      <c r="D932" s="3">
        <f t="shared" si="248"/>
        <v>0</v>
      </c>
      <c r="E932" s="3">
        <v>0</v>
      </c>
      <c r="F932" s="3">
        <v>0</v>
      </c>
      <c r="G932" s="3">
        <v>0</v>
      </c>
      <c r="H932" s="3">
        <v>0</v>
      </c>
      <c r="I932" s="3">
        <v>0</v>
      </c>
      <c r="J932" s="3">
        <v>0</v>
      </c>
      <c r="K932" s="14">
        <v>0</v>
      </c>
      <c r="L932" s="13">
        <v>0</v>
      </c>
      <c r="M932" s="13">
        <v>520</v>
      </c>
      <c r="N932" s="3">
        <f t="shared" ref="N932:N944" si="250">M932*6600</f>
        <v>3432000</v>
      </c>
      <c r="O932" s="13">
        <v>0</v>
      </c>
      <c r="P932" s="13">
        <v>0</v>
      </c>
      <c r="Q932" s="13">
        <v>0</v>
      </c>
      <c r="R932" s="3">
        <f>Q932*3200</f>
        <v>0</v>
      </c>
      <c r="S932" s="13">
        <v>0</v>
      </c>
      <c r="T932" s="13">
        <v>0</v>
      </c>
      <c r="U932" s="13">
        <v>0</v>
      </c>
      <c r="V932" s="5">
        <f t="shared" si="249"/>
        <v>6600</v>
      </c>
    </row>
    <row r="933" spans="1:258" ht="25.15" customHeight="1" x14ac:dyDescent="0.25">
      <c r="A933" s="21" t="s">
        <v>1726</v>
      </c>
      <c r="B933" s="24" t="s">
        <v>502</v>
      </c>
      <c r="C933" s="2">
        <f t="shared" si="247"/>
        <v>5148000</v>
      </c>
      <c r="D933" s="3">
        <f t="shared" si="248"/>
        <v>0</v>
      </c>
      <c r="E933" s="3">
        <v>0</v>
      </c>
      <c r="F933" s="3">
        <v>0</v>
      </c>
      <c r="G933" s="3">
        <v>0</v>
      </c>
      <c r="H933" s="3">
        <v>0</v>
      </c>
      <c r="I933" s="3">
        <v>0</v>
      </c>
      <c r="J933" s="3">
        <v>0</v>
      </c>
      <c r="K933" s="14">
        <v>0</v>
      </c>
      <c r="L933" s="13">
        <v>0</v>
      </c>
      <c r="M933" s="13">
        <v>780</v>
      </c>
      <c r="N933" s="3">
        <f t="shared" si="250"/>
        <v>5148000</v>
      </c>
      <c r="O933" s="13">
        <v>0</v>
      </c>
      <c r="P933" s="13">
        <v>0</v>
      </c>
      <c r="Q933" s="13">
        <v>0</v>
      </c>
      <c r="R933" s="3">
        <f>Q933*3000</f>
        <v>0</v>
      </c>
      <c r="S933" s="13">
        <v>0</v>
      </c>
      <c r="T933" s="13">
        <v>0</v>
      </c>
      <c r="U933" s="13">
        <v>0</v>
      </c>
      <c r="V933" s="5">
        <f t="shared" si="249"/>
        <v>6600</v>
      </c>
    </row>
    <row r="934" spans="1:258" ht="25.15" customHeight="1" x14ac:dyDescent="0.25">
      <c r="A934" s="21" t="s">
        <v>1727</v>
      </c>
      <c r="B934" s="24" t="s">
        <v>750</v>
      </c>
      <c r="C934" s="2">
        <f t="shared" si="247"/>
        <v>2079000</v>
      </c>
      <c r="D934" s="3">
        <f t="shared" si="248"/>
        <v>0</v>
      </c>
      <c r="E934" s="3">
        <v>0</v>
      </c>
      <c r="F934" s="3">
        <v>0</v>
      </c>
      <c r="G934" s="3">
        <v>0</v>
      </c>
      <c r="H934" s="3">
        <v>0</v>
      </c>
      <c r="I934" s="3">
        <v>0</v>
      </c>
      <c r="J934" s="3">
        <v>0</v>
      </c>
      <c r="K934" s="4">
        <v>0</v>
      </c>
      <c r="L934" s="3">
        <v>0</v>
      </c>
      <c r="M934" s="3">
        <v>315</v>
      </c>
      <c r="N934" s="3">
        <f t="shared" si="250"/>
        <v>2079000</v>
      </c>
      <c r="O934" s="3">
        <v>0</v>
      </c>
      <c r="P934" s="3">
        <v>0</v>
      </c>
      <c r="Q934" s="13">
        <v>0</v>
      </c>
      <c r="R934" s="3">
        <f t="shared" ref="R934:R944" si="251">Q934*3200</f>
        <v>0</v>
      </c>
      <c r="S934" s="3">
        <v>0</v>
      </c>
      <c r="T934" s="13">
        <v>0</v>
      </c>
      <c r="U934" s="3">
        <v>0</v>
      </c>
      <c r="V934" s="5">
        <f t="shared" si="249"/>
        <v>6600</v>
      </c>
    </row>
    <row r="935" spans="1:258" ht="25.15" customHeight="1" x14ac:dyDescent="0.25">
      <c r="A935" s="21" t="s">
        <v>1728</v>
      </c>
      <c r="B935" s="24" t="s">
        <v>751</v>
      </c>
      <c r="C935" s="2">
        <f t="shared" si="247"/>
        <v>1768800</v>
      </c>
      <c r="D935" s="3">
        <f t="shared" si="248"/>
        <v>0</v>
      </c>
      <c r="E935" s="3">
        <v>0</v>
      </c>
      <c r="F935" s="3">
        <v>0</v>
      </c>
      <c r="G935" s="3">
        <v>0</v>
      </c>
      <c r="H935" s="3">
        <v>0</v>
      </c>
      <c r="I935" s="3">
        <v>0</v>
      </c>
      <c r="J935" s="3">
        <v>0</v>
      </c>
      <c r="K935" s="4">
        <v>0</v>
      </c>
      <c r="L935" s="3">
        <v>0</v>
      </c>
      <c r="M935" s="3">
        <v>268</v>
      </c>
      <c r="N935" s="3">
        <f t="shared" si="250"/>
        <v>1768800</v>
      </c>
      <c r="O935" s="3">
        <v>0</v>
      </c>
      <c r="P935" s="3">
        <v>0</v>
      </c>
      <c r="Q935" s="13">
        <v>0</v>
      </c>
      <c r="R935" s="3">
        <f t="shared" si="251"/>
        <v>0</v>
      </c>
      <c r="S935" s="3">
        <v>0</v>
      </c>
      <c r="T935" s="13">
        <v>0</v>
      </c>
      <c r="U935" s="3">
        <v>0</v>
      </c>
      <c r="V935" s="5">
        <f t="shared" si="249"/>
        <v>6600</v>
      </c>
    </row>
    <row r="936" spans="1:258" ht="25.15" customHeight="1" x14ac:dyDescent="0.25">
      <c r="A936" s="21" t="s">
        <v>1729</v>
      </c>
      <c r="B936" s="24" t="s">
        <v>752</v>
      </c>
      <c r="C936" s="2">
        <f t="shared" si="247"/>
        <v>27351800</v>
      </c>
      <c r="D936" s="3">
        <f t="shared" si="248"/>
        <v>23260200</v>
      </c>
      <c r="E936" s="3">
        <f>700*7753.4</f>
        <v>5427380</v>
      </c>
      <c r="F936" s="3">
        <f>1300*7753.4</f>
        <v>10079420</v>
      </c>
      <c r="G936" s="3">
        <f>300*7753.4</f>
        <v>2326020</v>
      </c>
      <c r="H936" s="3">
        <f>400*7753.4</f>
        <v>3101360</v>
      </c>
      <c r="I936" s="3">
        <f>300*7753.4</f>
        <v>2326020</v>
      </c>
      <c r="J936" s="3">
        <v>0</v>
      </c>
      <c r="K936" s="4">
        <v>0</v>
      </c>
      <c r="L936" s="3">
        <v>0</v>
      </c>
      <c r="M936" s="3">
        <v>438</v>
      </c>
      <c r="N936" s="3">
        <f t="shared" si="250"/>
        <v>2890800</v>
      </c>
      <c r="O936" s="3">
        <v>0</v>
      </c>
      <c r="P936" s="3">
        <v>0</v>
      </c>
      <c r="Q936" s="3">
        <v>344</v>
      </c>
      <c r="R936" s="3">
        <f t="shared" si="251"/>
        <v>1100800</v>
      </c>
      <c r="S936" s="3">
        <v>0</v>
      </c>
      <c r="T936" s="13">
        <v>0</v>
      </c>
      <c r="U936" s="3">
        <v>100000</v>
      </c>
      <c r="V936" s="5">
        <f t="shared" si="249"/>
        <v>6600</v>
      </c>
    </row>
    <row r="937" spans="1:258" ht="25.15" customHeight="1" x14ac:dyDescent="0.25">
      <c r="A937" s="21" t="s">
        <v>1730</v>
      </c>
      <c r="B937" s="24" t="s">
        <v>1184</v>
      </c>
      <c r="C937" s="2">
        <f t="shared" si="247"/>
        <v>300000</v>
      </c>
      <c r="D937" s="3">
        <f t="shared" si="248"/>
        <v>0</v>
      </c>
      <c r="E937" s="3">
        <v>0</v>
      </c>
      <c r="F937" s="3">
        <v>0</v>
      </c>
      <c r="G937" s="3">
        <v>0</v>
      </c>
      <c r="H937" s="3">
        <v>0</v>
      </c>
      <c r="I937" s="3">
        <v>0</v>
      </c>
      <c r="J937" s="3">
        <v>0</v>
      </c>
      <c r="K937" s="4">
        <v>0</v>
      </c>
      <c r="L937" s="3">
        <v>0</v>
      </c>
      <c r="M937" s="3">
        <v>0</v>
      </c>
      <c r="N937" s="3">
        <f t="shared" si="250"/>
        <v>0</v>
      </c>
      <c r="O937" s="3">
        <v>0</v>
      </c>
      <c r="P937" s="3">
        <v>0</v>
      </c>
      <c r="Q937" s="13">
        <v>0</v>
      </c>
      <c r="R937" s="3">
        <f t="shared" si="251"/>
        <v>0</v>
      </c>
      <c r="S937" s="3">
        <v>0</v>
      </c>
      <c r="T937" s="13">
        <v>0</v>
      </c>
      <c r="U937" s="3">
        <v>300000</v>
      </c>
      <c r="V937" s="5" t="e">
        <f t="shared" si="249"/>
        <v>#DIV/0!</v>
      </c>
    </row>
    <row r="938" spans="1:258" ht="25.15" customHeight="1" x14ac:dyDescent="0.25">
      <c r="A938" s="21" t="s">
        <v>1731</v>
      </c>
      <c r="B938" s="24" t="s">
        <v>505</v>
      </c>
      <c r="C938" s="2">
        <f t="shared" si="247"/>
        <v>3432000</v>
      </c>
      <c r="D938" s="3">
        <f t="shared" si="248"/>
        <v>0</v>
      </c>
      <c r="E938" s="3">
        <v>0</v>
      </c>
      <c r="F938" s="3">
        <v>0</v>
      </c>
      <c r="G938" s="3">
        <v>0</v>
      </c>
      <c r="H938" s="3">
        <v>0</v>
      </c>
      <c r="I938" s="3">
        <v>0</v>
      </c>
      <c r="J938" s="3">
        <v>0</v>
      </c>
      <c r="K938" s="14">
        <v>0</v>
      </c>
      <c r="L938" s="13">
        <v>0</v>
      </c>
      <c r="M938" s="13">
        <v>520</v>
      </c>
      <c r="N938" s="3">
        <f t="shared" si="250"/>
        <v>3432000</v>
      </c>
      <c r="O938" s="13">
        <v>0</v>
      </c>
      <c r="P938" s="13">
        <v>0</v>
      </c>
      <c r="Q938" s="13">
        <v>0</v>
      </c>
      <c r="R938" s="3">
        <f t="shared" si="251"/>
        <v>0</v>
      </c>
      <c r="S938" s="13">
        <v>0</v>
      </c>
      <c r="T938" s="13">
        <v>0</v>
      </c>
      <c r="U938" s="13">
        <v>0</v>
      </c>
      <c r="V938" s="5">
        <f t="shared" si="249"/>
        <v>6600</v>
      </c>
    </row>
    <row r="939" spans="1:258" ht="25.15" customHeight="1" x14ac:dyDescent="0.25">
      <c r="A939" s="21" t="s">
        <v>1732</v>
      </c>
      <c r="B939" s="27" t="s">
        <v>753</v>
      </c>
      <c r="C939" s="2">
        <f t="shared" si="247"/>
        <v>3579179.9999999995</v>
      </c>
      <c r="D939" s="3">
        <f t="shared" si="248"/>
        <v>0</v>
      </c>
      <c r="E939" s="3">
        <v>0</v>
      </c>
      <c r="F939" s="3">
        <v>0</v>
      </c>
      <c r="G939" s="3">
        <v>0</v>
      </c>
      <c r="H939" s="3">
        <v>0</v>
      </c>
      <c r="I939" s="3">
        <v>0</v>
      </c>
      <c r="J939" s="3">
        <v>0</v>
      </c>
      <c r="K939" s="4">
        <v>0</v>
      </c>
      <c r="L939" s="3">
        <v>0</v>
      </c>
      <c r="M939" s="3">
        <v>542.29999999999995</v>
      </c>
      <c r="N939" s="3">
        <f t="shared" si="250"/>
        <v>3579179.9999999995</v>
      </c>
      <c r="O939" s="3">
        <v>0</v>
      </c>
      <c r="P939" s="3">
        <v>0</v>
      </c>
      <c r="Q939" s="13">
        <v>0</v>
      </c>
      <c r="R939" s="3">
        <f t="shared" si="251"/>
        <v>0</v>
      </c>
      <c r="S939" s="3">
        <v>0</v>
      </c>
      <c r="T939" s="13">
        <v>0</v>
      </c>
      <c r="U939" s="3">
        <v>0</v>
      </c>
      <c r="V939" s="5">
        <f t="shared" si="249"/>
        <v>6600</v>
      </c>
    </row>
    <row r="940" spans="1:258" ht="25.15" customHeight="1" x14ac:dyDescent="0.25">
      <c r="A940" s="21" t="s">
        <v>1733</v>
      </c>
      <c r="B940" s="24" t="s">
        <v>678</v>
      </c>
      <c r="C940" s="2">
        <f t="shared" si="247"/>
        <v>5766100</v>
      </c>
      <c r="D940" s="3">
        <f t="shared" si="248"/>
        <v>5666100</v>
      </c>
      <c r="E940" s="3">
        <f>700*1888.7</f>
        <v>1322090</v>
      </c>
      <c r="F940" s="3">
        <f>1300*1888.7</f>
        <v>2455310</v>
      </c>
      <c r="G940" s="3">
        <f>300*1888.7</f>
        <v>566610</v>
      </c>
      <c r="H940" s="3">
        <f>400*1888.7</f>
        <v>755480</v>
      </c>
      <c r="I940" s="3">
        <f>300*1888.7</f>
        <v>566610</v>
      </c>
      <c r="J940" s="3">
        <v>0</v>
      </c>
      <c r="K940" s="4">
        <v>0</v>
      </c>
      <c r="L940" s="3">
        <v>0</v>
      </c>
      <c r="M940" s="3">
        <v>0</v>
      </c>
      <c r="N940" s="3">
        <f t="shared" si="250"/>
        <v>0</v>
      </c>
      <c r="O940" s="3">
        <v>0</v>
      </c>
      <c r="P940" s="3">
        <v>0</v>
      </c>
      <c r="Q940" s="13">
        <v>0</v>
      </c>
      <c r="R940" s="3">
        <f t="shared" si="251"/>
        <v>0</v>
      </c>
      <c r="S940" s="3">
        <v>0</v>
      </c>
      <c r="T940" s="13">
        <v>0</v>
      </c>
      <c r="U940" s="3">
        <v>100000</v>
      </c>
      <c r="V940" s="5" t="e">
        <f t="shared" si="249"/>
        <v>#DIV/0!</v>
      </c>
    </row>
    <row r="941" spans="1:258" ht="25.15" customHeight="1" x14ac:dyDescent="0.25">
      <c r="A941" s="21" t="s">
        <v>1734</v>
      </c>
      <c r="B941" s="24" t="s">
        <v>754</v>
      </c>
      <c r="C941" s="2">
        <f t="shared" si="247"/>
        <v>3768600</v>
      </c>
      <c r="D941" s="3">
        <f t="shared" si="248"/>
        <v>0</v>
      </c>
      <c r="E941" s="3">
        <v>0</v>
      </c>
      <c r="F941" s="3">
        <v>0</v>
      </c>
      <c r="G941" s="3">
        <v>0</v>
      </c>
      <c r="H941" s="3">
        <v>0</v>
      </c>
      <c r="I941" s="3">
        <v>0</v>
      </c>
      <c r="J941" s="3">
        <v>0</v>
      </c>
      <c r="K941" s="4">
        <v>0</v>
      </c>
      <c r="L941" s="3">
        <v>0</v>
      </c>
      <c r="M941" s="3">
        <v>571</v>
      </c>
      <c r="N941" s="3">
        <f t="shared" si="250"/>
        <v>3768600</v>
      </c>
      <c r="O941" s="3">
        <v>0</v>
      </c>
      <c r="P941" s="3">
        <v>0</v>
      </c>
      <c r="Q941" s="13">
        <v>0</v>
      </c>
      <c r="R941" s="3">
        <f t="shared" si="251"/>
        <v>0</v>
      </c>
      <c r="S941" s="3">
        <v>0</v>
      </c>
      <c r="T941" s="13">
        <v>0</v>
      </c>
      <c r="U941" s="3">
        <v>0</v>
      </c>
      <c r="V941" s="5">
        <f t="shared" si="249"/>
        <v>6600</v>
      </c>
    </row>
    <row r="942" spans="1:258" s="42" customFormat="1" ht="25.15" customHeight="1" x14ac:dyDescent="0.25">
      <c r="A942" s="21" t="s">
        <v>1735</v>
      </c>
      <c r="B942" s="24" t="s">
        <v>679</v>
      </c>
      <c r="C942" s="2">
        <f t="shared" si="247"/>
        <v>3292740</v>
      </c>
      <c r="D942" s="3">
        <f t="shared" si="248"/>
        <v>0</v>
      </c>
      <c r="E942" s="3">
        <v>0</v>
      </c>
      <c r="F942" s="3">
        <v>0</v>
      </c>
      <c r="G942" s="3">
        <v>0</v>
      </c>
      <c r="H942" s="3">
        <v>0</v>
      </c>
      <c r="I942" s="3">
        <v>0</v>
      </c>
      <c r="J942" s="3">
        <v>0</v>
      </c>
      <c r="K942" s="4">
        <v>0</v>
      </c>
      <c r="L942" s="3">
        <v>0</v>
      </c>
      <c r="M942" s="3">
        <v>498.9</v>
      </c>
      <c r="N942" s="3">
        <f t="shared" si="250"/>
        <v>3292740</v>
      </c>
      <c r="O942" s="3">
        <v>0</v>
      </c>
      <c r="P942" s="3">
        <v>0</v>
      </c>
      <c r="Q942" s="13">
        <v>0</v>
      </c>
      <c r="R942" s="3">
        <f t="shared" si="251"/>
        <v>0</v>
      </c>
      <c r="S942" s="3">
        <v>0</v>
      </c>
      <c r="T942" s="13">
        <v>0</v>
      </c>
      <c r="U942" s="3">
        <v>0</v>
      </c>
      <c r="V942" s="5">
        <f t="shared" si="249"/>
        <v>6600</v>
      </c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  <c r="BO942" s="6"/>
      <c r="BP942" s="6"/>
      <c r="BQ942" s="6"/>
      <c r="BR942" s="6"/>
      <c r="BS942" s="6"/>
      <c r="BT942" s="6"/>
      <c r="BU942" s="6"/>
      <c r="BV942" s="6"/>
      <c r="BW942" s="6"/>
      <c r="BX942" s="6"/>
      <c r="BY942" s="6"/>
      <c r="BZ942" s="6"/>
      <c r="CA942" s="6"/>
      <c r="CB942" s="6"/>
      <c r="CC942" s="6"/>
      <c r="CD942" s="6"/>
      <c r="CE942" s="6"/>
      <c r="CF942" s="6"/>
      <c r="CG942" s="6"/>
      <c r="CH942" s="6"/>
      <c r="CI942" s="6"/>
      <c r="CJ942" s="6"/>
      <c r="CK942" s="6"/>
      <c r="CL942" s="6"/>
      <c r="CM942" s="6"/>
      <c r="CN942" s="6"/>
      <c r="CO942" s="6"/>
      <c r="CP942" s="6"/>
      <c r="CQ942" s="6"/>
      <c r="CR942" s="6"/>
      <c r="CS942" s="6"/>
      <c r="CT942" s="6"/>
      <c r="CU942" s="6"/>
      <c r="CV942" s="6"/>
      <c r="CW942" s="6"/>
      <c r="CX942" s="6"/>
      <c r="CY942" s="6"/>
      <c r="CZ942" s="6"/>
      <c r="DA942" s="6"/>
      <c r="DB942" s="6"/>
      <c r="DC942" s="6"/>
      <c r="DD942" s="6"/>
      <c r="DE942" s="6"/>
      <c r="DF942" s="6"/>
      <c r="DG942" s="6"/>
      <c r="DH942" s="6"/>
      <c r="DI942" s="6"/>
      <c r="DJ942" s="6"/>
      <c r="DK942" s="6"/>
      <c r="DL942" s="6"/>
      <c r="DM942" s="6"/>
      <c r="DN942" s="6"/>
      <c r="DO942" s="6"/>
      <c r="DP942" s="6"/>
      <c r="DQ942" s="6"/>
      <c r="DR942" s="6"/>
      <c r="DS942" s="6"/>
      <c r="DT942" s="6"/>
      <c r="DU942" s="6"/>
      <c r="DV942" s="6"/>
      <c r="DW942" s="6"/>
      <c r="DX942" s="6"/>
      <c r="DY942" s="6"/>
      <c r="DZ942" s="6"/>
      <c r="EA942" s="6"/>
      <c r="EB942" s="6"/>
      <c r="EC942" s="6"/>
      <c r="ED942" s="6"/>
      <c r="EE942" s="6"/>
      <c r="EF942" s="6"/>
      <c r="EG942" s="6"/>
      <c r="EH942" s="6"/>
      <c r="EI942" s="6"/>
      <c r="EJ942" s="6"/>
      <c r="EK942" s="6"/>
      <c r="EL942" s="6"/>
      <c r="EM942" s="6"/>
      <c r="EN942" s="6"/>
      <c r="EO942" s="6"/>
      <c r="EP942" s="6"/>
      <c r="EQ942" s="6"/>
      <c r="ER942" s="6"/>
      <c r="ES942" s="6"/>
      <c r="ET942" s="6"/>
      <c r="EU942" s="6"/>
      <c r="EV942" s="6"/>
      <c r="EW942" s="6"/>
      <c r="EX942" s="6"/>
      <c r="EY942" s="6"/>
      <c r="EZ942" s="6"/>
      <c r="FA942" s="6"/>
      <c r="FB942" s="6"/>
      <c r="FC942" s="6"/>
      <c r="FD942" s="6"/>
      <c r="FE942" s="6"/>
      <c r="FF942" s="6"/>
      <c r="FG942" s="6"/>
      <c r="FH942" s="6"/>
      <c r="FI942" s="6"/>
      <c r="FJ942" s="6"/>
      <c r="FK942" s="6"/>
      <c r="FL942" s="6"/>
      <c r="FM942" s="6"/>
      <c r="FN942" s="6"/>
      <c r="FO942" s="6"/>
      <c r="FP942" s="6"/>
      <c r="FQ942" s="6"/>
      <c r="FR942" s="6"/>
      <c r="FS942" s="6"/>
      <c r="FT942" s="6"/>
      <c r="FU942" s="6"/>
      <c r="FV942" s="6"/>
      <c r="FW942" s="6"/>
      <c r="FX942" s="6"/>
      <c r="FY942" s="6"/>
      <c r="FZ942" s="6"/>
      <c r="GA942" s="6"/>
      <c r="GB942" s="6"/>
      <c r="GC942" s="6"/>
      <c r="GD942" s="6"/>
      <c r="GE942" s="6"/>
      <c r="GF942" s="6"/>
      <c r="GG942" s="6"/>
      <c r="GH942" s="6"/>
      <c r="GI942" s="6"/>
      <c r="GJ942" s="6"/>
      <c r="GK942" s="6"/>
      <c r="GL942" s="6"/>
      <c r="GM942" s="6"/>
      <c r="GN942" s="6"/>
      <c r="GO942" s="6"/>
      <c r="GP942" s="6"/>
      <c r="GQ942" s="6"/>
      <c r="GR942" s="6"/>
      <c r="GS942" s="6"/>
      <c r="GT942" s="6"/>
      <c r="GU942" s="6"/>
      <c r="GV942" s="6"/>
      <c r="GW942" s="6"/>
      <c r="GX942" s="6"/>
      <c r="GY942" s="6"/>
      <c r="GZ942" s="6"/>
      <c r="HA942" s="6"/>
      <c r="HB942" s="6"/>
      <c r="HC942" s="6"/>
      <c r="HD942" s="6"/>
      <c r="HE942" s="6"/>
      <c r="HF942" s="6"/>
      <c r="HG942" s="6"/>
      <c r="HH942" s="6"/>
      <c r="HI942" s="6"/>
      <c r="HJ942" s="6"/>
      <c r="HK942" s="6"/>
      <c r="HL942" s="6"/>
      <c r="HM942" s="6"/>
      <c r="HN942" s="6"/>
      <c r="HO942" s="6"/>
      <c r="HP942" s="6"/>
      <c r="HQ942" s="6"/>
      <c r="HR942" s="6"/>
      <c r="HS942" s="6"/>
      <c r="HT942" s="6"/>
      <c r="HU942" s="6"/>
      <c r="HV942" s="6"/>
      <c r="HW942" s="6"/>
      <c r="HX942" s="6"/>
      <c r="HY942" s="6"/>
      <c r="HZ942" s="6"/>
      <c r="IA942" s="6"/>
      <c r="IB942" s="6"/>
      <c r="IC942" s="6"/>
      <c r="ID942" s="6"/>
      <c r="IE942" s="6"/>
      <c r="IF942" s="6"/>
      <c r="IG942" s="6"/>
      <c r="IH942" s="6"/>
      <c r="II942" s="6"/>
      <c r="IJ942" s="6"/>
      <c r="IK942" s="6"/>
      <c r="IL942" s="6"/>
      <c r="IM942" s="6"/>
      <c r="IN942" s="6"/>
      <c r="IO942" s="6"/>
      <c r="IP942" s="6"/>
      <c r="IQ942" s="6"/>
      <c r="IR942" s="6"/>
      <c r="IS942" s="6"/>
      <c r="IT942" s="6"/>
      <c r="IU942" s="6"/>
      <c r="IV942" s="6"/>
      <c r="IW942" s="6"/>
      <c r="IX942" s="6"/>
    </row>
    <row r="943" spans="1:258" ht="25.15" customHeight="1" x14ac:dyDescent="0.25">
      <c r="A943" s="21" t="s">
        <v>1736</v>
      </c>
      <c r="B943" s="24" t="s">
        <v>680</v>
      </c>
      <c r="C943" s="2">
        <f t="shared" si="247"/>
        <v>3292740</v>
      </c>
      <c r="D943" s="3">
        <f t="shared" si="248"/>
        <v>0</v>
      </c>
      <c r="E943" s="3">
        <v>0</v>
      </c>
      <c r="F943" s="3">
        <v>0</v>
      </c>
      <c r="G943" s="3">
        <v>0</v>
      </c>
      <c r="H943" s="3">
        <v>0</v>
      </c>
      <c r="I943" s="3">
        <v>0</v>
      </c>
      <c r="J943" s="3">
        <v>0</v>
      </c>
      <c r="K943" s="4">
        <v>0</v>
      </c>
      <c r="L943" s="3">
        <v>0</v>
      </c>
      <c r="M943" s="3">
        <v>498.9</v>
      </c>
      <c r="N943" s="3">
        <f t="shared" si="250"/>
        <v>3292740</v>
      </c>
      <c r="O943" s="3">
        <v>0</v>
      </c>
      <c r="P943" s="3">
        <v>0</v>
      </c>
      <c r="Q943" s="13">
        <v>0</v>
      </c>
      <c r="R943" s="3">
        <f t="shared" si="251"/>
        <v>0</v>
      </c>
      <c r="S943" s="3">
        <v>0</v>
      </c>
      <c r="T943" s="13">
        <v>0</v>
      </c>
      <c r="U943" s="3">
        <v>0</v>
      </c>
      <c r="V943" s="5">
        <f t="shared" si="249"/>
        <v>6600</v>
      </c>
    </row>
    <row r="944" spans="1:258" ht="25.15" customHeight="1" x14ac:dyDescent="0.25">
      <c r="A944" s="21" t="s">
        <v>1737</v>
      </c>
      <c r="B944" s="24" t="s">
        <v>755</v>
      </c>
      <c r="C944" s="2">
        <f t="shared" si="247"/>
        <v>4133579.9999999995</v>
      </c>
      <c r="D944" s="3">
        <f t="shared" si="248"/>
        <v>0</v>
      </c>
      <c r="E944" s="3">
        <v>0</v>
      </c>
      <c r="F944" s="3">
        <v>0</v>
      </c>
      <c r="G944" s="3">
        <v>0</v>
      </c>
      <c r="H944" s="3">
        <v>0</v>
      </c>
      <c r="I944" s="3">
        <v>0</v>
      </c>
      <c r="J944" s="3">
        <v>0</v>
      </c>
      <c r="K944" s="4">
        <v>0</v>
      </c>
      <c r="L944" s="3">
        <v>0</v>
      </c>
      <c r="M944" s="3">
        <v>626.29999999999995</v>
      </c>
      <c r="N944" s="3">
        <f t="shared" si="250"/>
        <v>4133579.9999999995</v>
      </c>
      <c r="O944" s="3">
        <v>0</v>
      </c>
      <c r="P944" s="3">
        <v>0</v>
      </c>
      <c r="Q944" s="13">
        <v>0</v>
      </c>
      <c r="R944" s="3">
        <f t="shared" si="251"/>
        <v>0</v>
      </c>
      <c r="S944" s="3">
        <v>0</v>
      </c>
      <c r="T944" s="13">
        <v>0</v>
      </c>
      <c r="U944" s="3">
        <v>0</v>
      </c>
      <c r="V944" s="5">
        <f t="shared" si="249"/>
        <v>6600</v>
      </c>
    </row>
    <row r="945" spans="1:258" ht="25.15" customHeight="1" x14ac:dyDescent="0.25">
      <c r="A945" s="21" t="s">
        <v>1738</v>
      </c>
      <c r="B945" s="24" t="s">
        <v>579</v>
      </c>
      <c r="C945" s="2">
        <f t="shared" si="247"/>
        <v>2968840</v>
      </c>
      <c r="D945" s="3">
        <f t="shared" si="248"/>
        <v>2968840</v>
      </c>
      <c r="E945" s="3">
        <v>0</v>
      </c>
      <c r="F945" s="3">
        <f>1300*1290.8</f>
        <v>1678040</v>
      </c>
      <c r="G945" s="3">
        <f>300*1290.8</f>
        <v>387240</v>
      </c>
      <c r="H945" s="3">
        <f>400*1290.8</f>
        <v>516320</v>
      </c>
      <c r="I945" s="3">
        <f>300*1290.8</f>
        <v>387240</v>
      </c>
      <c r="J945" s="3">
        <f>350*0</f>
        <v>0</v>
      </c>
      <c r="K945" s="14">
        <v>0</v>
      </c>
      <c r="L945" s="13">
        <v>0</v>
      </c>
      <c r="M945" s="13">
        <v>0</v>
      </c>
      <c r="N945" s="13">
        <v>0</v>
      </c>
      <c r="O945" s="13">
        <v>0</v>
      </c>
      <c r="P945" s="13">
        <v>0</v>
      </c>
      <c r="Q945" s="13">
        <v>0</v>
      </c>
      <c r="R945" s="3">
        <f>Q945*3000</f>
        <v>0</v>
      </c>
      <c r="S945" s="13">
        <v>0</v>
      </c>
      <c r="T945" s="13">
        <v>0</v>
      </c>
      <c r="U945" s="13">
        <v>0</v>
      </c>
      <c r="V945" s="5" t="e">
        <f t="shared" si="249"/>
        <v>#DIV/0!</v>
      </c>
    </row>
    <row r="946" spans="1:258" ht="25.15" customHeight="1" x14ac:dyDescent="0.25">
      <c r="A946" s="21" t="s">
        <v>1739</v>
      </c>
      <c r="B946" s="27" t="s">
        <v>757</v>
      </c>
      <c r="C946" s="2">
        <f t="shared" si="247"/>
        <v>4045800</v>
      </c>
      <c r="D946" s="3">
        <f t="shared" si="248"/>
        <v>0</v>
      </c>
      <c r="E946" s="3">
        <v>0</v>
      </c>
      <c r="F946" s="3">
        <v>0</v>
      </c>
      <c r="G946" s="3">
        <v>0</v>
      </c>
      <c r="H946" s="3">
        <v>0</v>
      </c>
      <c r="I946" s="3">
        <v>0</v>
      </c>
      <c r="J946" s="3">
        <v>0</v>
      </c>
      <c r="K946" s="4">
        <v>0</v>
      </c>
      <c r="L946" s="3">
        <v>0</v>
      </c>
      <c r="M946" s="13">
        <v>613</v>
      </c>
      <c r="N946" s="3">
        <f t="shared" ref="N946:N964" si="252">M946*6600</f>
        <v>4045800</v>
      </c>
      <c r="O946" s="3">
        <v>0</v>
      </c>
      <c r="P946" s="3">
        <v>0</v>
      </c>
      <c r="Q946" s="13">
        <v>0</v>
      </c>
      <c r="R946" s="3">
        <f>Q946*3200</f>
        <v>0</v>
      </c>
      <c r="S946" s="3">
        <v>0</v>
      </c>
      <c r="T946" s="13">
        <v>0</v>
      </c>
      <c r="U946" s="3">
        <v>0</v>
      </c>
      <c r="V946" s="5">
        <f t="shared" si="249"/>
        <v>6600</v>
      </c>
    </row>
    <row r="947" spans="1:258" ht="25.15" customHeight="1" x14ac:dyDescent="0.25">
      <c r="A947" s="21" t="s">
        <v>1740</v>
      </c>
      <c r="B947" s="27" t="s">
        <v>509</v>
      </c>
      <c r="C947" s="2">
        <f t="shared" si="247"/>
        <v>1795200</v>
      </c>
      <c r="D947" s="3">
        <f t="shared" si="248"/>
        <v>0</v>
      </c>
      <c r="E947" s="3">
        <v>0</v>
      </c>
      <c r="F947" s="3">
        <v>0</v>
      </c>
      <c r="G947" s="3">
        <v>0</v>
      </c>
      <c r="H947" s="3">
        <v>0</v>
      </c>
      <c r="I947" s="3">
        <v>0</v>
      </c>
      <c r="J947" s="3">
        <v>0</v>
      </c>
      <c r="K947" s="14">
        <v>0</v>
      </c>
      <c r="L947" s="13">
        <v>0</v>
      </c>
      <c r="M947" s="13">
        <v>272</v>
      </c>
      <c r="N947" s="3">
        <f t="shared" si="252"/>
        <v>1795200</v>
      </c>
      <c r="O947" s="13">
        <v>0</v>
      </c>
      <c r="P947" s="13">
        <v>0</v>
      </c>
      <c r="Q947" s="13">
        <v>0</v>
      </c>
      <c r="R947" s="3">
        <f>Q947*3200</f>
        <v>0</v>
      </c>
      <c r="S947" s="13">
        <v>0</v>
      </c>
      <c r="T947" s="13">
        <v>0</v>
      </c>
      <c r="U947" s="13">
        <v>0</v>
      </c>
      <c r="V947" s="5">
        <f t="shared" si="249"/>
        <v>6600</v>
      </c>
    </row>
    <row r="948" spans="1:258" ht="25.15" customHeight="1" x14ac:dyDescent="0.25">
      <c r="A948" s="21" t="s">
        <v>1741</v>
      </c>
      <c r="B948" s="27" t="s">
        <v>756</v>
      </c>
      <c r="C948" s="2">
        <f t="shared" si="247"/>
        <v>4052400</v>
      </c>
      <c r="D948" s="3">
        <f t="shared" si="248"/>
        <v>0</v>
      </c>
      <c r="E948" s="3">
        <v>0</v>
      </c>
      <c r="F948" s="3">
        <v>0</v>
      </c>
      <c r="G948" s="3">
        <v>0</v>
      </c>
      <c r="H948" s="3">
        <v>0</v>
      </c>
      <c r="I948" s="3">
        <v>0</v>
      </c>
      <c r="J948" s="3">
        <v>0</v>
      </c>
      <c r="K948" s="4">
        <v>0</v>
      </c>
      <c r="L948" s="3">
        <v>0</v>
      </c>
      <c r="M948" s="13">
        <v>614</v>
      </c>
      <c r="N948" s="3">
        <f t="shared" si="252"/>
        <v>4052400</v>
      </c>
      <c r="O948" s="3">
        <v>0</v>
      </c>
      <c r="P948" s="3">
        <v>0</v>
      </c>
      <c r="Q948" s="13">
        <v>0</v>
      </c>
      <c r="R948" s="3">
        <f>Q948*3200</f>
        <v>0</v>
      </c>
      <c r="S948" s="3">
        <v>0</v>
      </c>
      <c r="T948" s="13">
        <v>0</v>
      </c>
      <c r="U948" s="3">
        <v>0</v>
      </c>
      <c r="V948" s="5">
        <f t="shared" si="249"/>
        <v>6600</v>
      </c>
    </row>
    <row r="949" spans="1:258" ht="24.6" customHeight="1" x14ac:dyDescent="0.25">
      <c r="A949" s="21" t="s">
        <v>1742</v>
      </c>
      <c r="B949" s="28" t="s">
        <v>816</v>
      </c>
      <c r="C949" s="2">
        <f t="shared" si="247"/>
        <v>15198000</v>
      </c>
      <c r="D949" s="3">
        <f t="shared" si="248"/>
        <v>0</v>
      </c>
      <c r="E949" s="3">
        <v>0</v>
      </c>
      <c r="F949" s="3">
        <v>0</v>
      </c>
      <c r="G949" s="3">
        <v>0</v>
      </c>
      <c r="H949" s="3">
        <v>0</v>
      </c>
      <c r="I949" s="3">
        <v>0</v>
      </c>
      <c r="J949" s="3">
        <v>0</v>
      </c>
      <c r="K949" s="4">
        <v>0</v>
      </c>
      <c r="L949" s="3">
        <v>0</v>
      </c>
      <c r="M949" s="3">
        <v>1110</v>
      </c>
      <c r="N949" s="3">
        <f t="shared" si="252"/>
        <v>7326000</v>
      </c>
      <c r="O949" s="3">
        <v>0</v>
      </c>
      <c r="P949" s="3">
        <v>0</v>
      </c>
      <c r="Q949" s="3">
        <v>2460</v>
      </c>
      <c r="R949" s="3">
        <f>Q949*3200</f>
        <v>7872000</v>
      </c>
      <c r="S949" s="3">
        <v>0</v>
      </c>
      <c r="T949" s="13">
        <v>0</v>
      </c>
      <c r="U949" s="3">
        <v>0</v>
      </c>
      <c r="V949" s="5">
        <f t="shared" si="249"/>
        <v>6600</v>
      </c>
    </row>
    <row r="950" spans="1:258" ht="25.15" customHeight="1" x14ac:dyDescent="0.25">
      <c r="A950" s="21" t="s">
        <v>1743</v>
      </c>
      <c r="B950" s="28" t="s">
        <v>1199</v>
      </c>
      <c r="C950" s="2">
        <f t="shared" si="247"/>
        <v>8132374</v>
      </c>
      <c r="D950" s="3">
        <f t="shared" si="248"/>
        <v>0</v>
      </c>
      <c r="E950" s="3">
        <v>0</v>
      </c>
      <c r="F950" s="3">
        <v>0</v>
      </c>
      <c r="G950" s="3">
        <v>0</v>
      </c>
      <c r="H950" s="3">
        <v>0</v>
      </c>
      <c r="I950" s="3">
        <v>0</v>
      </c>
      <c r="J950" s="3">
        <v>0</v>
      </c>
      <c r="K950" s="4">
        <v>0</v>
      </c>
      <c r="L950" s="3">
        <v>0</v>
      </c>
      <c r="M950" s="3">
        <v>553.39</v>
      </c>
      <c r="N950" s="3">
        <f t="shared" si="252"/>
        <v>3652374</v>
      </c>
      <c r="O950" s="3">
        <v>0</v>
      </c>
      <c r="P950" s="3">
        <v>0</v>
      </c>
      <c r="Q950" s="3">
        <v>1400</v>
      </c>
      <c r="R950" s="13">
        <f>Q950*3200</f>
        <v>4480000</v>
      </c>
      <c r="S950" s="3">
        <v>0</v>
      </c>
      <c r="T950" s="3">
        <v>0</v>
      </c>
      <c r="U950" s="3">
        <v>0</v>
      </c>
      <c r="V950" s="5">
        <f t="shared" si="249"/>
        <v>6600</v>
      </c>
    </row>
    <row r="951" spans="1:258" ht="25.15" customHeight="1" x14ac:dyDescent="0.25">
      <c r="A951" s="21" t="s">
        <v>1812</v>
      </c>
      <c r="B951" s="24" t="s">
        <v>510</v>
      </c>
      <c r="C951" s="2">
        <f t="shared" si="247"/>
        <v>4111180</v>
      </c>
      <c r="D951" s="3">
        <f t="shared" si="248"/>
        <v>449820</v>
      </c>
      <c r="E951" s="3">
        <f>700*642.6</f>
        <v>449820</v>
      </c>
      <c r="F951" s="3">
        <v>0</v>
      </c>
      <c r="G951" s="3">
        <v>0</v>
      </c>
      <c r="H951" s="3">
        <v>0</v>
      </c>
      <c r="I951" s="3">
        <v>0</v>
      </c>
      <c r="J951" s="3">
        <f>350*0</f>
        <v>0</v>
      </c>
      <c r="K951" s="14">
        <v>0</v>
      </c>
      <c r="L951" s="13">
        <v>0</v>
      </c>
      <c r="M951" s="13">
        <v>539.6</v>
      </c>
      <c r="N951" s="3">
        <f t="shared" si="252"/>
        <v>3561360</v>
      </c>
      <c r="O951" s="13">
        <v>0</v>
      </c>
      <c r="P951" s="13">
        <v>0</v>
      </c>
      <c r="Q951" s="13">
        <v>0</v>
      </c>
      <c r="R951" s="3">
        <f>Q951*3000</f>
        <v>0</v>
      </c>
      <c r="S951" s="13">
        <v>0</v>
      </c>
      <c r="T951" s="13">
        <v>0</v>
      </c>
      <c r="U951" s="13">
        <v>100000</v>
      </c>
      <c r="V951" s="5">
        <f t="shared" si="249"/>
        <v>6600</v>
      </c>
    </row>
    <row r="952" spans="1:258" ht="25.15" customHeight="1" x14ac:dyDescent="0.25">
      <c r="A952" s="21" t="s">
        <v>1813</v>
      </c>
      <c r="B952" s="24" t="s">
        <v>681</v>
      </c>
      <c r="C952" s="2">
        <f t="shared" si="247"/>
        <v>1854600</v>
      </c>
      <c r="D952" s="3">
        <f t="shared" si="248"/>
        <v>0</v>
      </c>
      <c r="E952" s="3">
        <v>0</v>
      </c>
      <c r="F952" s="3">
        <v>0</v>
      </c>
      <c r="G952" s="3">
        <v>0</v>
      </c>
      <c r="H952" s="3">
        <v>0</v>
      </c>
      <c r="I952" s="3">
        <v>0</v>
      </c>
      <c r="J952" s="3">
        <v>0</v>
      </c>
      <c r="K952" s="4">
        <v>0</v>
      </c>
      <c r="L952" s="3">
        <v>0</v>
      </c>
      <c r="M952" s="3">
        <v>281</v>
      </c>
      <c r="N952" s="3">
        <f t="shared" si="252"/>
        <v>1854600</v>
      </c>
      <c r="O952" s="3">
        <v>0</v>
      </c>
      <c r="P952" s="3">
        <v>0</v>
      </c>
      <c r="Q952" s="13">
        <v>0</v>
      </c>
      <c r="R952" s="3">
        <f>Q952*3200</f>
        <v>0</v>
      </c>
      <c r="S952" s="3">
        <v>0</v>
      </c>
      <c r="T952" s="13">
        <v>0</v>
      </c>
      <c r="U952" s="3">
        <v>0</v>
      </c>
      <c r="V952" s="5">
        <f t="shared" si="249"/>
        <v>6600</v>
      </c>
    </row>
    <row r="953" spans="1:258" ht="25.15" customHeight="1" x14ac:dyDescent="0.25">
      <c r="A953" s="21" t="s">
        <v>1744</v>
      </c>
      <c r="B953" s="28" t="s">
        <v>861</v>
      </c>
      <c r="C953" s="2">
        <f t="shared" si="247"/>
        <v>3656400</v>
      </c>
      <c r="D953" s="3">
        <f t="shared" si="248"/>
        <v>0</v>
      </c>
      <c r="E953" s="3">
        <v>0</v>
      </c>
      <c r="F953" s="3">
        <v>0</v>
      </c>
      <c r="G953" s="3">
        <v>0</v>
      </c>
      <c r="H953" s="3">
        <v>0</v>
      </c>
      <c r="I953" s="3">
        <v>0</v>
      </c>
      <c r="J953" s="3">
        <v>0</v>
      </c>
      <c r="K953" s="4">
        <v>0</v>
      </c>
      <c r="L953" s="3">
        <v>0</v>
      </c>
      <c r="M953" s="3">
        <v>554</v>
      </c>
      <c r="N953" s="3">
        <f t="shared" si="252"/>
        <v>3656400</v>
      </c>
      <c r="O953" s="3">
        <v>0</v>
      </c>
      <c r="P953" s="3">
        <v>0</v>
      </c>
      <c r="Q953" s="3">
        <v>0</v>
      </c>
      <c r="R953" s="3">
        <v>0</v>
      </c>
      <c r="S953" s="3">
        <v>0</v>
      </c>
      <c r="T953" s="3">
        <v>0</v>
      </c>
      <c r="U953" s="3">
        <v>0</v>
      </c>
      <c r="V953" s="5">
        <f t="shared" si="249"/>
        <v>6600</v>
      </c>
    </row>
    <row r="954" spans="1:258" ht="25.15" customHeight="1" x14ac:dyDescent="0.25">
      <c r="A954" s="21" t="s">
        <v>1745</v>
      </c>
      <c r="B954" s="27" t="s">
        <v>682</v>
      </c>
      <c r="C954" s="2">
        <f t="shared" si="247"/>
        <v>7949700</v>
      </c>
      <c r="D954" s="3">
        <f t="shared" si="248"/>
        <v>0</v>
      </c>
      <c r="E954" s="3">
        <v>0</v>
      </c>
      <c r="F954" s="3">
        <v>0</v>
      </c>
      <c r="G954" s="3">
        <v>0</v>
      </c>
      <c r="H954" s="3">
        <v>0</v>
      </c>
      <c r="I954" s="3">
        <v>0</v>
      </c>
      <c r="J954" s="3">
        <v>0</v>
      </c>
      <c r="K954" s="4">
        <v>0</v>
      </c>
      <c r="L954" s="3">
        <v>0</v>
      </c>
      <c r="M954" s="13">
        <v>1204.5</v>
      </c>
      <c r="N954" s="3">
        <f t="shared" si="252"/>
        <v>7949700</v>
      </c>
      <c r="O954" s="3">
        <v>0</v>
      </c>
      <c r="P954" s="3">
        <v>0</v>
      </c>
      <c r="Q954" s="13">
        <v>0</v>
      </c>
      <c r="R954" s="3">
        <f t="shared" ref="R954:R964" si="253">Q954*3200</f>
        <v>0</v>
      </c>
      <c r="S954" s="3">
        <v>0</v>
      </c>
      <c r="T954" s="13">
        <v>0</v>
      </c>
      <c r="U954" s="3">
        <v>0</v>
      </c>
      <c r="V954" s="5">
        <f t="shared" si="249"/>
        <v>6600</v>
      </c>
    </row>
    <row r="955" spans="1:258" ht="25.15" customHeight="1" x14ac:dyDescent="0.25">
      <c r="A955" s="21" t="s">
        <v>1746</v>
      </c>
      <c r="B955" s="24" t="s">
        <v>759</v>
      </c>
      <c r="C955" s="2">
        <f t="shared" si="247"/>
        <v>3884100</v>
      </c>
      <c r="D955" s="3">
        <f t="shared" si="248"/>
        <v>0</v>
      </c>
      <c r="E955" s="3">
        <v>0</v>
      </c>
      <c r="F955" s="3">
        <v>0</v>
      </c>
      <c r="G955" s="3">
        <v>0</v>
      </c>
      <c r="H955" s="3">
        <v>0</v>
      </c>
      <c r="I955" s="3">
        <v>0</v>
      </c>
      <c r="J955" s="3">
        <v>0</v>
      </c>
      <c r="K955" s="4">
        <v>0</v>
      </c>
      <c r="L955" s="3">
        <v>0</v>
      </c>
      <c r="M955" s="13">
        <v>588.5</v>
      </c>
      <c r="N955" s="3">
        <f t="shared" si="252"/>
        <v>3884100</v>
      </c>
      <c r="O955" s="3">
        <v>0</v>
      </c>
      <c r="P955" s="3">
        <v>0</v>
      </c>
      <c r="Q955" s="13">
        <v>0</v>
      </c>
      <c r="R955" s="3">
        <f t="shared" si="253"/>
        <v>0</v>
      </c>
      <c r="S955" s="3">
        <v>0</v>
      </c>
      <c r="T955" s="13">
        <v>0</v>
      </c>
      <c r="U955" s="3">
        <v>0</v>
      </c>
      <c r="V955" s="5">
        <f t="shared" si="249"/>
        <v>6600</v>
      </c>
    </row>
    <row r="956" spans="1:258" s="32" customFormat="1" ht="25.15" customHeight="1" x14ac:dyDescent="0.25">
      <c r="A956" s="21" t="s">
        <v>1747</v>
      </c>
      <c r="B956" s="24" t="s">
        <v>758</v>
      </c>
      <c r="C956" s="2">
        <f t="shared" si="247"/>
        <v>7894259.9999999991</v>
      </c>
      <c r="D956" s="3">
        <f t="shared" si="248"/>
        <v>0</v>
      </c>
      <c r="E956" s="3">
        <v>0</v>
      </c>
      <c r="F956" s="3">
        <v>0</v>
      </c>
      <c r="G956" s="3">
        <v>0</v>
      </c>
      <c r="H956" s="3">
        <v>0</v>
      </c>
      <c r="I956" s="3">
        <v>0</v>
      </c>
      <c r="J956" s="3">
        <v>0</v>
      </c>
      <c r="K956" s="4">
        <v>0</v>
      </c>
      <c r="L956" s="3">
        <v>0</v>
      </c>
      <c r="M956" s="13">
        <v>1196.0999999999999</v>
      </c>
      <c r="N956" s="3">
        <f t="shared" si="252"/>
        <v>7894259.9999999991</v>
      </c>
      <c r="O956" s="3">
        <v>0</v>
      </c>
      <c r="P956" s="3">
        <v>0</v>
      </c>
      <c r="Q956" s="13">
        <v>0</v>
      </c>
      <c r="R956" s="3">
        <f t="shared" si="253"/>
        <v>0</v>
      </c>
      <c r="S956" s="3">
        <v>0</v>
      </c>
      <c r="T956" s="13">
        <v>0</v>
      </c>
      <c r="U956" s="3">
        <v>0</v>
      </c>
      <c r="V956" s="5">
        <f t="shared" si="249"/>
        <v>6600</v>
      </c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  <c r="BO956" s="6"/>
      <c r="BP956" s="6"/>
      <c r="BQ956" s="6"/>
      <c r="BR956" s="6"/>
      <c r="BS956" s="6"/>
      <c r="BT956" s="6"/>
      <c r="BU956" s="6"/>
      <c r="BV956" s="6"/>
      <c r="BW956" s="6"/>
      <c r="BX956" s="6"/>
      <c r="BY956" s="6"/>
      <c r="BZ956" s="6"/>
      <c r="CA956" s="6"/>
      <c r="CB956" s="6"/>
      <c r="CC956" s="6"/>
      <c r="CD956" s="6"/>
      <c r="CE956" s="6"/>
      <c r="CF956" s="6"/>
      <c r="CG956" s="6"/>
      <c r="CH956" s="6"/>
      <c r="CI956" s="6"/>
      <c r="CJ956" s="6"/>
      <c r="CK956" s="6"/>
      <c r="CL956" s="6"/>
      <c r="CM956" s="6"/>
      <c r="CN956" s="6"/>
      <c r="CO956" s="6"/>
      <c r="CP956" s="6"/>
      <c r="CQ956" s="6"/>
      <c r="CR956" s="6"/>
      <c r="CS956" s="6"/>
      <c r="CT956" s="6"/>
      <c r="CU956" s="6"/>
      <c r="CV956" s="6"/>
      <c r="CW956" s="6"/>
      <c r="CX956" s="6"/>
      <c r="CY956" s="6"/>
      <c r="CZ956" s="6"/>
      <c r="DA956" s="6"/>
      <c r="DB956" s="6"/>
      <c r="DC956" s="6"/>
      <c r="DD956" s="6"/>
      <c r="DE956" s="6"/>
      <c r="DF956" s="6"/>
      <c r="DG956" s="6"/>
      <c r="DH956" s="6"/>
      <c r="DI956" s="6"/>
      <c r="DJ956" s="6"/>
      <c r="DK956" s="6"/>
      <c r="DL956" s="6"/>
      <c r="DM956" s="6"/>
      <c r="DN956" s="6"/>
      <c r="DO956" s="6"/>
      <c r="DP956" s="6"/>
      <c r="DQ956" s="6"/>
      <c r="DR956" s="6"/>
      <c r="DS956" s="6"/>
      <c r="DT956" s="6"/>
      <c r="DU956" s="6"/>
      <c r="DV956" s="6"/>
      <c r="DW956" s="6"/>
      <c r="DX956" s="6"/>
      <c r="DY956" s="6"/>
      <c r="DZ956" s="6"/>
      <c r="EA956" s="6"/>
      <c r="EB956" s="6"/>
      <c r="EC956" s="6"/>
      <c r="ED956" s="6"/>
      <c r="EE956" s="6"/>
      <c r="EF956" s="6"/>
      <c r="EG956" s="6"/>
      <c r="EH956" s="6"/>
      <c r="EI956" s="6"/>
      <c r="EJ956" s="6"/>
      <c r="EK956" s="6"/>
      <c r="EL956" s="6"/>
      <c r="EM956" s="6"/>
      <c r="EN956" s="6"/>
      <c r="EO956" s="6"/>
      <c r="EP956" s="6"/>
      <c r="EQ956" s="6"/>
      <c r="ER956" s="6"/>
      <c r="ES956" s="6"/>
      <c r="ET956" s="6"/>
      <c r="EU956" s="6"/>
      <c r="EV956" s="6"/>
      <c r="EW956" s="6"/>
      <c r="EX956" s="6"/>
      <c r="EY956" s="6"/>
      <c r="EZ956" s="6"/>
      <c r="FA956" s="6"/>
      <c r="FB956" s="6"/>
      <c r="FC956" s="6"/>
      <c r="FD956" s="6"/>
      <c r="FE956" s="6"/>
      <c r="FF956" s="6"/>
      <c r="FG956" s="6"/>
      <c r="FH956" s="6"/>
      <c r="FI956" s="6"/>
      <c r="FJ956" s="6"/>
      <c r="FK956" s="6"/>
      <c r="FL956" s="6"/>
      <c r="FM956" s="6"/>
      <c r="FN956" s="6"/>
      <c r="FO956" s="6"/>
      <c r="FP956" s="6"/>
      <c r="FQ956" s="6"/>
      <c r="FR956" s="6"/>
      <c r="FS956" s="6"/>
      <c r="FT956" s="6"/>
      <c r="FU956" s="6"/>
      <c r="FV956" s="6"/>
      <c r="FW956" s="6"/>
      <c r="FX956" s="6"/>
      <c r="FY956" s="6"/>
      <c r="FZ956" s="6"/>
      <c r="GA956" s="6"/>
      <c r="GB956" s="6"/>
      <c r="GC956" s="6"/>
      <c r="GD956" s="6"/>
      <c r="GE956" s="6"/>
      <c r="GF956" s="6"/>
      <c r="GG956" s="6"/>
      <c r="GH956" s="6"/>
      <c r="GI956" s="6"/>
      <c r="GJ956" s="6"/>
      <c r="GK956" s="6"/>
      <c r="GL956" s="6"/>
      <c r="GM956" s="6"/>
      <c r="GN956" s="6"/>
      <c r="GO956" s="6"/>
      <c r="GP956" s="6"/>
      <c r="GQ956" s="6"/>
      <c r="GR956" s="6"/>
      <c r="GS956" s="6"/>
      <c r="GT956" s="6"/>
      <c r="GU956" s="6"/>
      <c r="GV956" s="6"/>
      <c r="GW956" s="6"/>
      <c r="GX956" s="6"/>
      <c r="GY956" s="6"/>
      <c r="GZ956" s="6"/>
      <c r="HA956" s="6"/>
      <c r="HB956" s="6"/>
      <c r="HC956" s="6"/>
      <c r="HD956" s="6"/>
      <c r="HE956" s="6"/>
      <c r="HF956" s="6"/>
      <c r="HG956" s="6"/>
      <c r="HH956" s="6"/>
      <c r="HI956" s="6"/>
      <c r="HJ956" s="6"/>
      <c r="HK956" s="6"/>
      <c r="HL956" s="6"/>
      <c r="HM956" s="6"/>
      <c r="HN956" s="6"/>
      <c r="HO956" s="6"/>
      <c r="HP956" s="6"/>
      <c r="HQ956" s="6"/>
      <c r="HR956" s="6"/>
      <c r="HS956" s="6"/>
      <c r="HT956" s="6"/>
      <c r="HU956" s="6"/>
      <c r="HV956" s="6"/>
      <c r="HW956" s="6"/>
      <c r="HX956" s="6"/>
      <c r="HY956" s="6"/>
      <c r="HZ956" s="6"/>
      <c r="IA956" s="6"/>
      <c r="IB956" s="6"/>
      <c r="IC956" s="6"/>
      <c r="ID956" s="6"/>
      <c r="IE956" s="6"/>
      <c r="IF956" s="6"/>
      <c r="IG956" s="6"/>
      <c r="IH956" s="6"/>
      <c r="II956" s="6"/>
      <c r="IJ956" s="6"/>
      <c r="IK956" s="6"/>
      <c r="IL956" s="6"/>
      <c r="IM956" s="6"/>
      <c r="IN956" s="6"/>
      <c r="IO956" s="6"/>
      <c r="IP956" s="6"/>
      <c r="IQ956" s="6"/>
      <c r="IR956" s="6"/>
      <c r="IS956" s="6"/>
      <c r="IT956" s="6"/>
      <c r="IU956" s="6"/>
      <c r="IV956" s="6"/>
      <c r="IW956" s="6"/>
      <c r="IX956" s="6"/>
    </row>
    <row r="957" spans="1:258" ht="25.15" customHeight="1" x14ac:dyDescent="0.25">
      <c r="A957" s="21" t="s">
        <v>1748</v>
      </c>
      <c r="B957" s="24" t="s">
        <v>683</v>
      </c>
      <c r="C957" s="2">
        <f t="shared" si="247"/>
        <v>3980460</v>
      </c>
      <c r="D957" s="3">
        <f t="shared" si="248"/>
        <v>0</v>
      </c>
      <c r="E957" s="3">
        <v>0</v>
      </c>
      <c r="F957" s="3">
        <v>0</v>
      </c>
      <c r="G957" s="3">
        <v>0</v>
      </c>
      <c r="H957" s="3">
        <v>0</v>
      </c>
      <c r="I957" s="3">
        <v>0</v>
      </c>
      <c r="J957" s="3">
        <v>0</v>
      </c>
      <c r="K957" s="4">
        <v>0</v>
      </c>
      <c r="L957" s="3">
        <v>0</v>
      </c>
      <c r="M957" s="3">
        <v>603.1</v>
      </c>
      <c r="N957" s="3">
        <f t="shared" si="252"/>
        <v>3980460</v>
      </c>
      <c r="O957" s="3">
        <v>0</v>
      </c>
      <c r="P957" s="3">
        <v>0</v>
      </c>
      <c r="Q957" s="13">
        <v>0</v>
      </c>
      <c r="R957" s="3">
        <f t="shared" si="253"/>
        <v>0</v>
      </c>
      <c r="S957" s="3">
        <v>0</v>
      </c>
      <c r="T957" s="13">
        <v>0</v>
      </c>
      <c r="U957" s="3">
        <v>0</v>
      </c>
      <c r="V957" s="5">
        <f t="shared" si="249"/>
        <v>6600</v>
      </c>
    </row>
    <row r="958" spans="1:258" ht="25.15" customHeight="1" x14ac:dyDescent="0.25">
      <c r="A958" s="21" t="s">
        <v>1749</v>
      </c>
      <c r="B958" s="24" t="s">
        <v>686</v>
      </c>
      <c r="C958" s="2">
        <f t="shared" si="247"/>
        <v>3934920.0000000005</v>
      </c>
      <c r="D958" s="3">
        <f t="shared" si="248"/>
        <v>0</v>
      </c>
      <c r="E958" s="3">
        <v>0</v>
      </c>
      <c r="F958" s="3">
        <v>0</v>
      </c>
      <c r="G958" s="3">
        <v>0</v>
      </c>
      <c r="H958" s="3">
        <v>0</v>
      </c>
      <c r="I958" s="3">
        <v>0</v>
      </c>
      <c r="J958" s="3">
        <v>0</v>
      </c>
      <c r="K958" s="4">
        <v>0</v>
      </c>
      <c r="L958" s="3">
        <v>0</v>
      </c>
      <c r="M958" s="3">
        <v>596.20000000000005</v>
      </c>
      <c r="N958" s="3">
        <f t="shared" si="252"/>
        <v>3934920.0000000005</v>
      </c>
      <c r="O958" s="3">
        <v>0</v>
      </c>
      <c r="P958" s="3">
        <v>0</v>
      </c>
      <c r="Q958" s="13">
        <v>0</v>
      </c>
      <c r="R958" s="3">
        <f t="shared" si="253"/>
        <v>0</v>
      </c>
      <c r="S958" s="3">
        <v>0</v>
      </c>
      <c r="T958" s="13">
        <v>0</v>
      </c>
      <c r="U958" s="3">
        <v>0</v>
      </c>
      <c r="V958" s="5">
        <f t="shared" si="249"/>
        <v>6600</v>
      </c>
    </row>
    <row r="959" spans="1:258" ht="25.15" customHeight="1" x14ac:dyDescent="0.25">
      <c r="A959" s="21" t="s">
        <v>1750</v>
      </c>
      <c r="B959" s="24" t="s">
        <v>687</v>
      </c>
      <c r="C959" s="2">
        <f t="shared" si="247"/>
        <v>4034579.9999999995</v>
      </c>
      <c r="D959" s="3">
        <f t="shared" si="248"/>
        <v>0</v>
      </c>
      <c r="E959" s="3">
        <v>0</v>
      </c>
      <c r="F959" s="3">
        <v>0</v>
      </c>
      <c r="G959" s="3">
        <v>0</v>
      </c>
      <c r="H959" s="3">
        <v>0</v>
      </c>
      <c r="I959" s="3">
        <v>0</v>
      </c>
      <c r="J959" s="3">
        <v>0</v>
      </c>
      <c r="K959" s="4">
        <v>0</v>
      </c>
      <c r="L959" s="3">
        <v>0</v>
      </c>
      <c r="M959" s="3">
        <v>611.29999999999995</v>
      </c>
      <c r="N959" s="3">
        <f t="shared" si="252"/>
        <v>4034579.9999999995</v>
      </c>
      <c r="O959" s="3">
        <v>0</v>
      </c>
      <c r="P959" s="3">
        <v>0</v>
      </c>
      <c r="Q959" s="13">
        <v>0</v>
      </c>
      <c r="R959" s="3">
        <f t="shared" si="253"/>
        <v>0</v>
      </c>
      <c r="S959" s="3">
        <v>0</v>
      </c>
      <c r="T959" s="13">
        <v>0</v>
      </c>
      <c r="U959" s="3">
        <v>0</v>
      </c>
      <c r="V959" s="5">
        <f t="shared" si="249"/>
        <v>6600</v>
      </c>
    </row>
    <row r="960" spans="1:258" ht="25.15" customHeight="1" x14ac:dyDescent="0.25">
      <c r="A960" s="21" t="s">
        <v>1751</v>
      </c>
      <c r="B960" s="24" t="s">
        <v>688</v>
      </c>
      <c r="C960" s="2">
        <f t="shared" si="247"/>
        <v>3949440</v>
      </c>
      <c r="D960" s="3">
        <f t="shared" si="248"/>
        <v>0</v>
      </c>
      <c r="E960" s="3">
        <v>0</v>
      </c>
      <c r="F960" s="3">
        <v>0</v>
      </c>
      <c r="G960" s="3">
        <v>0</v>
      </c>
      <c r="H960" s="3">
        <v>0</v>
      </c>
      <c r="I960" s="3">
        <v>0</v>
      </c>
      <c r="J960" s="3">
        <v>0</v>
      </c>
      <c r="K960" s="4">
        <v>0</v>
      </c>
      <c r="L960" s="3">
        <v>0</v>
      </c>
      <c r="M960" s="13">
        <v>598.4</v>
      </c>
      <c r="N960" s="3">
        <f t="shared" si="252"/>
        <v>3949440</v>
      </c>
      <c r="O960" s="3">
        <v>0</v>
      </c>
      <c r="P960" s="3">
        <v>0</v>
      </c>
      <c r="Q960" s="13">
        <v>0</v>
      </c>
      <c r="R960" s="3">
        <f t="shared" si="253"/>
        <v>0</v>
      </c>
      <c r="S960" s="3">
        <v>0</v>
      </c>
      <c r="T960" s="13">
        <v>0</v>
      </c>
      <c r="U960" s="3">
        <v>0</v>
      </c>
      <c r="V960" s="5">
        <f t="shared" si="249"/>
        <v>6600</v>
      </c>
    </row>
    <row r="961" spans="1:258" ht="25.15" customHeight="1" x14ac:dyDescent="0.25">
      <c r="A961" s="21" t="s">
        <v>1752</v>
      </c>
      <c r="B961" s="24" t="s">
        <v>689</v>
      </c>
      <c r="C961" s="2">
        <f t="shared" si="247"/>
        <v>3939540</v>
      </c>
      <c r="D961" s="3">
        <f t="shared" si="248"/>
        <v>0</v>
      </c>
      <c r="E961" s="3">
        <v>0</v>
      </c>
      <c r="F961" s="3">
        <v>0</v>
      </c>
      <c r="G961" s="3">
        <v>0</v>
      </c>
      <c r="H961" s="3">
        <v>0</v>
      </c>
      <c r="I961" s="3">
        <v>0</v>
      </c>
      <c r="J961" s="3">
        <v>0</v>
      </c>
      <c r="K961" s="4">
        <v>0</v>
      </c>
      <c r="L961" s="3">
        <v>0</v>
      </c>
      <c r="M961" s="3">
        <v>596.9</v>
      </c>
      <c r="N961" s="3">
        <f t="shared" si="252"/>
        <v>3939540</v>
      </c>
      <c r="O961" s="3">
        <v>0</v>
      </c>
      <c r="P961" s="3">
        <v>0</v>
      </c>
      <c r="Q961" s="13">
        <v>0</v>
      </c>
      <c r="R961" s="3">
        <f t="shared" si="253"/>
        <v>0</v>
      </c>
      <c r="S961" s="3">
        <v>0</v>
      </c>
      <c r="T961" s="13">
        <v>0</v>
      </c>
      <c r="U961" s="3">
        <v>0</v>
      </c>
      <c r="V961" s="5">
        <f t="shared" si="249"/>
        <v>6600</v>
      </c>
    </row>
    <row r="962" spans="1:258" ht="25.15" customHeight="1" x14ac:dyDescent="0.25">
      <c r="A962" s="21" t="s">
        <v>1753</v>
      </c>
      <c r="B962" s="24" t="s">
        <v>684</v>
      </c>
      <c r="C962" s="2">
        <f t="shared" si="247"/>
        <v>3926340</v>
      </c>
      <c r="D962" s="3">
        <f t="shared" si="248"/>
        <v>0</v>
      </c>
      <c r="E962" s="3">
        <v>0</v>
      </c>
      <c r="F962" s="3">
        <v>0</v>
      </c>
      <c r="G962" s="3">
        <v>0</v>
      </c>
      <c r="H962" s="3">
        <v>0</v>
      </c>
      <c r="I962" s="3">
        <v>0</v>
      </c>
      <c r="J962" s="3">
        <v>0</v>
      </c>
      <c r="K962" s="4">
        <v>0</v>
      </c>
      <c r="L962" s="3">
        <v>0</v>
      </c>
      <c r="M962" s="3">
        <v>594.9</v>
      </c>
      <c r="N962" s="3">
        <f t="shared" si="252"/>
        <v>3926340</v>
      </c>
      <c r="O962" s="3">
        <v>0</v>
      </c>
      <c r="P962" s="3">
        <v>0</v>
      </c>
      <c r="Q962" s="13">
        <v>0</v>
      </c>
      <c r="R962" s="3">
        <f t="shared" si="253"/>
        <v>0</v>
      </c>
      <c r="S962" s="3">
        <v>0</v>
      </c>
      <c r="T962" s="13">
        <v>0</v>
      </c>
      <c r="U962" s="3">
        <v>0</v>
      </c>
      <c r="V962" s="5">
        <f t="shared" si="249"/>
        <v>6600</v>
      </c>
    </row>
    <row r="963" spans="1:258" ht="25.15" customHeight="1" x14ac:dyDescent="0.25">
      <c r="A963" s="21" t="s">
        <v>1754</v>
      </c>
      <c r="B963" s="24" t="s">
        <v>685</v>
      </c>
      <c r="C963" s="2">
        <f t="shared" si="247"/>
        <v>6181560</v>
      </c>
      <c r="D963" s="3">
        <f t="shared" si="248"/>
        <v>0</v>
      </c>
      <c r="E963" s="3">
        <v>0</v>
      </c>
      <c r="F963" s="3">
        <v>0</v>
      </c>
      <c r="G963" s="3">
        <v>0</v>
      </c>
      <c r="H963" s="3">
        <v>0</v>
      </c>
      <c r="I963" s="3">
        <v>0</v>
      </c>
      <c r="J963" s="3">
        <v>0</v>
      </c>
      <c r="K963" s="4">
        <v>0</v>
      </c>
      <c r="L963" s="3">
        <v>0</v>
      </c>
      <c r="M963" s="13">
        <v>936.6</v>
      </c>
      <c r="N963" s="3">
        <f t="shared" si="252"/>
        <v>6181560</v>
      </c>
      <c r="O963" s="3">
        <v>0</v>
      </c>
      <c r="P963" s="3">
        <v>0</v>
      </c>
      <c r="Q963" s="13">
        <v>0</v>
      </c>
      <c r="R963" s="3">
        <f t="shared" si="253"/>
        <v>0</v>
      </c>
      <c r="S963" s="3">
        <v>0</v>
      </c>
      <c r="T963" s="13">
        <v>0</v>
      </c>
      <c r="U963" s="3">
        <v>0</v>
      </c>
      <c r="V963" s="5">
        <f t="shared" si="249"/>
        <v>6600</v>
      </c>
    </row>
    <row r="964" spans="1:258" ht="25.15" customHeight="1" x14ac:dyDescent="0.25">
      <c r="A964" s="21" t="s">
        <v>1755</v>
      </c>
      <c r="B964" s="24" t="s">
        <v>760</v>
      </c>
      <c r="C964" s="2">
        <f t="shared" si="247"/>
        <v>3880800</v>
      </c>
      <c r="D964" s="3">
        <f t="shared" si="248"/>
        <v>0</v>
      </c>
      <c r="E964" s="3">
        <v>0</v>
      </c>
      <c r="F964" s="3">
        <v>0</v>
      </c>
      <c r="G964" s="3">
        <v>0</v>
      </c>
      <c r="H964" s="3">
        <v>0</v>
      </c>
      <c r="I964" s="3">
        <v>0</v>
      </c>
      <c r="J964" s="3">
        <v>0</v>
      </c>
      <c r="K964" s="4">
        <v>0</v>
      </c>
      <c r="L964" s="3">
        <v>0</v>
      </c>
      <c r="M964" s="13">
        <v>588</v>
      </c>
      <c r="N964" s="3">
        <f t="shared" si="252"/>
        <v>3880800</v>
      </c>
      <c r="O964" s="3">
        <v>0</v>
      </c>
      <c r="P964" s="3">
        <v>0</v>
      </c>
      <c r="Q964" s="13">
        <v>0</v>
      </c>
      <c r="R964" s="3">
        <f t="shared" si="253"/>
        <v>0</v>
      </c>
      <c r="S964" s="3">
        <v>0</v>
      </c>
      <c r="T964" s="13">
        <v>0</v>
      </c>
      <c r="U964" s="3">
        <v>0</v>
      </c>
      <c r="V964" s="5">
        <f t="shared" si="249"/>
        <v>6600</v>
      </c>
    </row>
    <row r="965" spans="1:258" ht="25.15" customHeight="1" x14ac:dyDescent="0.25">
      <c r="A965" s="21" t="s">
        <v>1756</v>
      </c>
      <c r="B965" s="24" t="s">
        <v>1203</v>
      </c>
      <c r="C965" s="2">
        <f t="shared" si="247"/>
        <v>300000</v>
      </c>
      <c r="D965" s="3">
        <f t="shared" si="248"/>
        <v>0</v>
      </c>
      <c r="E965" s="3">
        <v>0</v>
      </c>
      <c r="F965" s="3">
        <v>0</v>
      </c>
      <c r="G965" s="3">
        <v>0</v>
      </c>
      <c r="H965" s="3">
        <v>0</v>
      </c>
      <c r="I965" s="3">
        <v>0</v>
      </c>
      <c r="J965" s="3">
        <v>0</v>
      </c>
      <c r="K965" s="4">
        <v>0</v>
      </c>
      <c r="L965" s="3">
        <v>0</v>
      </c>
      <c r="M965" s="13">
        <v>0</v>
      </c>
      <c r="N965" s="3">
        <v>0</v>
      </c>
      <c r="O965" s="3">
        <v>0</v>
      </c>
      <c r="P965" s="3">
        <v>0</v>
      </c>
      <c r="Q965" s="13">
        <v>0</v>
      </c>
      <c r="R965" s="3">
        <v>0</v>
      </c>
      <c r="S965" s="3">
        <v>0</v>
      </c>
      <c r="T965" s="13">
        <v>0</v>
      </c>
      <c r="U965" s="3">
        <v>300000</v>
      </c>
      <c r="V965" s="5" t="e">
        <f t="shared" si="249"/>
        <v>#DIV/0!</v>
      </c>
    </row>
    <row r="966" spans="1:258" ht="25.15" customHeight="1" x14ac:dyDescent="0.25">
      <c r="A966" s="21" t="s">
        <v>1757</v>
      </c>
      <c r="B966" s="24" t="s">
        <v>690</v>
      </c>
      <c r="C966" s="2">
        <f t="shared" si="247"/>
        <v>40287148.969999999</v>
      </c>
      <c r="D966" s="3">
        <f t="shared" si="248"/>
        <v>39832500</v>
      </c>
      <c r="E966" s="3">
        <f>700*13277.5</f>
        <v>9294250</v>
      </c>
      <c r="F966" s="3">
        <f>1300*13277.5</f>
        <v>17260750</v>
      </c>
      <c r="G966" s="3">
        <f>300*13277.5</f>
        <v>3983250</v>
      </c>
      <c r="H966" s="3">
        <f>400*13277.5</f>
        <v>5311000</v>
      </c>
      <c r="I966" s="3">
        <f>300*13277.5</f>
        <v>3983250</v>
      </c>
      <c r="J966" s="3">
        <v>0</v>
      </c>
      <c r="K966" s="4">
        <v>0</v>
      </c>
      <c r="L966" s="3">
        <v>0</v>
      </c>
      <c r="M966" s="3">
        <v>0</v>
      </c>
      <c r="N966" s="3">
        <v>0</v>
      </c>
      <c r="O966" s="3">
        <v>0</v>
      </c>
      <c r="P966" s="3">
        <v>0</v>
      </c>
      <c r="Q966" s="3">
        <v>0</v>
      </c>
      <c r="R966" s="3">
        <f t="shared" ref="R966:R976" si="254">Q966*3200</f>
        <v>0</v>
      </c>
      <c r="S966" s="3">
        <v>0</v>
      </c>
      <c r="T966" s="13">
        <v>0</v>
      </c>
      <c r="U966" s="3">
        <v>454648.97</v>
      </c>
      <c r="V966" s="5" t="e">
        <f t="shared" si="249"/>
        <v>#DIV/0!</v>
      </c>
      <c r="W966" s="43"/>
      <c r="X966" s="43"/>
      <c r="Y966" s="43"/>
      <c r="Z966" s="43"/>
      <c r="AA966" s="43"/>
      <c r="AB966" s="43"/>
      <c r="AC966" s="43"/>
      <c r="AD966" s="43"/>
      <c r="AE966" s="43"/>
      <c r="AF966" s="43"/>
      <c r="AG966" s="43"/>
      <c r="AH966" s="43"/>
      <c r="AI966" s="43"/>
      <c r="AJ966" s="43"/>
      <c r="AK966" s="43"/>
      <c r="AL966" s="43"/>
      <c r="AM966" s="43"/>
      <c r="AN966" s="43"/>
      <c r="AO966" s="43"/>
      <c r="AP966" s="43"/>
      <c r="AQ966" s="43"/>
      <c r="AR966" s="43"/>
      <c r="AS966" s="43"/>
      <c r="AT966" s="43"/>
      <c r="AU966" s="43"/>
      <c r="AV966" s="43"/>
      <c r="AW966" s="43"/>
      <c r="AX966" s="43"/>
      <c r="AY966" s="43"/>
      <c r="AZ966" s="43"/>
      <c r="BA966" s="43"/>
      <c r="BB966" s="43"/>
      <c r="BC966" s="43"/>
      <c r="BD966" s="43"/>
      <c r="BE966" s="43"/>
      <c r="BF966" s="43"/>
      <c r="BG966" s="43"/>
      <c r="BH966" s="43"/>
      <c r="BI966" s="43"/>
      <c r="BJ966" s="43"/>
      <c r="BK966" s="43"/>
      <c r="BL966" s="43"/>
      <c r="BM966" s="43"/>
      <c r="BN966" s="43"/>
      <c r="BO966" s="43"/>
      <c r="BP966" s="43"/>
      <c r="BQ966" s="43"/>
      <c r="BR966" s="43"/>
      <c r="BS966" s="43"/>
      <c r="BT966" s="43"/>
      <c r="BU966" s="43"/>
      <c r="BV966" s="43"/>
      <c r="BW966" s="43"/>
      <c r="BX966" s="43"/>
      <c r="BY966" s="43"/>
      <c r="BZ966" s="43"/>
      <c r="CA966" s="43"/>
      <c r="CB966" s="43"/>
      <c r="CC966" s="43"/>
      <c r="CD966" s="43"/>
      <c r="CE966" s="43"/>
      <c r="CF966" s="43"/>
      <c r="CG966" s="43"/>
      <c r="CH966" s="43"/>
      <c r="CI966" s="43"/>
      <c r="CJ966" s="43"/>
      <c r="CK966" s="43"/>
      <c r="CL966" s="43"/>
      <c r="CM966" s="43"/>
      <c r="CN966" s="43"/>
      <c r="CO966" s="43"/>
      <c r="CP966" s="43"/>
      <c r="CQ966" s="43"/>
      <c r="CR966" s="43"/>
      <c r="CS966" s="43"/>
      <c r="CT966" s="43"/>
      <c r="CU966" s="43"/>
      <c r="CV966" s="43"/>
      <c r="CW966" s="43"/>
      <c r="CX966" s="43"/>
      <c r="CY966" s="43"/>
      <c r="CZ966" s="43"/>
      <c r="DA966" s="43"/>
      <c r="DB966" s="43"/>
      <c r="DC966" s="43"/>
      <c r="DD966" s="43"/>
      <c r="DE966" s="43"/>
      <c r="DF966" s="43"/>
      <c r="DG966" s="43"/>
      <c r="DH966" s="43"/>
      <c r="DI966" s="43"/>
      <c r="DJ966" s="43"/>
      <c r="DK966" s="43"/>
      <c r="DL966" s="43"/>
      <c r="DM966" s="43"/>
      <c r="DN966" s="43"/>
      <c r="DO966" s="43"/>
      <c r="DP966" s="43"/>
      <c r="DQ966" s="43"/>
      <c r="DR966" s="43"/>
      <c r="DS966" s="43"/>
      <c r="DT966" s="43"/>
      <c r="DU966" s="43"/>
      <c r="DV966" s="43"/>
      <c r="DW966" s="43"/>
      <c r="DX966" s="43"/>
      <c r="DY966" s="43"/>
      <c r="DZ966" s="43"/>
      <c r="EA966" s="43"/>
      <c r="EB966" s="43"/>
      <c r="EC966" s="43"/>
      <c r="ED966" s="43"/>
      <c r="EE966" s="43"/>
      <c r="EF966" s="43"/>
      <c r="EG966" s="43"/>
      <c r="EH966" s="43"/>
      <c r="EI966" s="43"/>
      <c r="EJ966" s="43"/>
      <c r="EK966" s="43"/>
      <c r="EL966" s="43"/>
      <c r="EM966" s="43"/>
      <c r="EN966" s="43"/>
      <c r="EO966" s="43"/>
      <c r="EP966" s="43"/>
      <c r="EQ966" s="43"/>
      <c r="ER966" s="43"/>
      <c r="ES966" s="43"/>
      <c r="ET966" s="43"/>
      <c r="EU966" s="43"/>
      <c r="EV966" s="43"/>
      <c r="EW966" s="43"/>
      <c r="EX966" s="43"/>
      <c r="EY966" s="43"/>
      <c r="EZ966" s="43"/>
      <c r="FA966" s="43"/>
      <c r="FB966" s="43"/>
      <c r="FC966" s="43"/>
      <c r="FD966" s="43"/>
      <c r="FE966" s="43"/>
      <c r="FF966" s="43"/>
      <c r="FG966" s="43"/>
      <c r="FH966" s="43"/>
      <c r="FI966" s="43"/>
      <c r="FJ966" s="43"/>
      <c r="FK966" s="43"/>
      <c r="FL966" s="43"/>
      <c r="FM966" s="43"/>
      <c r="FN966" s="43"/>
      <c r="FO966" s="43"/>
      <c r="FP966" s="43"/>
      <c r="FQ966" s="43"/>
      <c r="FR966" s="43"/>
      <c r="FS966" s="43"/>
      <c r="FT966" s="43"/>
      <c r="FU966" s="43"/>
      <c r="FV966" s="43"/>
      <c r="FW966" s="43"/>
      <c r="FX966" s="43"/>
      <c r="FY966" s="43"/>
      <c r="FZ966" s="43"/>
      <c r="GA966" s="43"/>
      <c r="GB966" s="43"/>
      <c r="GC966" s="43"/>
      <c r="GD966" s="43"/>
      <c r="GE966" s="43"/>
      <c r="GF966" s="43"/>
      <c r="GG966" s="43"/>
      <c r="GH966" s="43"/>
      <c r="GI966" s="43"/>
      <c r="GJ966" s="43"/>
      <c r="GK966" s="43"/>
      <c r="GL966" s="43"/>
      <c r="GM966" s="43"/>
      <c r="GN966" s="43"/>
      <c r="GO966" s="43"/>
      <c r="GP966" s="43"/>
      <c r="GQ966" s="43"/>
      <c r="GR966" s="43"/>
      <c r="GS966" s="43"/>
      <c r="GT966" s="43"/>
      <c r="GU966" s="43"/>
      <c r="GV966" s="43"/>
      <c r="GW966" s="43"/>
      <c r="GX966" s="43"/>
      <c r="GY966" s="43"/>
      <c r="GZ966" s="43"/>
      <c r="HA966" s="43"/>
      <c r="HB966" s="43"/>
      <c r="HC966" s="43"/>
      <c r="HD966" s="43"/>
      <c r="HE966" s="43"/>
      <c r="HF966" s="43"/>
      <c r="HG966" s="43"/>
      <c r="HH966" s="43"/>
      <c r="HI966" s="43"/>
      <c r="HJ966" s="43"/>
      <c r="HK966" s="43"/>
      <c r="HL966" s="43"/>
      <c r="HM966" s="43"/>
      <c r="HN966" s="43"/>
      <c r="HO966" s="43"/>
      <c r="HP966" s="43"/>
      <c r="HQ966" s="43"/>
      <c r="HR966" s="43"/>
      <c r="HS966" s="43"/>
      <c r="HT966" s="43"/>
      <c r="HU966" s="43"/>
      <c r="HV966" s="43"/>
      <c r="HW966" s="43"/>
      <c r="HX966" s="43"/>
      <c r="HY966" s="43"/>
      <c r="HZ966" s="43"/>
      <c r="IA966" s="43"/>
      <c r="IB966" s="43"/>
      <c r="IC966" s="43"/>
      <c r="ID966" s="43"/>
      <c r="IE966" s="43"/>
      <c r="IF966" s="43"/>
      <c r="IG966" s="43"/>
      <c r="IH966" s="43"/>
      <c r="II966" s="43"/>
      <c r="IJ966" s="43"/>
      <c r="IK966" s="43"/>
      <c r="IL966" s="43"/>
      <c r="IM966" s="43"/>
      <c r="IN966" s="43"/>
      <c r="IO966" s="43"/>
      <c r="IP966" s="43"/>
      <c r="IQ966" s="43"/>
      <c r="IR966" s="43"/>
      <c r="IS966" s="43"/>
      <c r="IT966" s="43"/>
      <c r="IU966" s="43"/>
      <c r="IV966" s="43"/>
      <c r="IW966" s="43"/>
      <c r="IX966" s="43"/>
    </row>
    <row r="967" spans="1:258" ht="25.15" customHeight="1" x14ac:dyDescent="0.25">
      <c r="A967" s="21" t="s">
        <v>1758</v>
      </c>
      <c r="B967" s="24" t="s">
        <v>761</v>
      </c>
      <c r="C967" s="2">
        <f t="shared" si="247"/>
        <v>6285879.8300000001</v>
      </c>
      <c r="D967" s="3">
        <f t="shared" si="248"/>
        <v>6015000</v>
      </c>
      <c r="E967" s="3">
        <f>700*2005</f>
        <v>1403500</v>
      </c>
      <c r="F967" s="3">
        <f>1300*2005</f>
        <v>2606500</v>
      </c>
      <c r="G967" s="3">
        <f>300*2005</f>
        <v>601500</v>
      </c>
      <c r="H967" s="3">
        <f>400*2005</f>
        <v>802000</v>
      </c>
      <c r="I967" s="3">
        <f>300*2005</f>
        <v>601500</v>
      </c>
      <c r="J967" s="3">
        <v>0</v>
      </c>
      <c r="K967" s="4">
        <v>0</v>
      </c>
      <c r="L967" s="3">
        <v>0</v>
      </c>
      <c r="M967" s="3">
        <v>0</v>
      </c>
      <c r="N967" s="3">
        <v>0</v>
      </c>
      <c r="O967" s="3">
        <v>0</v>
      </c>
      <c r="P967" s="3">
        <v>0</v>
      </c>
      <c r="Q967" s="3">
        <v>0</v>
      </c>
      <c r="R967" s="3">
        <f t="shared" si="254"/>
        <v>0</v>
      </c>
      <c r="S967" s="3">
        <v>0</v>
      </c>
      <c r="T967" s="13">
        <v>0</v>
      </c>
      <c r="U967" s="3">
        <v>270879.83</v>
      </c>
      <c r="V967" s="5" t="e">
        <f t="shared" si="249"/>
        <v>#DIV/0!</v>
      </c>
    </row>
    <row r="968" spans="1:258" ht="25.15" customHeight="1" x14ac:dyDescent="0.25">
      <c r="A968" s="21" t="s">
        <v>1759</v>
      </c>
      <c r="B968" s="24" t="s">
        <v>691</v>
      </c>
      <c r="C968" s="2">
        <f t="shared" si="247"/>
        <v>1782000</v>
      </c>
      <c r="D968" s="3">
        <f t="shared" si="248"/>
        <v>0</v>
      </c>
      <c r="E968" s="3">
        <v>0</v>
      </c>
      <c r="F968" s="3">
        <v>0</v>
      </c>
      <c r="G968" s="3">
        <v>0</v>
      </c>
      <c r="H968" s="3">
        <v>0</v>
      </c>
      <c r="I968" s="3">
        <v>0</v>
      </c>
      <c r="J968" s="3">
        <v>0</v>
      </c>
      <c r="K968" s="14">
        <v>0</v>
      </c>
      <c r="L968" s="13">
        <v>0</v>
      </c>
      <c r="M968" s="13">
        <v>270</v>
      </c>
      <c r="N968" s="3">
        <f t="shared" ref="N968:N976" si="255">M968*6600</f>
        <v>1782000</v>
      </c>
      <c r="O968" s="3">
        <v>0</v>
      </c>
      <c r="P968" s="3">
        <v>0</v>
      </c>
      <c r="Q968" s="3">
        <v>0</v>
      </c>
      <c r="R968" s="3">
        <f t="shared" si="254"/>
        <v>0</v>
      </c>
      <c r="S968" s="3">
        <v>0</v>
      </c>
      <c r="T968" s="13">
        <v>0</v>
      </c>
      <c r="U968" s="3">
        <v>0</v>
      </c>
      <c r="V968" s="5">
        <f t="shared" si="249"/>
        <v>6600</v>
      </c>
    </row>
    <row r="969" spans="1:258" ht="25.15" customHeight="1" x14ac:dyDescent="0.25">
      <c r="A969" s="21" t="s">
        <v>1760</v>
      </c>
      <c r="B969" s="24" t="s">
        <v>693</v>
      </c>
      <c r="C969" s="2">
        <f t="shared" si="247"/>
        <v>1782000</v>
      </c>
      <c r="D969" s="3">
        <f t="shared" si="248"/>
        <v>0</v>
      </c>
      <c r="E969" s="3">
        <v>0</v>
      </c>
      <c r="F969" s="3">
        <v>0</v>
      </c>
      <c r="G969" s="3">
        <v>0</v>
      </c>
      <c r="H969" s="3">
        <v>0</v>
      </c>
      <c r="I969" s="3">
        <v>0</v>
      </c>
      <c r="J969" s="3">
        <v>0</v>
      </c>
      <c r="K969" s="14">
        <v>0</v>
      </c>
      <c r="L969" s="13">
        <v>0</v>
      </c>
      <c r="M969" s="3">
        <v>270</v>
      </c>
      <c r="N969" s="3">
        <f t="shared" si="255"/>
        <v>1782000</v>
      </c>
      <c r="O969" s="3">
        <v>0</v>
      </c>
      <c r="P969" s="3">
        <v>0</v>
      </c>
      <c r="Q969" s="3">
        <v>0</v>
      </c>
      <c r="R969" s="3">
        <f t="shared" si="254"/>
        <v>0</v>
      </c>
      <c r="S969" s="3">
        <v>0</v>
      </c>
      <c r="T969" s="13">
        <v>0</v>
      </c>
      <c r="U969" s="3">
        <v>0</v>
      </c>
      <c r="V969" s="5">
        <f t="shared" si="249"/>
        <v>6600</v>
      </c>
    </row>
    <row r="970" spans="1:258" ht="25.15" customHeight="1" x14ac:dyDescent="0.25">
      <c r="A970" s="21" t="s">
        <v>1761</v>
      </c>
      <c r="B970" s="24" t="s">
        <v>762</v>
      </c>
      <c r="C970" s="2">
        <f t="shared" si="247"/>
        <v>1821600</v>
      </c>
      <c r="D970" s="3">
        <f t="shared" si="248"/>
        <v>0</v>
      </c>
      <c r="E970" s="3">
        <v>0</v>
      </c>
      <c r="F970" s="3">
        <v>0</v>
      </c>
      <c r="G970" s="3">
        <v>0</v>
      </c>
      <c r="H970" s="3">
        <v>0</v>
      </c>
      <c r="I970" s="3">
        <v>0</v>
      </c>
      <c r="J970" s="3">
        <v>0</v>
      </c>
      <c r="K970" s="14">
        <v>0</v>
      </c>
      <c r="L970" s="13">
        <v>0</v>
      </c>
      <c r="M970" s="3">
        <v>276</v>
      </c>
      <c r="N970" s="3">
        <f t="shared" si="255"/>
        <v>1821600</v>
      </c>
      <c r="O970" s="3">
        <v>0</v>
      </c>
      <c r="P970" s="3">
        <v>0</v>
      </c>
      <c r="Q970" s="3">
        <v>0</v>
      </c>
      <c r="R970" s="3">
        <f t="shared" si="254"/>
        <v>0</v>
      </c>
      <c r="S970" s="3">
        <v>0</v>
      </c>
      <c r="T970" s="13">
        <v>0</v>
      </c>
      <c r="U970" s="3">
        <v>0</v>
      </c>
      <c r="V970" s="5">
        <f t="shared" si="249"/>
        <v>6600</v>
      </c>
    </row>
    <row r="971" spans="1:258" s="5" customFormat="1" ht="25.15" customHeight="1" x14ac:dyDescent="0.25">
      <c r="A971" s="21" t="s">
        <v>1762</v>
      </c>
      <c r="B971" s="24" t="s">
        <v>692</v>
      </c>
      <c r="C971" s="2">
        <f t="shared" si="247"/>
        <v>1821600</v>
      </c>
      <c r="D971" s="3">
        <f t="shared" si="248"/>
        <v>0</v>
      </c>
      <c r="E971" s="3">
        <v>0</v>
      </c>
      <c r="F971" s="3">
        <v>0</v>
      </c>
      <c r="G971" s="3">
        <v>0</v>
      </c>
      <c r="H971" s="3">
        <v>0</v>
      </c>
      <c r="I971" s="3">
        <v>0</v>
      </c>
      <c r="J971" s="3">
        <v>0</v>
      </c>
      <c r="K971" s="14">
        <v>0</v>
      </c>
      <c r="L971" s="13">
        <v>0</v>
      </c>
      <c r="M971" s="3">
        <v>276</v>
      </c>
      <c r="N971" s="3">
        <f t="shared" si="255"/>
        <v>1821600</v>
      </c>
      <c r="O971" s="3">
        <v>0</v>
      </c>
      <c r="P971" s="3">
        <v>0</v>
      </c>
      <c r="Q971" s="3">
        <v>0</v>
      </c>
      <c r="R971" s="3">
        <f t="shared" si="254"/>
        <v>0</v>
      </c>
      <c r="S971" s="3">
        <v>0</v>
      </c>
      <c r="T971" s="13">
        <v>0</v>
      </c>
      <c r="U971" s="3">
        <v>0</v>
      </c>
      <c r="V971" s="5">
        <f t="shared" si="249"/>
        <v>6600</v>
      </c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  <c r="BO971" s="6"/>
      <c r="BP971" s="6"/>
      <c r="BQ971" s="6"/>
      <c r="BR971" s="6"/>
      <c r="BS971" s="6"/>
      <c r="BT971" s="6"/>
      <c r="BU971" s="6"/>
      <c r="BV971" s="6"/>
      <c r="BW971" s="6"/>
      <c r="BX971" s="6"/>
      <c r="BY971" s="6"/>
      <c r="BZ971" s="6"/>
      <c r="CA971" s="6"/>
      <c r="CB971" s="6"/>
      <c r="CC971" s="6"/>
      <c r="CD971" s="6"/>
      <c r="CE971" s="6"/>
      <c r="CF971" s="6"/>
      <c r="CG971" s="6"/>
      <c r="CH971" s="6"/>
      <c r="CI971" s="6"/>
      <c r="CJ971" s="6"/>
      <c r="CK971" s="6"/>
      <c r="CL971" s="6"/>
      <c r="CM971" s="6"/>
      <c r="CN971" s="6"/>
      <c r="CO971" s="6"/>
      <c r="CP971" s="6"/>
      <c r="CQ971" s="6"/>
      <c r="CR971" s="6"/>
      <c r="CS971" s="6"/>
      <c r="CT971" s="6"/>
      <c r="CU971" s="6"/>
      <c r="CV971" s="6"/>
      <c r="CW971" s="6"/>
      <c r="CX971" s="6"/>
      <c r="CY971" s="6"/>
      <c r="CZ971" s="6"/>
      <c r="DA971" s="6"/>
      <c r="DB971" s="6"/>
      <c r="DC971" s="6"/>
      <c r="DD971" s="6"/>
      <c r="DE971" s="6"/>
      <c r="DF971" s="6"/>
      <c r="DG971" s="6"/>
      <c r="DH971" s="6"/>
      <c r="DI971" s="6"/>
      <c r="DJ971" s="6"/>
      <c r="DK971" s="6"/>
      <c r="DL971" s="6"/>
      <c r="DM971" s="6"/>
      <c r="DN971" s="6"/>
      <c r="DO971" s="6"/>
      <c r="DP971" s="6"/>
      <c r="DQ971" s="6"/>
      <c r="DR971" s="6"/>
      <c r="DS971" s="6"/>
      <c r="DT971" s="6"/>
      <c r="DU971" s="6"/>
      <c r="DV971" s="6"/>
      <c r="DW971" s="6"/>
      <c r="DX971" s="6"/>
      <c r="DY971" s="6"/>
      <c r="DZ971" s="6"/>
      <c r="EA971" s="6"/>
      <c r="EB971" s="6"/>
      <c r="EC971" s="6"/>
      <c r="ED971" s="6"/>
      <c r="EE971" s="6"/>
      <c r="EF971" s="6"/>
      <c r="EG971" s="6"/>
      <c r="EH971" s="6"/>
      <c r="EI971" s="6"/>
      <c r="EJ971" s="6"/>
      <c r="EK971" s="6"/>
      <c r="EL971" s="6"/>
      <c r="EM971" s="6"/>
      <c r="EN971" s="6"/>
      <c r="EO971" s="6"/>
      <c r="EP971" s="6"/>
      <c r="EQ971" s="6"/>
      <c r="ER971" s="6"/>
      <c r="ES971" s="6"/>
      <c r="ET971" s="6"/>
      <c r="EU971" s="6"/>
      <c r="EV971" s="6"/>
      <c r="EW971" s="6"/>
      <c r="EX971" s="6"/>
      <c r="EY971" s="6"/>
      <c r="EZ971" s="6"/>
      <c r="FA971" s="6"/>
      <c r="FB971" s="6"/>
      <c r="FC971" s="6"/>
      <c r="FD971" s="6"/>
      <c r="FE971" s="6"/>
      <c r="FF971" s="6"/>
      <c r="FG971" s="6"/>
      <c r="FH971" s="6"/>
      <c r="FI971" s="6"/>
      <c r="FJ971" s="6"/>
      <c r="FK971" s="6"/>
      <c r="FL971" s="6"/>
      <c r="FM971" s="6"/>
      <c r="FN971" s="6"/>
      <c r="FO971" s="6"/>
      <c r="FP971" s="6"/>
      <c r="FQ971" s="6"/>
      <c r="FR971" s="6"/>
      <c r="FS971" s="6"/>
      <c r="FT971" s="6"/>
      <c r="FU971" s="6"/>
      <c r="FV971" s="6"/>
      <c r="FW971" s="6"/>
      <c r="FX971" s="6"/>
      <c r="FY971" s="6"/>
      <c r="FZ971" s="6"/>
      <c r="GA971" s="6"/>
      <c r="GB971" s="6"/>
      <c r="GC971" s="6"/>
      <c r="GD971" s="6"/>
      <c r="GE971" s="6"/>
      <c r="GF971" s="6"/>
      <c r="GG971" s="6"/>
      <c r="GH971" s="6"/>
      <c r="GI971" s="6"/>
      <c r="GJ971" s="6"/>
      <c r="GK971" s="6"/>
      <c r="GL971" s="6"/>
      <c r="GM971" s="6"/>
      <c r="GN971" s="6"/>
      <c r="GO971" s="6"/>
      <c r="GP971" s="6"/>
      <c r="GQ971" s="6"/>
      <c r="GR971" s="6"/>
      <c r="GS971" s="6"/>
      <c r="GT971" s="6"/>
      <c r="GU971" s="6"/>
      <c r="GV971" s="6"/>
      <c r="GW971" s="6"/>
      <c r="GX971" s="6"/>
      <c r="GY971" s="6"/>
      <c r="GZ971" s="6"/>
      <c r="HA971" s="6"/>
      <c r="HB971" s="6"/>
      <c r="HC971" s="6"/>
      <c r="HD971" s="6"/>
      <c r="HE971" s="6"/>
      <c r="HF971" s="6"/>
      <c r="HG971" s="6"/>
      <c r="HH971" s="6"/>
      <c r="HI971" s="6"/>
      <c r="HJ971" s="6"/>
      <c r="HK971" s="6"/>
      <c r="HL971" s="6"/>
      <c r="HM971" s="6"/>
      <c r="HN971" s="6"/>
      <c r="HO971" s="6"/>
      <c r="HP971" s="6"/>
      <c r="HQ971" s="6"/>
      <c r="HR971" s="6"/>
      <c r="HS971" s="6"/>
      <c r="HT971" s="6"/>
      <c r="HU971" s="6"/>
      <c r="HV971" s="6"/>
      <c r="HW971" s="6"/>
      <c r="HX971" s="6"/>
      <c r="HY971" s="6"/>
      <c r="HZ971" s="6"/>
      <c r="IA971" s="6"/>
      <c r="IB971" s="6"/>
      <c r="IC971" s="6"/>
      <c r="ID971" s="6"/>
      <c r="IE971" s="6"/>
      <c r="IF971" s="6"/>
      <c r="IG971" s="6"/>
      <c r="IH971" s="6"/>
      <c r="II971" s="6"/>
      <c r="IJ971" s="6"/>
      <c r="IK971" s="6"/>
      <c r="IL971" s="6"/>
      <c r="IM971" s="6"/>
      <c r="IN971" s="6"/>
      <c r="IO971" s="6"/>
      <c r="IP971" s="6"/>
      <c r="IQ971" s="6"/>
      <c r="IR971" s="6"/>
      <c r="IS971" s="6"/>
      <c r="IT971" s="6"/>
      <c r="IU971" s="6"/>
      <c r="IV971" s="6"/>
      <c r="IW971" s="6"/>
      <c r="IX971" s="6"/>
    </row>
    <row r="972" spans="1:258" ht="25.15" customHeight="1" x14ac:dyDescent="0.25">
      <c r="A972" s="21" t="s">
        <v>1763</v>
      </c>
      <c r="B972" s="24" t="s">
        <v>763</v>
      </c>
      <c r="C972" s="2">
        <f t="shared" si="247"/>
        <v>4612740</v>
      </c>
      <c r="D972" s="3">
        <f t="shared" si="248"/>
        <v>0</v>
      </c>
      <c r="E972" s="3">
        <v>0</v>
      </c>
      <c r="F972" s="3">
        <v>0</v>
      </c>
      <c r="G972" s="3">
        <v>0</v>
      </c>
      <c r="H972" s="3">
        <v>0</v>
      </c>
      <c r="I972" s="3">
        <v>0</v>
      </c>
      <c r="J972" s="3">
        <v>0</v>
      </c>
      <c r="K972" s="14">
        <v>0</v>
      </c>
      <c r="L972" s="13">
        <v>0</v>
      </c>
      <c r="M972" s="3">
        <v>698.9</v>
      </c>
      <c r="N972" s="3">
        <f t="shared" si="255"/>
        <v>4612740</v>
      </c>
      <c r="O972" s="3">
        <v>0</v>
      </c>
      <c r="P972" s="3">
        <v>0</v>
      </c>
      <c r="Q972" s="3">
        <v>0</v>
      </c>
      <c r="R972" s="3">
        <f t="shared" si="254"/>
        <v>0</v>
      </c>
      <c r="S972" s="3">
        <v>0</v>
      </c>
      <c r="T972" s="13">
        <v>0</v>
      </c>
      <c r="U972" s="3">
        <v>0</v>
      </c>
      <c r="V972" s="5">
        <f t="shared" si="249"/>
        <v>6600</v>
      </c>
    </row>
    <row r="973" spans="1:258" ht="25.15" customHeight="1" x14ac:dyDescent="0.25">
      <c r="A973" s="21" t="s">
        <v>1764</v>
      </c>
      <c r="B973" s="24" t="s">
        <v>788</v>
      </c>
      <c r="C973" s="2">
        <f t="shared" si="247"/>
        <v>12034213.789999999</v>
      </c>
      <c r="D973" s="3">
        <f t="shared" si="248"/>
        <v>5655300</v>
      </c>
      <c r="E973" s="3">
        <f>700*1885.1</f>
        <v>1319570</v>
      </c>
      <c r="F973" s="3">
        <f>1300*1885.1</f>
        <v>2450630</v>
      </c>
      <c r="G973" s="3">
        <f>300*1885.1</f>
        <v>565530</v>
      </c>
      <c r="H973" s="3">
        <f>400*1885.1</f>
        <v>754040</v>
      </c>
      <c r="I973" s="3">
        <f>300*1885.1</f>
        <v>565530</v>
      </c>
      <c r="J973" s="3">
        <v>0</v>
      </c>
      <c r="K973" s="4">
        <v>0</v>
      </c>
      <c r="L973" s="3">
        <v>0</v>
      </c>
      <c r="M973" s="13">
        <v>937.4</v>
      </c>
      <c r="N973" s="3">
        <f t="shared" si="255"/>
        <v>6186840</v>
      </c>
      <c r="O973" s="3">
        <v>0</v>
      </c>
      <c r="P973" s="3">
        <v>0</v>
      </c>
      <c r="Q973" s="3">
        <v>0</v>
      </c>
      <c r="R973" s="3">
        <f t="shared" si="254"/>
        <v>0</v>
      </c>
      <c r="S973" s="3">
        <v>0</v>
      </c>
      <c r="T973" s="13">
        <v>0</v>
      </c>
      <c r="U973" s="3">
        <v>192073.79</v>
      </c>
      <c r="V973" s="5">
        <f t="shared" si="249"/>
        <v>6600</v>
      </c>
    </row>
    <row r="974" spans="1:258" ht="25.15" customHeight="1" x14ac:dyDescent="0.25">
      <c r="A974" s="21" t="s">
        <v>1765</v>
      </c>
      <c r="B974" s="24" t="s">
        <v>764</v>
      </c>
      <c r="C974" s="2">
        <f t="shared" si="247"/>
        <v>8005800</v>
      </c>
      <c r="D974" s="3">
        <f t="shared" si="248"/>
        <v>0</v>
      </c>
      <c r="E974" s="3">
        <v>0</v>
      </c>
      <c r="F974" s="3">
        <v>0</v>
      </c>
      <c r="G974" s="3">
        <v>0</v>
      </c>
      <c r="H974" s="3">
        <v>0</v>
      </c>
      <c r="I974" s="3">
        <v>0</v>
      </c>
      <c r="J974" s="3">
        <v>0</v>
      </c>
      <c r="K974" s="14">
        <v>0</v>
      </c>
      <c r="L974" s="13">
        <v>0</v>
      </c>
      <c r="M974" s="3">
        <v>1213</v>
      </c>
      <c r="N974" s="3">
        <f t="shared" si="255"/>
        <v>8005800</v>
      </c>
      <c r="O974" s="3">
        <v>0</v>
      </c>
      <c r="P974" s="3">
        <v>0</v>
      </c>
      <c r="Q974" s="3">
        <v>0</v>
      </c>
      <c r="R974" s="3">
        <f t="shared" si="254"/>
        <v>0</v>
      </c>
      <c r="S974" s="3">
        <v>0</v>
      </c>
      <c r="T974" s="13">
        <v>0</v>
      </c>
      <c r="U974" s="3">
        <v>0</v>
      </c>
      <c r="V974" s="5">
        <f t="shared" si="249"/>
        <v>6600</v>
      </c>
    </row>
    <row r="975" spans="1:258" ht="25.15" customHeight="1" x14ac:dyDescent="0.25">
      <c r="A975" s="21" t="s">
        <v>1766</v>
      </c>
      <c r="B975" s="24" t="s">
        <v>694</v>
      </c>
      <c r="C975" s="2">
        <f t="shared" si="247"/>
        <v>6268020</v>
      </c>
      <c r="D975" s="3">
        <f t="shared" si="248"/>
        <v>0</v>
      </c>
      <c r="E975" s="3">
        <v>0</v>
      </c>
      <c r="F975" s="3">
        <v>0</v>
      </c>
      <c r="G975" s="3">
        <v>0</v>
      </c>
      <c r="H975" s="3">
        <v>0</v>
      </c>
      <c r="I975" s="3">
        <v>0</v>
      </c>
      <c r="J975" s="3">
        <v>0</v>
      </c>
      <c r="K975" s="14">
        <v>0</v>
      </c>
      <c r="L975" s="13">
        <v>0</v>
      </c>
      <c r="M975" s="3">
        <v>949.7</v>
      </c>
      <c r="N975" s="3">
        <f t="shared" si="255"/>
        <v>6268020</v>
      </c>
      <c r="O975" s="3">
        <v>0</v>
      </c>
      <c r="P975" s="3">
        <v>0</v>
      </c>
      <c r="Q975" s="3">
        <v>0</v>
      </c>
      <c r="R975" s="3">
        <f t="shared" si="254"/>
        <v>0</v>
      </c>
      <c r="S975" s="3">
        <v>0</v>
      </c>
      <c r="T975" s="13">
        <v>0</v>
      </c>
      <c r="U975" s="3">
        <v>0</v>
      </c>
      <c r="V975" s="5">
        <f t="shared" si="249"/>
        <v>6600</v>
      </c>
    </row>
    <row r="976" spans="1:258" ht="25.15" customHeight="1" x14ac:dyDescent="0.25">
      <c r="A976" s="21" t="s">
        <v>1767</v>
      </c>
      <c r="B976" s="24" t="s">
        <v>695</v>
      </c>
      <c r="C976" s="2">
        <f t="shared" si="247"/>
        <v>3073680</v>
      </c>
      <c r="D976" s="3">
        <f t="shared" si="248"/>
        <v>0</v>
      </c>
      <c r="E976" s="3">
        <v>0</v>
      </c>
      <c r="F976" s="3">
        <v>0</v>
      </c>
      <c r="G976" s="3">
        <v>0</v>
      </c>
      <c r="H976" s="3">
        <v>0</v>
      </c>
      <c r="I976" s="3">
        <v>0</v>
      </c>
      <c r="J976" s="3">
        <v>0</v>
      </c>
      <c r="K976" s="14">
        <v>0</v>
      </c>
      <c r="L976" s="13">
        <v>0</v>
      </c>
      <c r="M976" s="13">
        <v>274</v>
      </c>
      <c r="N976" s="3">
        <f t="shared" si="255"/>
        <v>1808400</v>
      </c>
      <c r="O976" s="13">
        <v>0</v>
      </c>
      <c r="P976" s="13">
        <v>0</v>
      </c>
      <c r="Q976" s="13">
        <v>395.4</v>
      </c>
      <c r="R976" s="3">
        <f t="shared" si="254"/>
        <v>1265280</v>
      </c>
      <c r="S976" s="13">
        <v>0</v>
      </c>
      <c r="T976" s="13">
        <v>0</v>
      </c>
      <c r="U976" s="13">
        <v>0</v>
      </c>
      <c r="V976" s="5">
        <f t="shared" si="249"/>
        <v>6600</v>
      </c>
      <c r="W976" s="8"/>
      <c r="X976" s="8"/>
      <c r="Y976" s="8"/>
      <c r="Z976" s="8"/>
      <c r="AA976" s="8"/>
      <c r="AB976" s="8"/>
      <c r="AC976" s="8"/>
      <c r="AD976" s="8"/>
      <c r="AE976" s="8"/>
      <c r="AF976" s="8"/>
      <c r="AG976" s="8"/>
      <c r="AH976" s="8"/>
      <c r="AI976" s="8"/>
      <c r="AJ976" s="8"/>
      <c r="AK976" s="8"/>
      <c r="AL976" s="8"/>
      <c r="AM976" s="8"/>
      <c r="AN976" s="8"/>
      <c r="AO976" s="8"/>
      <c r="AP976" s="8"/>
      <c r="AQ976" s="8"/>
      <c r="AR976" s="8"/>
      <c r="AS976" s="8"/>
      <c r="AT976" s="8"/>
      <c r="AU976" s="8"/>
      <c r="AV976" s="8"/>
      <c r="AW976" s="8"/>
      <c r="AX976" s="8"/>
      <c r="AY976" s="8"/>
      <c r="AZ976" s="8"/>
      <c r="BA976" s="8"/>
      <c r="BB976" s="8"/>
      <c r="BC976" s="8"/>
      <c r="BD976" s="8"/>
      <c r="BE976" s="8"/>
      <c r="BF976" s="8"/>
      <c r="BG976" s="8"/>
      <c r="BH976" s="8"/>
      <c r="BI976" s="8"/>
      <c r="BJ976" s="8"/>
      <c r="BK976" s="8"/>
      <c r="BL976" s="8"/>
      <c r="BM976" s="8"/>
      <c r="BN976" s="8"/>
      <c r="BO976" s="8"/>
      <c r="BP976" s="8"/>
      <c r="BQ976" s="8"/>
      <c r="BR976" s="8"/>
      <c r="BS976" s="8"/>
      <c r="BT976" s="8"/>
      <c r="BU976" s="8"/>
      <c r="BV976" s="8"/>
      <c r="BW976" s="8"/>
      <c r="BX976" s="8"/>
      <c r="BY976" s="8"/>
      <c r="BZ976" s="8"/>
      <c r="CA976" s="8"/>
      <c r="CB976" s="8"/>
      <c r="CC976" s="8"/>
      <c r="CD976" s="8"/>
      <c r="CE976" s="8"/>
      <c r="CF976" s="8"/>
      <c r="CG976" s="8"/>
      <c r="CH976" s="8"/>
      <c r="CI976" s="8"/>
      <c r="CJ976" s="8"/>
      <c r="CK976" s="8"/>
      <c r="CL976" s="8"/>
      <c r="CM976" s="8"/>
      <c r="CN976" s="8"/>
      <c r="CO976" s="8"/>
      <c r="CP976" s="8"/>
      <c r="CQ976" s="8"/>
      <c r="CR976" s="8"/>
      <c r="CS976" s="8"/>
      <c r="CT976" s="8"/>
      <c r="CU976" s="8"/>
      <c r="CV976" s="8"/>
      <c r="CW976" s="8"/>
      <c r="CX976" s="8"/>
      <c r="CY976" s="8"/>
      <c r="CZ976" s="8"/>
      <c r="DA976" s="8"/>
      <c r="DB976" s="8"/>
      <c r="DC976" s="8"/>
      <c r="DD976" s="8"/>
      <c r="DE976" s="8"/>
      <c r="DF976" s="8"/>
      <c r="DG976" s="8"/>
      <c r="DH976" s="8"/>
      <c r="DI976" s="8"/>
      <c r="DJ976" s="8"/>
      <c r="DK976" s="8"/>
      <c r="DL976" s="8"/>
      <c r="DM976" s="8"/>
      <c r="DN976" s="8"/>
      <c r="DO976" s="8"/>
      <c r="DP976" s="8"/>
      <c r="DQ976" s="8"/>
      <c r="DR976" s="8"/>
      <c r="DS976" s="8"/>
      <c r="DT976" s="8"/>
      <c r="DU976" s="8"/>
      <c r="DV976" s="8"/>
      <c r="DW976" s="8"/>
      <c r="DX976" s="8"/>
      <c r="DY976" s="8"/>
      <c r="DZ976" s="8"/>
      <c r="EA976" s="8"/>
      <c r="EB976" s="8"/>
      <c r="EC976" s="8"/>
      <c r="ED976" s="8"/>
      <c r="EE976" s="8"/>
      <c r="EF976" s="8"/>
      <c r="EG976" s="8"/>
      <c r="EH976" s="8"/>
      <c r="EI976" s="8"/>
      <c r="EJ976" s="8"/>
      <c r="EK976" s="8"/>
      <c r="EL976" s="8"/>
      <c r="EM976" s="8"/>
      <c r="EN976" s="8"/>
      <c r="EO976" s="8"/>
      <c r="EP976" s="8"/>
      <c r="EQ976" s="8"/>
      <c r="ER976" s="8"/>
      <c r="ES976" s="8"/>
      <c r="ET976" s="8"/>
      <c r="EU976" s="8"/>
      <c r="EV976" s="8"/>
      <c r="EW976" s="8"/>
      <c r="EX976" s="8"/>
      <c r="EY976" s="8"/>
      <c r="EZ976" s="8"/>
      <c r="FA976" s="8"/>
      <c r="FB976" s="8"/>
      <c r="FC976" s="8"/>
      <c r="FD976" s="8"/>
      <c r="FE976" s="8"/>
      <c r="FF976" s="8"/>
      <c r="FG976" s="8"/>
      <c r="FH976" s="8"/>
      <c r="FI976" s="8"/>
      <c r="FJ976" s="8"/>
      <c r="FK976" s="8"/>
      <c r="FL976" s="8"/>
      <c r="FM976" s="8"/>
      <c r="FN976" s="8"/>
      <c r="FO976" s="8"/>
      <c r="FP976" s="8"/>
      <c r="FQ976" s="8"/>
      <c r="FR976" s="8"/>
      <c r="FS976" s="8"/>
      <c r="FT976" s="8"/>
      <c r="FU976" s="8"/>
      <c r="FV976" s="8"/>
      <c r="FW976" s="8"/>
      <c r="FX976" s="8"/>
      <c r="FY976" s="8"/>
      <c r="FZ976" s="8"/>
      <c r="GA976" s="8"/>
      <c r="GB976" s="8"/>
      <c r="GC976" s="8"/>
      <c r="GD976" s="8"/>
      <c r="GE976" s="8"/>
      <c r="GF976" s="8"/>
      <c r="GG976" s="8"/>
      <c r="GH976" s="8"/>
      <c r="GI976" s="8"/>
      <c r="GJ976" s="42"/>
      <c r="GK976" s="42"/>
      <c r="GL976" s="42"/>
      <c r="GM976" s="42"/>
      <c r="GN976" s="42"/>
      <c r="GO976" s="42"/>
      <c r="GP976" s="42"/>
      <c r="GQ976" s="42"/>
      <c r="GR976" s="42"/>
      <c r="GS976" s="42"/>
      <c r="GT976" s="42"/>
      <c r="GU976" s="42"/>
      <c r="GV976" s="42"/>
      <c r="GW976" s="42"/>
      <c r="GX976" s="42"/>
      <c r="GY976" s="42"/>
      <c r="GZ976" s="42"/>
      <c r="HA976" s="42"/>
      <c r="HB976" s="42"/>
      <c r="HC976" s="42"/>
      <c r="HD976" s="42"/>
      <c r="HE976" s="42"/>
      <c r="HF976" s="42"/>
      <c r="HG976" s="42"/>
      <c r="HH976" s="42"/>
      <c r="HI976" s="42"/>
      <c r="HJ976" s="42"/>
      <c r="HK976" s="42"/>
      <c r="HL976" s="42"/>
      <c r="HM976" s="42"/>
      <c r="HN976" s="42"/>
      <c r="HO976" s="42"/>
      <c r="HP976" s="42"/>
      <c r="HQ976" s="42"/>
      <c r="HR976" s="42"/>
      <c r="HS976" s="42"/>
      <c r="HT976" s="42"/>
      <c r="HU976" s="42"/>
      <c r="HV976" s="42"/>
      <c r="HW976" s="42"/>
      <c r="HX976" s="42"/>
      <c r="HY976" s="42"/>
      <c r="HZ976" s="42"/>
      <c r="IA976" s="42"/>
      <c r="IB976" s="42"/>
      <c r="IC976" s="42"/>
      <c r="ID976" s="42"/>
      <c r="IE976" s="42"/>
      <c r="IF976" s="42"/>
      <c r="IG976" s="42"/>
      <c r="IH976" s="42"/>
      <c r="II976" s="42"/>
      <c r="IJ976" s="42"/>
      <c r="IK976" s="42"/>
      <c r="IL976" s="42"/>
      <c r="IM976" s="42"/>
      <c r="IN976" s="42"/>
      <c r="IO976" s="42"/>
      <c r="IP976" s="42"/>
      <c r="IQ976" s="42"/>
      <c r="IR976" s="42"/>
      <c r="IS976" s="42"/>
      <c r="IT976" s="42"/>
      <c r="IU976" s="42"/>
      <c r="IV976" s="42"/>
      <c r="IW976" s="42"/>
      <c r="IX976" s="42"/>
    </row>
    <row r="977" spans="1:258" ht="25.15" customHeight="1" x14ac:dyDescent="0.25">
      <c r="A977" s="21" t="s">
        <v>1768</v>
      </c>
      <c r="B977" s="24" t="s">
        <v>388</v>
      </c>
      <c r="C977" s="2">
        <f t="shared" si="247"/>
        <v>7632490</v>
      </c>
      <c r="D977" s="3">
        <f t="shared" si="248"/>
        <v>6782490</v>
      </c>
      <c r="E977" s="3">
        <f>700*2125.1</f>
        <v>1487570</v>
      </c>
      <c r="F977" s="3">
        <f>1300*2125.1</f>
        <v>2762630</v>
      </c>
      <c r="G977" s="3">
        <f>300*2125.1</f>
        <v>637530</v>
      </c>
      <c r="H977" s="3">
        <f>400*2125.1</f>
        <v>850040</v>
      </c>
      <c r="I977" s="3">
        <f>300*3482.4</f>
        <v>1044720</v>
      </c>
      <c r="J977" s="3">
        <f>800*0</f>
        <v>0</v>
      </c>
      <c r="K977" s="4">
        <v>0</v>
      </c>
      <c r="L977" s="3">
        <v>0</v>
      </c>
      <c r="M977" s="3">
        <v>0</v>
      </c>
      <c r="N977" s="3">
        <v>0</v>
      </c>
      <c r="O977" s="3">
        <v>0</v>
      </c>
      <c r="P977" s="3">
        <v>0</v>
      </c>
      <c r="Q977" s="3">
        <v>0</v>
      </c>
      <c r="R977" s="3">
        <v>0</v>
      </c>
      <c r="S977" s="3">
        <v>0</v>
      </c>
      <c r="T977" s="3">
        <v>0</v>
      </c>
      <c r="U977" s="3">
        <v>850000</v>
      </c>
      <c r="V977" s="5" t="e">
        <f t="shared" si="249"/>
        <v>#DIV/0!</v>
      </c>
    </row>
    <row r="978" spans="1:258" ht="25.15" customHeight="1" x14ac:dyDescent="0.25">
      <c r="A978" s="21" t="s">
        <v>1769</v>
      </c>
      <c r="B978" s="24" t="s">
        <v>364</v>
      </c>
      <c r="C978" s="2">
        <f t="shared" si="247"/>
        <v>10754280</v>
      </c>
      <c r="D978" s="3">
        <f t="shared" si="248"/>
        <v>9904280</v>
      </c>
      <c r="E978" s="3">
        <f>700*3482.4</f>
        <v>2437680</v>
      </c>
      <c r="F978" s="3">
        <f>1300*3482.4</f>
        <v>4527120</v>
      </c>
      <c r="G978" s="3">
        <f>300*3482.4</f>
        <v>1044720</v>
      </c>
      <c r="H978" s="3">
        <f>400*2125.1</f>
        <v>850040</v>
      </c>
      <c r="I978" s="3">
        <f>300*3482.4</f>
        <v>1044720</v>
      </c>
      <c r="J978" s="3">
        <f>800*0</f>
        <v>0</v>
      </c>
      <c r="K978" s="4">
        <v>0</v>
      </c>
      <c r="L978" s="3">
        <v>0</v>
      </c>
      <c r="M978" s="3">
        <v>0</v>
      </c>
      <c r="N978" s="3">
        <v>0</v>
      </c>
      <c r="O978" s="3">
        <v>0</v>
      </c>
      <c r="P978" s="3">
        <v>0</v>
      </c>
      <c r="Q978" s="3">
        <v>0</v>
      </c>
      <c r="R978" s="3">
        <v>0</v>
      </c>
      <c r="S978" s="3">
        <v>0</v>
      </c>
      <c r="T978" s="3">
        <v>0</v>
      </c>
      <c r="U978" s="3">
        <v>850000</v>
      </c>
      <c r="V978" s="5" t="e">
        <f t="shared" si="249"/>
        <v>#DIV/0!</v>
      </c>
    </row>
    <row r="979" spans="1:258" s="32" customFormat="1" ht="25.15" customHeight="1" x14ac:dyDescent="0.25">
      <c r="A979" s="21" t="s">
        <v>1770</v>
      </c>
      <c r="B979" s="27" t="s">
        <v>696</v>
      </c>
      <c r="C979" s="2">
        <f t="shared" si="247"/>
        <v>4170062.94</v>
      </c>
      <c r="D979" s="3">
        <f t="shared" si="248"/>
        <v>0</v>
      </c>
      <c r="E979" s="3">
        <v>0</v>
      </c>
      <c r="F979" s="3">
        <v>0</v>
      </c>
      <c r="G979" s="3">
        <v>0</v>
      </c>
      <c r="H979" s="3">
        <v>0</v>
      </c>
      <c r="I979" s="3">
        <v>0</v>
      </c>
      <c r="J979" s="3">
        <v>0</v>
      </c>
      <c r="K979" s="4">
        <v>0</v>
      </c>
      <c r="L979" s="3">
        <v>0</v>
      </c>
      <c r="M979" s="3">
        <v>600</v>
      </c>
      <c r="N979" s="3">
        <f>M979*6600</f>
        <v>3960000</v>
      </c>
      <c r="O979" s="3">
        <v>0</v>
      </c>
      <c r="P979" s="3">
        <v>0</v>
      </c>
      <c r="Q979" s="3">
        <v>0</v>
      </c>
      <c r="R979" s="3">
        <f>Q979*3200</f>
        <v>0</v>
      </c>
      <c r="S979" s="3">
        <v>0</v>
      </c>
      <c r="T979" s="13">
        <v>0</v>
      </c>
      <c r="U979" s="3">
        <v>210062.94</v>
      </c>
      <c r="V979" s="5">
        <f t="shared" si="249"/>
        <v>6600</v>
      </c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  <c r="BO979" s="6"/>
      <c r="BP979" s="6"/>
      <c r="BQ979" s="6"/>
      <c r="BR979" s="6"/>
      <c r="BS979" s="6"/>
      <c r="BT979" s="6"/>
      <c r="BU979" s="6"/>
      <c r="BV979" s="6"/>
      <c r="BW979" s="6"/>
      <c r="BX979" s="6"/>
      <c r="BY979" s="6"/>
      <c r="BZ979" s="6"/>
      <c r="CA979" s="6"/>
      <c r="CB979" s="6"/>
      <c r="CC979" s="6"/>
      <c r="CD979" s="6"/>
      <c r="CE979" s="6"/>
      <c r="CF979" s="6"/>
      <c r="CG979" s="6"/>
      <c r="CH979" s="6"/>
      <c r="CI979" s="6"/>
      <c r="CJ979" s="6"/>
      <c r="CK979" s="6"/>
      <c r="CL979" s="6"/>
      <c r="CM979" s="6"/>
      <c r="CN979" s="6"/>
      <c r="CO979" s="6"/>
      <c r="CP979" s="6"/>
      <c r="CQ979" s="6"/>
      <c r="CR979" s="6"/>
      <c r="CS979" s="6"/>
      <c r="CT979" s="6"/>
      <c r="CU979" s="6"/>
      <c r="CV979" s="6"/>
      <c r="CW979" s="6"/>
      <c r="CX979" s="6"/>
      <c r="CY979" s="6"/>
      <c r="CZ979" s="6"/>
      <c r="DA979" s="6"/>
      <c r="DB979" s="6"/>
      <c r="DC979" s="6"/>
      <c r="DD979" s="6"/>
      <c r="DE979" s="6"/>
      <c r="DF979" s="6"/>
      <c r="DG979" s="6"/>
      <c r="DH979" s="6"/>
      <c r="DI979" s="6"/>
      <c r="DJ979" s="6"/>
      <c r="DK979" s="6"/>
      <c r="DL979" s="6"/>
      <c r="DM979" s="6"/>
      <c r="DN979" s="6"/>
      <c r="DO979" s="6"/>
      <c r="DP979" s="6"/>
      <c r="DQ979" s="6"/>
      <c r="DR979" s="6"/>
      <c r="DS979" s="6"/>
      <c r="DT979" s="6"/>
      <c r="DU979" s="6"/>
      <c r="DV979" s="6"/>
      <c r="DW979" s="6"/>
      <c r="DX979" s="6"/>
      <c r="DY979" s="6"/>
      <c r="DZ979" s="6"/>
      <c r="EA979" s="6"/>
      <c r="EB979" s="6"/>
      <c r="EC979" s="6"/>
      <c r="ED979" s="6"/>
      <c r="EE979" s="6"/>
      <c r="EF979" s="6"/>
      <c r="EG979" s="6"/>
      <c r="EH979" s="6"/>
      <c r="EI979" s="6"/>
      <c r="EJ979" s="6"/>
      <c r="EK979" s="6"/>
      <c r="EL979" s="6"/>
      <c r="EM979" s="6"/>
      <c r="EN979" s="6"/>
      <c r="EO979" s="6"/>
      <c r="EP979" s="6"/>
      <c r="EQ979" s="6"/>
      <c r="ER979" s="6"/>
      <c r="ES979" s="6"/>
      <c r="ET979" s="6"/>
      <c r="EU979" s="6"/>
      <c r="EV979" s="6"/>
      <c r="EW979" s="6"/>
      <c r="EX979" s="6"/>
      <c r="EY979" s="6"/>
      <c r="EZ979" s="6"/>
      <c r="FA979" s="6"/>
      <c r="FB979" s="6"/>
      <c r="FC979" s="6"/>
      <c r="FD979" s="6"/>
      <c r="FE979" s="6"/>
      <c r="FF979" s="6"/>
      <c r="FG979" s="6"/>
      <c r="FH979" s="6"/>
      <c r="FI979" s="6"/>
      <c r="FJ979" s="6"/>
      <c r="FK979" s="6"/>
      <c r="FL979" s="6"/>
      <c r="FM979" s="6"/>
      <c r="FN979" s="6"/>
      <c r="FO979" s="6"/>
      <c r="FP979" s="6"/>
      <c r="FQ979" s="6"/>
      <c r="FR979" s="6"/>
      <c r="FS979" s="6"/>
      <c r="FT979" s="6"/>
      <c r="FU979" s="6"/>
      <c r="FV979" s="6"/>
      <c r="FW979" s="6"/>
      <c r="FX979" s="6"/>
      <c r="FY979" s="6"/>
      <c r="FZ979" s="6"/>
      <c r="GA979" s="6"/>
      <c r="GB979" s="6"/>
      <c r="GC979" s="6"/>
      <c r="GD979" s="6"/>
      <c r="GE979" s="6"/>
      <c r="GF979" s="6"/>
      <c r="GG979" s="6"/>
      <c r="GH979" s="6"/>
      <c r="GI979" s="6"/>
      <c r="GJ979" s="6"/>
      <c r="GK979" s="6"/>
      <c r="GL979" s="6"/>
      <c r="GM979" s="6"/>
      <c r="GN979" s="6"/>
      <c r="GO979" s="6"/>
      <c r="GP979" s="6"/>
      <c r="GQ979" s="6"/>
      <c r="GR979" s="6"/>
      <c r="GS979" s="6"/>
      <c r="GT979" s="6"/>
      <c r="GU979" s="6"/>
      <c r="GV979" s="6"/>
      <c r="GW979" s="6"/>
      <c r="GX979" s="6"/>
      <c r="GY979" s="6"/>
      <c r="GZ979" s="6"/>
      <c r="HA979" s="6"/>
      <c r="HB979" s="6"/>
      <c r="HC979" s="6"/>
      <c r="HD979" s="6"/>
      <c r="HE979" s="6"/>
      <c r="HF979" s="6"/>
      <c r="HG979" s="6"/>
      <c r="HH979" s="6"/>
      <c r="HI979" s="6"/>
      <c r="HJ979" s="6"/>
      <c r="HK979" s="6"/>
      <c r="HL979" s="6"/>
      <c r="HM979" s="6"/>
      <c r="HN979" s="6"/>
      <c r="HO979" s="6"/>
      <c r="HP979" s="6"/>
      <c r="HQ979" s="6"/>
      <c r="HR979" s="6"/>
      <c r="HS979" s="6"/>
      <c r="HT979" s="6"/>
      <c r="HU979" s="6"/>
      <c r="HV979" s="6"/>
      <c r="HW979" s="6"/>
      <c r="HX979" s="6"/>
      <c r="HY979" s="6"/>
      <c r="HZ979" s="6"/>
      <c r="IA979" s="6"/>
      <c r="IB979" s="6"/>
      <c r="IC979" s="6"/>
      <c r="ID979" s="6"/>
      <c r="IE979" s="6"/>
      <c r="IF979" s="6"/>
      <c r="IG979" s="6"/>
      <c r="IH979" s="6"/>
      <c r="II979" s="6"/>
      <c r="IJ979" s="6"/>
      <c r="IK979" s="6"/>
      <c r="IL979" s="6"/>
      <c r="IM979" s="6"/>
      <c r="IN979" s="6"/>
      <c r="IO979" s="6"/>
      <c r="IP979" s="6"/>
      <c r="IQ979" s="6"/>
      <c r="IR979" s="6"/>
      <c r="IS979" s="6"/>
      <c r="IT979" s="6"/>
      <c r="IU979" s="6"/>
      <c r="IV979" s="6"/>
      <c r="IW979" s="6"/>
      <c r="IX979" s="6"/>
    </row>
    <row r="980" spans="1:258" ht="25.15" customHeight="1" x14ac:dyDescent="0.25">
      <c r="A980" s="21" t="s">
        <v>1771</v>
      </c>
      <c r="B980" s="24" t="s">
        <v>386</v>
      </c>
      <c r="C980" s="2">
        <f t="shared" si="247"/>
        <v>400000</v>
      </c>
      <c r="D980" s="3">
        <f t="shared" si="248"/>
        <v>0</v>
      </c>
      <c r="E980" s="3">
        <v>0</v>
      </c>
      <c r="F980" s="3">
        <v>0</v>
      </c>
      <c r="G980" s="3">
        <v>0</v>
      </c>
      <c r="H980" s="3">
        <v>0</v>
      </c>
      <c r="I980" s="3">
        <v>0</v>
      </c>
      <c r="J980" s="3">
        <v>0</v>
      </c>
      <c r="K980" s="4">
        <v>0</v>
      </c>
      <c r="L980" s="3">
        <v>0</v>
      </c>
      <c r="M980" s="3">
        <v>0</v>
      </c>
      <c r="N980" s="3">
        <v>0</v>
      </c>
      <c r="O980" s="3">
        <v>0</v>
      </c>
      <c r="P980" s="3">
        <v>0</v>
      </c>
      <c r="Q980" s="3">
        <v>0</v>
      </c>
      <c r="R980" s="3">
        <v>0</v>
      </c>
      <c r="S980" s="3">
        <v>0</v>
      </c>
      <c r="T980" s="3">
        <v>0</v>
      </c>
      <c r="U980" s="3">
        <v>400000</v>
      </c>
      <c r="V980" s="5" t="e">
        <f t="shared" si="249"/>
        <v>#DIV/0!</v>
      </c>
    </row>
    <row r="981" spans="1:258" ht="25.15" customHeight="1" x14ac:dyDescent="0.25">
      <c r="A981" s="21" t="s">
        <v>1772</v>
      </c>
      <c r="B981" s="28" t="s">
        <v>855</v>
      </c>
      <c r="C981" s="2">
        <f t="shared" si="247"/>
        <v>7251100</v>
      </c>
      <c r="D981" s="3">
        <f t="shared" si="248"/>
        <v>0</v>
      </c>
      <c r="E981" s="3">
        <v>0</v>
      </c>
      <c r="F981" s="3">
        <v>0</v>
      </c>
      <c r="G981" s="3">
        <v>0</v>
      </c>
      <c r="H981" s="3">
        <v>0</v>
      </c>
      <c r="I981" s="3">
        <v>0</v>
      </c>
      <c r="J981" s="3">
        <v>0</v>
      </c>
      <c r="K981" s="4">
        <v>0</v>
      </c>
      <c r="L981" s="3">
        <v>0</v>
      </c>
      <c r="M981" s="3">
        <v>623.5</v>
      </c>
      <c r="N981" s="3">
        <f>M981*6600</f>
        <v>4115100</v>
      </c>
      <c r="O981" s="3">
        <v>0</v>
      </c>
      <c r="P981" s="3">
        <v>0</v>
      </c>
      <c r="Q981" s="3">
        <v>980</v>
      </c>
      <c r="R981" s="13">
        <f t="shared" ref="R981:R992" si="256">Q981*3200</f>
        <v>3136000</v>
      </c>
      <c r="S981" s="3">
        <v>0</v>
      </c>
      <c r="T981" s="3">
        <v>0</v>
      </c>
      <c r="U981" s="3">
        <v>0</v>
      </c>
      <c r="V981" s="5">
        <f t="shared" si="249"/>
        <v>6600</v>
      </c>
    </row>
    <row r="982" spans="1:258" s="5" customFormat="1" ht="25.15" customHeight="1" x14ac:dyDescent="0.25">
      <c r="A982" s="21" t="s">
        <v>1773</v>
      </c>
      <c r="B982" s="27" t="s">
        <v>765</v>
      </c>
      <c r="C982" s="2">
        <f t="shared" si="247"/>
        <v>4284720</v>
      </c>
      <c r="D982" s="3">
        <f t="shared" si="248"/>
        <v>0</v>
      </c>
      <c r="E982" s="3">
        <v>0</v>
      </c>
      <c r="F982" s="3">
        <v>0</v>
      </c>
      <c r="G982" s="3">
        <v>0</v>
      </c>
      <c r="H982" s="3">
        <v>0</v>
      </c>
      <c r="I982" s="3">
        <v>0</v>
      </c>
      <c r="J982" s="3">
        <v>0</v>
      </c>
      <c r="K982" s="4">
        <v>0</v>
      </c>
      <c r="L982" s="3">
        <v>0</v>
      </c>
      <c r="M982" s="13">
        <v>649.20000000000005</v>
      </c>
      <c r="N982" s="3">
        <f>M982*6600</f>
        <v>4284720</v>
      </c>
      <c r="O982" s="3">
        <v>0</v>
      </c>
      <c r="P982" s="3">
        <v>0</v>
      </c>
      <c r="Q982" s="3">
        <v>0</v>
      </c>
      <c r="R982" s="3">
        <f t="shared" si="256"/>
        <v>0</v>
      </c>
      <c r="S982" s="3">
        <v>0</v>
      </c>
      <c r="T982" s="13">
        <v>0</v>
      </c>
      <c r="U982" s="3">
        <v>0</v>
      </c>
      <c r="V982" s="5">
        <f t="shared" si="249"/>
        <v>6599.9999999999991</v>
      </c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  <c r="BO982" s="6"/>
      <c r="BP982" s="6"/>
      <c r="BQ982" s="6"/>
      <c r="BR982" s="6"/>
      <c r="BS982" s="6"/>
      <c r="BT982" s="6"/>
      <c r="BU982" s="6"/>
      <c r="BV982" s="6"/>
      <c r="BW982" s="6"/>
      <c r="BX982" s="6"/>
      <c r="BY982" s="6"/>
      <c r="BZ982" s="6"/>
      <c r="CA982" s="6"/>
      <c r="CB982" s="6"/>
      <c r="CC982" s="6"/>
      <c r="CD982" s="6"/>
      <c r="CE982" s="6"/>
      <c r="CF982" s="6"/>
      <c r="CG982" s="6"/>
      <c r="CH982" s="6"/>
      <c r="CI982" s="6"/>
      <c r="CJ982" s="6"/>
      <c r="CK982" s="6"/>
      <c r="CL982" s="6"/>
      <c r="CM982" s="6"/>
      <c r="CN982" s="6"/>
      <c r="CO982" s="6"/>
      <c r="CP982" s="6"/>
      <c r="CQ982" s="6"/>
      <c r="CR982" s="6"/>
      <c r="CS982" s="6"/>
      <c r="CT982" s="6"/>
      <c r="CU982" s="6"/>
      <c r="CV982" s="6"/>
      <c r="CW982" s="6"/>
      <c r="CX982" s="6"/>
      <c r="CY982" s="6"/>
      <c r="CZ982" s="6"/>
      <c r="DA982" s="6"/>
      <c r="DB982" s="6"/>
      <c r="DC982" s="6"/>
      <c r="DD982" s="6"/>
      <c r="DE982" s="6"/>
      <c r="DF982" s="6"/>
      <c r="DG982" s="6"/>
      <c r="DH982" s="6"/>
      <c r="DI982" s="6"/>
      <c r="DJ982" s="6"/>
      <c r="DK982" s="6"/>
      <c r="DL982" s="6"/>
      <c r="DM982" s="6"/>
      <c r="DN982" s="6"/>
      <c r="DO982" s="6"/>
      <c r="DP982" s="6"/>
      <c r="DQ982" s="6"/>
      <c r="DR982" s="6"/>
      <c r="DS982" s="6"/>
      <c r="DT982" s="6"/>
      <c r="DU982" s="6"/>
      <c r="DV982" s="6"/>
      <c r="DW982" s="6"/>
      <c r="DX982" s="6"/>
      <c r="DY982" s="6"/>
      <c r="DZ982" s="6"/>
      <c r="EA982" s="6"/>
      <c r="EB982" s="6"/>
      <c r="EC982" s="6"/>
      <c r="ED982" s="6"/>
      <c r="EE982" s="6"/>
      <c r="EF982" s="6"/>
      <c r="EG982" s="6"/>
      <c r="EH982" s="6"/>
      <c r="EI982" s="6"/>
      <c r="EJ982" s="6"/>
      <c r="EK982" s="6"/>
      <c r="EL982" s="6"/>
      <c r="EM982" s="6"/>
      <c r="EN982" s="6"/>
      <c r="EO982" s="6"/>
      <c r="EP982" s="6"/>
      <c r="EQ982" s="6"/>
      <c r="ER982" s="6"/>
      <c r="ES982" s="6"/>
      <c r="ET982" s="6"/>
      <c r="EU982" s="6"/>
      <c r="EV982" s="6"/>
      <c r="EW982" s="6"/>
      <c r="EX982" s="6"/>
      <c r="EY982" s="6"/>
      <c r="EZ982" s="6"/>
      <c r="FA982" s="6"/>
      <c r="FB982" s="6"/>
      <c r="FC982" s="6"/>
      <c r="FD982" s="6"/>
      <c r="FE982" s="6"/>
      <c r="FF982" s="6"/>
      <c r="FG982" s="6"/>
      <c r="FH982" s="6"/>
      <c r="FI982" s="6"/>
      <c r="FJ982" s="6"/>
      <c r="FK982" s="6"/>
      <c r="FL982" s="6"/>
      <c r="FM982" s="6"/>
      <c r="FN982" s="6"/>
      <c r="FO982" s="6"/>
      <c r="FP982" s="6"/>
      <c r="FQ982" s="6"/>
      <c r="FR982" s="6"/>
      <c r="FS982" s="6"/>
      <c r="FT982" s="6"/>
      <c r="FU982" s="6"/>
      <c r="FV982" s="6"/>
      <c r="FW982" s="6"/>
      <c r="FX982" s="6"/>
      <c r="FY982" s="6"/>
      <c r="FZ982" s="6"/>
      <c r="GA982" s="6"/>
      <c r="GB982" s="6"/>
      <c r="GC982" s="6"/>
      <c r="GD982" s="6"/>
      <c r="GE982" s="6"/>
      <c r="GF982" s="6"/>
      <c r="GG982" s="6"/>
      <c r="GH982" s="6"/>
      <c r="GI982" s="6"/>
      <c r="GJ982" s="6"/>
      <c r="GK982" s="6"/>
      <c r="GL982" s="6"/>
      <c r="GM982" s="6"/>
      <c r="GN982" s="6"/>
      <c r="GO982" s="6"/>
      <c r="GP982" s="6"/>
      <c r="GQ982" s="6"/>
      <c r="GR982" s="6"/>
      <c r="GS982" s="6"/>
      <c r="GT982" s="6"/>
      <c r="GU982" s="6"/>
      <c r="GV982" s="6"/>
      <c r="GW982" s="6"/>
      <c r="GX982" s="6"/>
      <c r="GY982" s="6"/>
      <c r="GZ982" s="6"/>
      <c r="HA982" s="6"/>
      <c r="HB982" s="6"/>
      <c r="HC982" s="6"/>
      <c r="HD982" s="6"/>
      <c r="HE982" s="6"/>
      <c r="HF982" s="6"/>
      <c r="HG982" s="6"/>
      <c r="HH982" s="6"/>
      <c r="HI982" s="6"/>
      <c r="HJ982" s="6"/>
      <c r="HK982" s="6"/>
      <c r="HL982" s="6"/>
      <c r="HM982" s="6"/>
      <c r="HN982" s="6"/>
      <c r="HO982" s="6"/>
      <c r="HP982" s="6"/>
      <c r="HQ982" s="6"/>
      <c r="HR982" s="6"/>
      <c r="HS982" s="6"/>
      <c r="HT982" s="6"/>
      <c r="HU982" s="6"/>
      <c r="HV982" s="6"/>
      <c r="HW982" s="6"/>
      <c r="HX982" s="6"/>
      <c r="HY982" s="6"/>
      <c r="HZ982" s="6"/>
      <c r="IA982" s="6"/>
      <c r="IB982" s="6"/>
      <c r="IC982" s="6"/>
      <c r="ID982" s="6"/>
      <c r="IE982" s="6"/>
      <c r="IF982" s="6"/>
      <c r="IG982" s="6"/>
      <c r="IH982" s="6"/>
      <c r="II982" s="6"/>
      <c r="IJ982" s="6"/>
      <c r="IK982" s="6"/>
      <c r="IL982" s="6"/>
      <c r="IM982" s="6"/>
      <c r="IN982" s="6"/>
      <c r="IO982" s="6"/>
      <c r="IP982" s="6"/>
      <c r="IQ982" s="6"/>
      <c r="IR982" s="6"/>
      <c r="IS982" s="6"/>
      <c r="IT982" s="6"/>
      <c r="IU982" s="6"/>
      <c r="IV982" s="6"/>
      <c r="IW982" s="6"/>
      <c r="IX982" s="6"/>
    </row>
    <row r="983" spans="1:258" ht="25.15" customHeight="1" x14ac:dyDescent="0.25">
      <c r="A983" s="21" t="s">
        <v>1774</v>
      </c>
      <c r="B983" s="27" t="s">
        <v>518</v>
      </c>
      <c r="C983" s="2">
        <f t="shared" si="247"/>
        <v>12428999.35</v>
      </c>
      <c r="D983" s="3">
        <f t="shared" si="248"/>
        <v>3386700.0000000005</v>
      </c>
      <c r="E983" s="3">
        <f>700*1128.9</f>
        <v>790230.00000000012</v>
      </c>
      <c r="F983" s="3">
        <f>1300*1128.9</f>
        <v>1467570.0000000002</v>
      </c>
      <c r="G983" s="3">
        <f>300*1128.9</f>
        <v>338670</v>
      </c>
      <c r="H983" s="3">
        <f>400*1128.9</f>
        <v>451560.00000000006</v>
      </c>
      <c r="I983" s="3">
        <f>300*1128.9</f>
        <v>338670</v>
      </c>
      <c r="J983" s="3">
        <v>0</v>
      </c>
      <c r="K983" s="14">
        <v>0</v>
      </c>
      <c r="L983" s="13">
        <v>0</v>
      </c>
      <c r="M983" s="13">
        <v>684.8</v>
      </c>
      <c r="N983" s="3">
        <f>M983*6600</f>
        <v>4519680</v>
      </c>
      <c r="O983" s="13">
        <v>0</v>
      </c>
      <c r="P983" s="13">
        <v>0</v>
      </c>
      <c r="Q983" s="13">
        <v>1350</v>
      </c>
      <c r="R983" s="3">
        <f t="shared" si="256"/>
        <v>4320000</v>
      </c>
      <c r="S983" s="13">
        <v>0</v>
      </c>
      <c r="T983" s="13">
        <v>0</v>
      </c>
      <c r="U983" s="13">
        <v>202619.35</v>
      </c>
      <c r="V983" s="5">
        <f t="shared" si="249"/>
        <v>6600</v>
      </c>
    </row>
    <row r="984" spans="1:258" s="32" customFormat="1" ht="25.15" customHeight="1" x14ac:dyDescent="0.25">
      <c r="A984" s="21" t="s">
        <v>1775</v>
      </c>
      <c r="B984" s="24" t="s">
        <v>766</v>
      </c>
      <c r="C984" s="2">
        <f t="shared" si="247"/>
        <v>4304520</v>
      </c>
      <c r="D984" s="3">
        <f t="shared" si="248"/>
        <v>0</v>
      </c>
      <c r="E984" s="3">
        <v>0</v>
      </c>
      <c r="F984" s="3">
        <v>0</v>
      </c>
      <c r="G984" s="3">
        <v>0</v>
      </c>
      <c r="H984" s="3">
        <v>0</v>
      </c>
      <c r="I984" s="3">
        <v>0</v>
      </c>
      <c r="J984" s="3">
        <v>0</v>
      </c>
      <c r="K984" s="4">
        <v>0</v>
      </c>
      <c r="L984" s="3">
        <v>0</v>
      </c>
      <c r="M984" s="13">
        <v>652.20000000000005</v>
      </c>
      <c r="N984" s="3">
        <f>M984*6600</f>
        <v>4304520</v>
      </c>
      <c r="O984" s="3">
        <v>0</v>
      </c>
      <c r="P984" s="3">
        <v>0</v>
      </c>
      <c r="Q984" s="3">
        <v>0</v>
      </c>
      <c r="R984" s="3">
        <f t="shared" si="256"/>
        <v>0</v>
      </c>
      <c r="S984" s="3">
        <v>0</v>
      </c>
      <c r="T984" s="13">
        <v>0</v>
      </c>
      <c r="U984" s="3">
        <v>0</v>
      </c>
      <c r="V984" s="5">
        <f t="shared" si="249"/>
        <v>6599.9999999999991</v>
      </c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  <c r="BO984" s="6"/>
      <c r="BP984" s="6"/>
      <c r="BQ984" s="6"/>
      <c r="BR984" s="6"/>
      <c r="BS984" s="6"/>
      <c r="BT984" s="6"/>
      <c r="BU984" s="6"/>
      <c r="BV984" s="6"/>
      <c r="BW984" s="6"/>
      <c r="BX984" s="6"/>
      <c r="BY984" s="6"/>
      <c r="BZ984" s="6"/>
      <c r="CA984" s="6"/>
      <c r="CB984" s="6"/>
      <c r="CC984" s="6"/>
      <c r="CD984" s="6"/>
      <c r="CE984" s="6"/>
      <c r="CF984" s="6"/>
      <c r="CG984" s="6"/>
      <c r="CH984" s="6"/>
      <c r="CI984" s="6"/>
      <c r="CJ984" s="6"/>
      <c r="CK984" s="6"/>
      <c r="CL984" s="6"/>
      <c r="CM984" s="6"/>
      <c r="CN984" s="6"/>
      <c r="CO984" s="6"/>
      <c r="CP984" s="6"/>
      <c r="CQ984" s="6"/>
      <c r="CR984" s="6"/>
      <c r="CS984" s="6"/>
      <c r="CT984" s="6"/>
      <c r="CU984" s="6"/>
      <c r="CV984" s="6"/>
      <c r="CW984" s="6"/>
      <c r="CX984" s="6"/>
      <c r="CY984" s="6"/>
      <c r="CZ984" s="6"/>
      <c r="DA984" s="6"/>
      <c r="DB984" s="6"/>
      <c r="DC984" s="6"/>
      <c r="DD984" s="6"/>
      <c r="DE984" s="6"/>
      <c r="DF984" s="6"/>
      <c r="DG984" s="6"/>
      <c r="DH984" s="6"/>
      <c r="DI984" s="6"/>
      <c r="DJ984" s="6"/>
      <c r="DK984" s="6"/>
      <c r="DL984" s="6"/>
      <c r="DM984" s="6"/>
      <c r="DN984" s="6"/>
      <c r="DO984" s="6"/>
      <c r="DP984" s="6"/>
      <c r="DQ984" s="6"/>
      <c r="DR984" s="6"/>
      <c r="DS984" s="6"/>
      <c r="DT984" s="6"/>
      <c r="DU984" s="6"/>
      <c r="DV984" s="6"/>
      <c r="DW984" s="6"/>
      <c r="DX984" s="6"/>
      <c r="DY984" s="6"/>
      <c r="DZ984" s="6"/>
      <c r="EA984" s="6"/>
      <c r="EB984" s="6"/>
      <c r="EC984" s="6"/>
      <c r="ED984" s="6"/>
      <c r="EE984" s="6"/>
      <c r="EF984" s="6"/>
      <c r="EG984" s="6"/>
      <c r="EH984" s="6"/>
      <c r="EI984" s="6"/>
      <c r="EJ984" s="6"/>
      <c r="EK984" s="6"/>
      <c r="EL984" s="6"/>
      <c r="EM984" s="6"/>
      <c r="EN984" s="6"/>
      <c r="EO984" s="6"/>
      <c r="EP984" s="6"/>
      <c r="EQ984" s="6"/>
      <c r="ER984" s="6"/>
      <c r="ES984" s="6"/>
      <c r="ET984" s="6"/>
      <c r="EU984" s="6"/>
      <c r="EV984" s="6"/>
      <c r="EW984" s="6"/>
      <c r="EX984" s="6"/>
      <c r="EY984" s="6"/>
      <c r="EZ984" s="6"/>
      <c r="FA984" s="6"/>
      <c r="FB984" s="6"/>
      <c r="FC984" s="6"/>
      <c r="FD984" s="6"/>
      <c r="FE984" s="6"/>
      <c r="FF984" s="6"/>
      <c r="FG984" s="6"/>
      <c r="FH984" s="6"/>
      <c r="FI984" s="6"/>
      <c r="FJ984" s="6"/>
      <c r="FK984" s="6"/>
      <c r="FL984" s="6"/>
      <c r="FM984" s="6"/>
      <c r="FN984" s="6"/>
      <c r="FO984" s="6"/>
      <c r="FP984" s="6"/>
      <c r="FQ984" s="6"/>
      <c r="FR984" s="6"/>
      <c r="FS984" s="6"/>
      <c r="FT984" s="6"/>
      <c r="FU984" s="6"/>
      <c r="FV984" s="6"/>
      <c r="FW984" s="6"/>
      <c r="FX984" s="6"/>
      <c r="FY984" s="6"/>
      <c r="FZ984" s="6"/>
      <c r="GA984" s="6"/>
      <c r="GB984" s="6"/>
      <c r="GC984" s="6"/>
      <c r="GD984" s="6"/>
      <c r="GE984" s="6"/>
      <c r="GF984" s="6"/>
      <c r="GG984" s="6"/>
      <c r="GH984" s="6"/>
      <c r="GI984" s="6"/>
      <c r="GJ984" s="6"/>
      <c r="GK984" s="6"/>
      <c r="GL984" s="6"/>
      <c r="GM984" s="6"/>
      <c r="GN984" s="6"/>
      <c r="GO984" s="6"/>
      <c r="GP984" s="6"/>
      <c r="GQ984" s="6"/>
      <c r="GR984" s="6"/>
      <c r="GS984" s="6"/>
      <c r="GT984" s="6"/>
      <c r="GU984" s="6"/>
      <c r="GV984" s="6"/>
      <c r="GW984" s="6"/>
      <c r="GX984" s="6"/>
      <c r="GY984" s="6"/>
      <c r="GZ984" s="6"/>
      <c r="HA984" s="6"/>
      <c r="HB984" s="6"/>
      <c r="HC984" s="6"/>
      <c r="HD984" s="6"/>
      <c r="HE984" s="6"/>
      <c r="HF984" s="6"/>
      <c r="HG984" s="6"/>
      <c r="HH984" s="6"/>
      <c r="HI984" s="6"/>
      <c r="HJ984" s="6"/>
      <c r="HK984" s="6"/>
      <c r="HL984" s="6"/>
      <c r="HM984" s="6"/>
      <c r="HN984" s="6"/>
      <c r="HO984" s="6"/>
      <c r="HP984" s="6"/>
      <c r="HQ984" s="6"/>
      <c r="HR984" s="6"/>
      <c r="HS984" s="6"/>
      <c r="HT984" s="6"/>
      <c r="HU984" s="6"/>
      <c r="HV984" s="6"/>
      <c r="HW984" s="6"/>
      <c r="HX984" s="6"/>
      <c r="HY984" s="6"/>
      <c r="HZ984" s="6"/>
      <c r="IA984" s="6"/>
      <c r="IB984" s="6"/>
      <c r="IC984" s="6"/>
      <c r="ID984" s="6"/>
      <c r="IE984" s="6"/>
      <c r="IF984" s="6"/>
      <c r="IG984" s="6"/>
      <c r="IH984" s="6"/>
      <c r="II984" s="6"/>
      <c r="IJ984" s="6"/>
      <c r="IK984" s="6"/>
      <c r="IL984" s="6"/>
      <c r="IM984" s="6"/>
      <c r="IN984" s="6"/>
      <c r="IO984" s="6"/>
      <c r="IP984" s="6"/>
      <c r="IQ984" s="6"/>
      <c r="IR984" s="6"/>
      <c r="IS984" s="6"/>
      <c r="IT984" s="6"/>
      <c r="IU984" s="6"/>
      <c r="IV984" s="6"/>
      <c r="IW984" s="6"/>
      <c r="IX984" s="6"/>
    </row>
    <row r="985" spans="1:258" s="32" customFormat="1" ht="25.15" customHeight="1" x14ac:dyDescent="0.25">
      <c r="A985" s="21" t="s">
        <v>1776</v>
      </c>
      <c r="B985" s="24" t="s">
        <v>767</v>
      </c>
      <c r="C985" s="2">
        <f t="shared" si="247"/>
        <v>4015680</v>
      </c>
      <c r="D985" s="3">
        <f t="shared" si="248"/>
        <v>0</v>
      </c>
      <c r="E985" s="3">
        <v>0</v>
      </c>
      <c r="F985" s="3">
        <v>0</v>
      </c>
      <c r="G985" s="3">
        <v>0</v>
      </c>
      <c r="H985" s="3">
        <v>0</v>
      </c>
      <c r="I985" s="3">
        <v>0</v>
      </c>
      <c r="J985" s="3">
        <v>0</v>
      </c>
      <c r="K985" s="4">
        <v>0</v>
      </c>
      <c r="L985" s="3">
        <v>0</v>
      </c>
      <c r="M985" s="13">
        <v>902.4</v>
      </c>
      <c r="N985" s="3">
        <f>M985*4450</f>
        <v>4015680</v>
      </c>
      <c r="O985" s="3">
        <v>0</v>
      </c>
      <c r="P985" s="3">
        <v>0</v>
      </c>
      <c r="Q985" s="3">
        <v>0</v>
      </c>
      <c r="R985" s="3">
        <f t="shared" si="256"/>
        <v>0</v>
      </c>
      <c r="S985" s="3">
        <v>0</v>
      </c>
      <c r="T985" s="13">
        <v>0</v>
      </c>
      <c r="U985" s="3">
        <v>0</v>
      </c>
      <c r="V985" s="5">
        <f t="shared" si="249"/>
        <v>4450</v>
      </c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  <c r="BO985" s="6"/>
      <c r="BP985" s="6"/>
      <c r="BQ985" s="6"/>
      <c r="BR985" s="6"/>
      <c r="BS985" s="6"/>
      <c r="BT985" s="6"/>
      <c r="BU985" s="6"/>
      <c r="BV985" s="6"/>
      <c r="BW985" s="6"/>
      <c r="BX985" s="6"/>
      <c r="BY985" s="6"/>
      <c r="BZ985" s="6"/>
      <c r="CA985" s="6"/>
      <c r="CB985" s="6"/>
      <c r="CC985" s="6"/>
      <c r="CD985" s="6"/>
      <c r="CE985" s="6"/>
      <c r="CF985" s="6"/>
      <c r="CG985" s="6"/>
      <c r="CH985" s="6"/>
      <c r="CI985" s="6"/>
      <c r="CJ985" s="6"/>
      <c r="CK985" s="6"/>
      <c r="CL985" s="6"/>
      <c r="CM985" s="6"/>
      <c r="CN985" s="6"/>
      <c r="CO985" s="6"/>
      <c r="CP985" s="6"/>
      <c r="CQ985" s="6"/>
      <c r="CR985" s="6"/>
      <c r="CS985" s="6"/>
      <c r="CT985" s="6"/>
      <c r="CU985" s="6"/>
      <c r="CV985" s="6"/>
      <c r="CW985" s="6"/>
      <c r="CX985" s="6"/>
      <c r="CY985" s="6"/>
      <c r="CZ985" s="6"/>
      <c r="DA985" s="6"/>
      <c r="DB985" s="6"/>
      <c r="DC985" s="6"/>
      <c r="DD985" s="6"/>
      <c r="DE985" s="6"/>
      <c r="DF985" s="6"/>
      <c r="DG985" s="6"/>
      <c r="DH985" s="6"/>
      <c r="DI985" s="6"/>
      <c r="DJ985" s="6"/>
      <c r="DK985" s="6"/>
      <c r="DL985" s="6"/>
      <c r="DM985" s="6"/>
      <c r="DN985" s="6"/>
      <c r="DO985" s="6"/>
      <c r="DP985" s="6"/>
      <c r="DQ985" s="6"/>
      <c r="DR985" s="6"/>
      <c r="DS985" s="6"/>
      <c r="DT985" s="6"/>
      <c r="DU985" s="6"/>
      <c r="DV985" s="6"/>
      <c r="DW985" s="6"/>
      <c r="DX985" s="6"/>
      <c r="DY985" s="6"/>
      <c r="DZ985" s="6"/>
      <c r="EA985" s="6"/>
      <c r="EB985" s="6"/>
      <c r="EC985" s="6"/>
      <c r="ED985" s="6"/>
      <c r="EE985" s="6"/>
      <c r="EF985" s="6"/>
      <c r="EG985" s="6"/>
      <c r="EH985" s="6"/>
      <c r="EI985" s="6"/>
      <c r="EJ985" s="6"/>
      <c r="EK985" s="6"/>
      <c r="EL985" s="6"/>
      <c r="EM985" s="6"/>
      <c r="EN985" s="6"/>
      <c r="EO985" s="6"/>
      <c r="EP985" s="6"/>
      <c r="EQ985" s="6"/>
      <c r="ER985" s="6"/>
      <c r="ES985" s="6"/>
      <c r="ET985" s="6"/>
      <c r="EU985" s="6"/>
      <c r="EV985" s="6"/>
      <c r="EW985" s="6"/>
      <c r="EX985" s="6"/>
      <c r="EY985" s="6"/>
      <c r="EZ985" s="6"/>
      <c r="FA985" s="6"/>
      <c r="FB985" s="6"/>
      <c r="FC985" s="6"/>
      <c r="FD985" s="6"/>
      <c r="FE985" s="6"/>
      <c r="FF985" s="6"/>
      <c r="FG985" s="6"/>
      <c r="FH985" s="6"/>
      <c r="FI985" s="6"/>
      <c r="FJ985" s="6"/>
      <c r="FK985" s="6"/>
      <c r="FL985" s="6"/>
      <c r="FM985" s="6"/>
      <c r="FN985" s="6"/>
      <c r="FO985" s="6"/>
      <c r="FP985" s="6"/>
      <c r="FQ985" s="6"/>
      <c r="FR985" s="6"/>
      <c r="FS985" s="6"/>
      <c r="FT985" s="6"/>
      <c r="FU985" s="6"/>
      <c r="FV985" s="6"/>
      <c r="FW985" s="6"/>
      <c r="FX985" s="6"/>
      <c r="FY985" s="6"/>
      <c r="FZ985" s="6"/>
      <c r="GA985" s="6"/>
      <c r="GB985" s="6"/>
      <c r="GC985" s="6"/>
      <c r="GD985" s="6"/>
      <c r="GE985" s="6"/>
      <c r="GF985" s="6"/>
      <c r="GG985" s="6"/>
      <c r="GH985" s="6"/>
      <c r="GI985" s="6"/>
      <c r="GJ985" s="6"/>
      <c r="GK985" s="6"/>
      <c r="GL985" s="6"/>
      <c r="GM985" s="6"/>
      <c r="GN985" s="6"/>
      <c r="GO985" s="6"/>
      <c r="GP985" s="6"/>
      <c r="GQ985" s="6"/>
      <c r="GR985" s="6"/>
      <c r="GS985" s="6"/>
      <c r="GT985" s="6"/>
      <c r="GU985" s="6"/>
      <c r="GV985" s="6"/>
      <c r="GW985" s="6"/>
      <c r="GX985" s="6"/>
      <c r="GY985" s="6"/>
      <c r="GZ985" s="6"/>
      <c r="HA985" s="6"/>
      <c r="HB985" s="6"/>
      <c r="HC985" s="6"/>
      <c r="HD985" s="6"/>
      <c r="HE985" s="6"/>
      <c r="HF985" s="6"/>
      <c r="HG985" s="6"/>
      <c r="HH985" s="6"/>
      <c r="HI985" s="6"/>
      <c r="HJ985" s="6"/>
      <c r="HK985" s="6"/>
      <c r="HL985" s="6"/>
      <c r="HM985" s="6"/>
      <c r="HN985" s="6"/>
      <c r="HO985" s="6"/>
      <c r="HP985" s="6"/>
      <c r="HQ985" s="6"/>
      <c r="HR985" s="6"/>
      <c r="HS985" s="6"/>
      <c r="HT985" s="6"/>
      <c r="HU985" s="6"/>
      <c r="HV985" s="6"/>
      <c r="HW985" s="6"/>
      <c r="HX985" s="6"/>
      <c r="HY985" s="6"/>
      <c r="HZ985" s="6"/>
      <c r="IA985" s="6"/>
      <c r="IB985" s="6"/>
      <c r="IC985" s="6"/>
      <c r="ID985" s="6"/>
      <c r="IE985" s="6"/>
      <c r="IF985" s="6"/>
      <c r="IG985" s="6"/>
      <c r="IH985" s="6"/>
      <c r="II985" s="6"/>
      <c r="IJ985" s="6"/>
      <c r="IK985" s="6"/>
      <c r="IL985" s="6"/>
      <c r="IM985" s="6"/>
      <c r="IN985" s="6"/>
      <c r="IO985" s="6"/>
      <c r="IP985" s="6"/>
      <c r="IQ985" s="6"/>
      <c r="IR985" s="6"/>
      <c r="IS985" s="6"/>
      <c r="IT985" s="6"/>
      <c r="IU985" s="6"/>
      <c r="IV985" s="6"/>
      <c r="IW985" s="6"/>
      <c r="IX985" s="6"/>
    </row>
    <row r="986" spans="1:258" ht="25.15" customHeight="1" x14ac:dyDescent="0.25">
      <c r="A986" s="21" t="s">
        <v>1777</v>
      </c>
      <c r="B986" s="27" t="s">
        <v>460</v>
      </c>
      <c r="C986" s="2">
        <f t="shared" si="247"/>
        <v>7906800</v>
      </c>
      <c r="D986" s="3">
        <f t="shared" si="248"/>
        <v>0</v>
      </c>
      <c r="E986" s="3">
        <v>0</v>
      </c>
      <c r="F986" s="3">
        <v>0</v>
      </c>
      <c r="G986" s="3">
        <v>0</v>
      </c>
      <c r="H986" s="3">
        <v>0</v>
      </c>
      <c r="I986" s="3">
        <v>0</v>
      </c>
      <c r="J986" s="3">
        <v>0</v>
      </c>
      <c r="K986" s="4">
        <v>0</v>
      </c>
      <c r="L986" s="3">
        <v>0</v>
      </c>
      <c r="M986" s="3">
        <v>1198</v>
      </c>
      <c r="N986" s="3">
        <f t="shared" ref="N986:N991" si="257">M986*6600</f>
        <v>7906800</v>
      </c>
      <c r="O986" s="3">
        <v>0</v>
      </c>
      <c r="P986" s="3">
        <v>0</v>
      </c>
      <c r="Q986" s="3">
        <v>0</v>
      </c>
      <c r="R986" s="3">
        <f t="shared" si="256"/>
        <v>0</v>
      </c>
      <c r="S986" s="3">
        <v>0</v>
      </c>
      <c r="T986" s="3">
        <v>0</v>
      </c>
      <c r="U986" s="3">
        <v>0</v>
      </c>
      <c r="V986" s="5">
        <f t="shared" si="249"/>
        <v>6600</v>
      </c>
    </row>
    <row r="987" spans="1:258" ht="25.15" customHeight="1" x14ac:dyDescent="0.25">
      <c r="A987" s="21" t="s">
        <v>1778</v>
      </c>
      <c r="B987" s="27" t="s">
        <v>768</v>
      </c>
      <c r="C987" s="2">
        <f t="shared" si="247"/>
        <v>3841860</v>
      </c>
      <c r="D987" s="3">
        <f t="shared" si="248"/>
        <v>0</v>
      </c>
      <c r="E987" s="3">
        <v>0</v>
      </c>
      <c r="F987" s="3">
        <v>0</v>
      </c>
      <c r="G987" s="3">
        <v>0</v>
      </c>
      <c r="H987" s="3">
        <v>0</v>
      </c>
      <c r="I987" s="3">
        <v>0</v>
      </c>
      <c r="J987" s="3">
        <v>0</v>
      </c>
      <c r="K987" s="4">
        <v>0</v>
      </c>
      <c r="L987" s="3">
        <v>0</v>
      </c>
      <c r="M987" s="13">
        <v>582.1</v>
      </c>
      <c r="N987" s="3">
        <f t="shared" si="257"/>
        <v>3841860</v>
      </c>
      <c r="O987" s="3">
        <v>0</v>
      </c>
      <c r="P987" s="3">
        <v>0</v>
      </c>
      <c r="Q987" s="3">
        <v>0</v>
      </c>
      <c r="R987" s="3">
        <f t="shared" si="256"/>
        <v>0</v>
      </c>
      <c r="S987" s="3">
        <v>0</v>
      </c>
      <c r="T987" s="13">
        <v>0</v>
      </c>
      <c r="U987" s="3">
        <v>0</v>
      </c>
      <c r="V987" s="5">
        <f t="shared" si="249"/>
        <v>6600</v>
      </c>
    </row>
    <row r="988" spans="1:258" ht="25.15" customHeight="1" x14ac:dyDescent="0.25">
      <c r="A988" s="21" t="s">
        <v>1779</v>
      </c>
      <c r="B988" s="27" t="s">
        <v>769</v>
      </c>
      <c r="C988" s="2">
        <f t="shared" ref="C988:C1051" si="258">D988+L988+N988+P988+R988+S988+T988+U988</f>
        <v>3882120.0000000005</v>
      </c>
      <c r="D988" s="3">
        <f t="shared" ref="D988:D1051" si="259">SUM(E988:J988)</f>
        <v>0</v>
      </c>
      <c r="E988" s="3">
        <v>0</v>
      </c>
      <c r="F988" s="3">
        <v>0</v>
      </c>
      <c r="G988" s="3">
        <v>0</v>
      </c>
      <c r="H988" s="3">
        <v>0</v>
      </c>
      <c r="I988" s="3">
        <v>0</v>
      </c>
      <c r="J988" s="3">
        <v>0</v>
      </c>
      <c r="K988" s="4">
        <v>0</v>
      </c>
      <c r="L988" s="3">
        <v>0</v>
      </c>
      <c r="M988" s="13">
        <v>588.20000000000005</v>
      </c>
      <c r="N988" s="3">
        <f t="shared" si="257"/>
        <v>3882120.0000000005</v>
      </c>
      <c r="O988" s="3">
        <v>0</v>
      </c>
      <c r="P988" s="3">
        <v>0</v>
      </c>
      <c r="Q988" s="3">
        <v>0</v>
      </c>
      <c r="R988" s="3">
        <f t="shared" si="256"/>
        <v>0</v>
      </c>
      <c r="S988" s="3">
        <v>0</v>
      </c>
      <c r="T988" s="13">
        <v>0</v>
      </c>
      <c r="U988" s="3">
        <v>0</v>
      </c>
      <c r="V988" s="5">
        <f t="shared" ref="V988:V1051" si="260">N988/M988</f>
        <v>6600</v>
      </c>
    </row>
    <row r="989" spans="1:258" ht="25.15" customHeight="1" x14ac:dyDescent="0.25">
      <c r="A989" s="21" t="s">
        <v>1780</v>
      </c>
      <c r="B989" s="27" t="s">
        <v>770</v>
      </c>
      <c r="C989" s="2">
        <f t="shared" si="258"/>
        <v>3890700</v>
      </c>
      <c r="D989" s="3">
        <f t="shared" si="259"/>
        <v>0</v>
      </c>
      <c r="E989" s="3">
        <v>0</v>
      </c>
      <c r="F989" s="3">
        <v>0</v>
      </c>
      <c r="G989" s="3">
        <v>0</v>
      </c>
      <c r="H989" s="3">
        <v>0</v>
      </c>
      <c r="I989" s="3">
        <v>0</v>
      </c>
      <c r="J989" s="3">
        <v>0</v>
      </c>
      <c r="K989" s="4">
        <v>0</v>
      </c>
      <c r="L989" s="3">
        <v>0</v>
      </c>
      <c r="M989" s="13">
        <v>589.5</v>
      </c>
      <c r="N989" s="3">
        <f t="shared" si="257"/>
        <v>3890700</v>
      </c>
      <c r="O989" s="3">
        <v>0</v>
      </c>
      <c r="P989" s="3">
        <v>0</v>
      </c>
      <c r="Q989" s="3">
        <v>0</v>
      </c>
      <c r="R989" s="3">
        <f t="shared" si="256"/>
        <v>0</v>
      </c>
      <c r="S989" s="3">
        <v>0</v>
      </c>
      <c r="T989" s="13">
        <v>0</v>
      </c>
      <c r="U989" s="3">
        <v>0</v>
      </c>
      <c r="V989" s="5">
        <f t="shared" si="260"/>
        <v>6600</v>
      </c>
    </row>
    <row r="990" spans="1:258" s="44" customFormat="1" ht="25.15" customHeight="1" x14ac:dyDescent="0.25">
      <c r="A990" s="21" t="s">
        <v>1781</v>
      </c>
      <c r="B990" s="24" t="s">
        <v>697</v>
      </c>
      <c r="C990" s="2">
        <f t="shared" si="258"/>
        <v>3433979.9999999995</v>
      </c>
      <c r="D990" s="3">
        <f t="shared" si="259"/>
        <v>0</v>
      </c>
      <c r="E990" s="3">
        <v>0</v>
      </c>
      <c r="F990" s="3">
        <v>0</v>
      </c>
      <c r="G990" s="3">
        <v>0</v>
      </c>
      <c r="H990" s="3">
        <v>0</v>
      </c>
      <c r="I990" s="3">
        <v>0</v>
      </c>
      <c r="J990" s="3">
        <v>0</v>
      </c>
      <c r="K990" s="4">
        <v>0</v>
      </c>
      <c r="L990" s="3">
        <v>0</v>
      </c>
      <c r="M990" s="13">
        <v>520.29999999999995</v>
      </c>
      <c r="N990" s="3">
        <f t="shared" si="257"/>
        <v>3433979.9999999995</v>
      </c>
      <c r="O990" s="3">
        <v>0</v>
      </c>
      <c r="P990" s="3">
        <v>0</v>
      </c>
      <c r="Q990" s="3">
        <v>0</v>
      </c>
      <c r="R990" s="3">
        <f t="shared" si="256"/>
        <v>0</v>
      </c>
      <c r="S990" s="3">
        <v>0</v>
      </c>
      <c r="T990" s="13">
        <v>0</v>
      </c>
      <c r="U990" s="3">
        <v>0</v>
      </c>
      <c r="V990" s="5">
        <f t="shared" si="260"/>
        <v>6600</v>
      </c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  <c r="BO990" s="6"/>
      <c r="BP990" s="6"/>
      <c r="BQ990" s="6"/>
      <c r="BR990" s="6"/>
      <c r="BS990" s="6"/>
      <c r="BT990" s="6"/>
      <c r="BU990" s="6"/>
      <c r="BV990" s="6"/>
      <c r="BW990" s="6"/>
      <c r="BX990" s="6"/>
      <c r="BY990" s="6"/>
      <c r="BZ990" s="6"/>
      <c r="CA990" s="6"/>
      <c r="CB990" s="6"/>
      <c r="CC990" s="6"/>
      <c r="CD990" s="6"/>
      <c r="CE990" s="6"/>
      <c r="CF990" s="6"/>
      <c r="CG990" s="6"/>
      <c r="CH990" s="6"/>
      <c r="CI990" s="6"/>
      <c r="CJ990" s="6"/>
      <c r="CK990" s="6"/>
      <c r="CL990" s="6"/>
      <c r="CM990" s="6"/>
      <c r="CN990" s="6"/>
      <c r="CO990" s="6"/>
      <c r="CP990" s="6"/>
      <c r="CQ990" s="6"/>
      <c r="CR990" s="6"/>
      <c r="CS990" s="6"/>
      <c r="CT990" s="6"/>
      <c r="CU990" s="6"/>
      <c r="CV990" s="6"/>
      <c r="CW990" s="6"/>
      <c r="CX990" s="6"/>
      <c r="CY990" s="6"/>
      <c r="CZ990" s="6"/>
      <c r="DA990" s="6"/>
      <c r="DB990" s="6"/>
      <c r="DC990" s="6"/>
      <c r="DD990" s="6"/>
      <c r="DE990" s="6"/>
      <c r="DF990" s="6"/>
      <c r="DG990" s="6"/>
      <c r="DH990" s="6"/>
      <c r="DI990" s="6"/>
      <c r="DJ990" s="6"/>
      <c r="DK990" s="6"/>
      <c r="DL990" s="6"/>
      <c r="DM990" s="6"/>
      <c r="DN990" s="6"/>
      <c r="DO990" s="6"/>
      <c r="DP990" s="6"/>
      <c r="DQ990" s="6"/>
      <c r="DR990" s="6"/>
      <c r="DS990" s="6"/>
      <c r="DT990" s="6"/>
      <c r="DU990" s="6"/>
      <c r="DV990" s="6"/>
      <c r="DW990" s="6"/>
      <c r="DX990" s="6"/>
      <c r="DY990" s="6"/>
      <c r="DZ990" s="6"/>
      <c r="EA990" s="6"/>
      <c r="EB990" s="6"/>
      <c r="EC990" s="6"/>
      <c r="ED990" s="6"/>
      <c r="EE990" s="6"/>
      <c r="EF990" s="6"/>
      <c r="EG990" s="6"/>
      <c r="EH990" s="6"/>
      <c r="EI990" s="6"/>
      <c r="EJ990" s="6"/>
      <c r="EK990" s="6"/>
      <c r="EL990" s="6"/>
      <c r="EM990" s="6"/>
      <c r="EN990" s="6"/>
      <c r="EO990" s="6"/>
      <c r="EP990" s="6"/>
      <c r="EQ990" s="6"/>
      <c r="ER990" s="6"/>
      <c r="ES990" s="6"/>
      <c r="ET990" s="6"/>
      <c r="EU990" s="6"/>
      <c r="EV990" s="6"/>
      <c r="EW990" s="6"/>
      <c r="EX990" s="6"/>
      <c r="EY990" s="6"/>
      <c r="EZ990" s="6"/>
      <c r="FA990" s="6"/>
      <c r="FB990" s="6"/>
      <c r="FC990" s="6"/>
      <c r="FD990" s="6"/>
      <c r="FE990" s="6"/>
      <c r="FF990" s="6"/>
      <c r="FG990" s="6"/>
      <c r="FH990" s="6"/>
      <c r="FI990" s="6"/>
      <c r="FJ990" s="6"/>
      <c r="FK990" s="6"/>
      <c r="FL990" s="6"/>
      <c r="FM990" s="6"/>
      <c r="FN990" s="6"/>
      <c r="FO990" s="6"/>
      <c r="FP990" s="6"/>
      <c r="FQ990" s="6"/>
      <c r="FR990" s="6"/>
      <c r="FS990" s="6"/>
      <c r="FT990" s="6"/>
      <c r="FU990" s="6"/>
      <c r="FV990" s="6"/>
      <c r="FW990" s="6"/>
      <c r="FX990" s="6"/>
      <c r="FY990" s="6"/>
      <c r="FZ990" s="6"/>
      <c r="GA990" s="6"/>
      <c r="GB990" s="6"/>
      <c r="GC990" s="6"/>
      <c r="GD990" s="6"/>
      <c r="GE990" s="6"/>
      <c r="GF990" s="6"/>
      <c r="GG990" s="6"/>
      <c r="GH990" s="6"/>
      <c r="GI990" s="6"/>
      <c r="GJ990" s="6"/>
      <c r="GK990" s="6"/>
      <c r="GL990" s="6"/>
      <c r="GM990" s="6"/>
      <c r="GN990" s="6"/>
      <c r="GO990" s="6"/>
      <c r="GP990" s="6"/>
      <c r="GQ990" s="6"/>
      <c r="GR990" s="6"/>
      <c r="GS990" s="6"/>
      <c r="GT990" s="6"/>
      <c r="GU990" s="6"/>
      <c r="GV990" s="6"/>
      <c r="GW990" s="6"/>
      <c r="GX990" s="6"/>
      <c r="GY990" s="6"/>
      <c r="GZ990" s="6"/>
      <c r="HA990" s="6"/>
      <c r="HB990" s="6"/>
      <c r="HC990" s="6"/>
      <c r="HD990" s="6"/>
      <c r="HE990" s="6"/>
      <c r="HF990" s="6"/>
      <c r="HG990" s="6"/>
      <c r="HH990" s="6"/>
      <c r="HI990" s="6"/>
      <c r="HJ990" s="6"/>
      <c r="HK990" s="6"/>
      <c r="HL990" s="6"/>
      <c r="HM990" s="6"/>
      <c r="HN990" s="6"/>
      <c r="HO990" s="6"/>
      <c r="HP990" s="6"/>
      <c r="HQ990" s="6"/>
      <c r="HR990" s="6"/>
      <c r="HS990" s="6"/>
      <c r="HT990" s="6"/>
      <c r="HU990" s="6"/>
      <c r="HV990" s="6"/>
      <c r="HW990" s="6"/>
      <c r="HX990" s="6"/>
      <c r="HY990" s="6"/>
      <c r="HZ990" s="6"/>
      <c r="IA990" s="6"/>
      <c r="IB990" s="6"/>
      <c r="IC990" s="6"/>
      <c r="ID990" s="6"/>
      <c r="IE990" s="6"/>
      <c r="IF990" s="6"/>
      <c r="IG990" s="6"/>
      <c r="IH990" s="6"/>
      <c r="II990" s="6"/>
      <c r="IJ990" s="6"/>
      <c r="IK990" s="6"/>
      <c r="IL990" s="6"/>
      <c r="IM990" s="6"/>
      <c r="IN990" s="6"/>
      <c r="IO990" s="6"/>
      <c r="IP990" s="6"/>
      <c r="IQ990" s="6"/>
      <c r="IR990" s="6"/>
      <c r="IS990" s="6"/>
      <c r="IT990" s="6"/>
      <c r="IU990" s="6"/>
      <c r="IV990" s="6"/>
      <c r="IW990" s="6"/>
      <c r="IX990" s="6"/>
    </row>
    <row r="991" spans="1:258" ht="25.15" customHeight="1" x14ac:dyDescent="0.25">
      <c r="A991" s="21" t="s">
        <v>1782</v>
      </c>
      <c r="B991" s="24" t="s">
        <v>485</v>
      </c>
      <c r="C991" s="2">
        <f t="shared" si="258"/>
        <v>5353320</v>
      </c>
      <c r="D991" s="3">
        <f t="shared" si="259"/>
        <v>0</v>
      </c>
      <c r="E991" s="3">
        <v>0</v>
      </c>
      <c r="F991" s="3">
        <v>0</v>
      </c>
      <c r="G991" s="3">
        <v>0</v>
      </c>
      <c r="H991" s="3">
        <v>0</v>
      </c>
      <c r="I991" s="3">
        <v>0</v>
      </c>
      <c r="J991" s="3">
        <v>0</v>
      </c>
      <c r="K991" s="4">
        <v>0</v>
      </c>
      <c r="L991" s="3">
        <v>0</v>
      </c>
      <c r="M991" s="3">
        <v>472.2</v>
      </c>
      <c r="N991" s="3">
        <f t="shared" si="257"/>
        <v>3116520</v>
      </c>
      <c r="O991" s="3">
        <v>0</v>
      </c>
      <c r="P991" s="3">
        <v>0</v>
      </c>
      <c r="Q991" s="3">
        <v>699</v>
      </c>
      <c r="R991" s="3">
        <f t="shared" si="256"/>
        <v>2236800</v>
      </c>
      <c r="S991" s="3">
        <v>0</v>
      </c>
      <c r="T991" s="3">
        <v>0</v>
      </c>
      <c r="U991" s="3">
        <v>0</v>
      </c>
      <c r="V991" s="5">
        <f t="shared" si="260"/>
        <v>6600</v>
      </c>
    </row>
    <row r="992" spans="1:258" ht="24.6" customHeight="1" x14ac:dyDescent="0.25">
      <c r="A992" s="21" t="s">
        <v>1783</v>
      </c>
      <c r="B992" s="24" t="s">
        <v>486</v>
      </c>
      <c r="C992" s="2">
        <f t="shared" si="258"/>
        <v>1733088</v>
      </c>
      <c r="D992" s="3">
        <f t="shared" si="259"/>
        <v>0</v>
      </c>
      <c r="E992" s="3">
        <v>0</v>
      </c>
      <c r="F992" s="3">
        <v>0</v>
      </c>
      <c r="G992" s="3">
        <v>0</v>
      </c>
      <c r="H992" s="3">
        <v>0</v>
      </c>
      <c r="I992" s="3">
        <v>0</v>
      </c>
      <c r="J992" s="3">
        <v>0</v>
      </c>
      <c r="K992" s="4">
        <v>0</v>
      </c>
      <c r="L992" s="3">
        <v>0</v>
      </c>
      <c r="M992" s="3">
        <v>0</v>
      </c>
      <c r="N992" s="3">
        <v>0</v>
      </c>
      <c r="O992" s="3">
        <v>0</v>
      </c>
      <c r="P992" s="3">
        <v>0</v>
      </c>
      <c r="Q992" s="3">
        <v>541.59</v>
      </c>
      <c r="R992" s="3">
        <f t="shared" si="256"/>
        <v>1733088</v>
      </c>
      <c r="S992" s="3">
        <v>0</v>
      </c>
      <c r="T992" s="3">
        <v>0</v>
      </c>
      <c r="U992" s="3">
        <v>0</v>
      </c>
      <c r="V992" s="5" t="e">
        <f t="shared" si="260"/>
        <v>#DIV/0!</v>
      </c>
    </row>
    <row r="993" spans="1:258" ht="25.15" customHeight="1" x14ac:dyDescent="0.25">
      <c r="A993" s="21" t="s">
        <v>1784</v>
      </c>
      <c r="B993" s="28" t="s">
        <v>859</v>
      </c>
      <c r="C993" s="2">
        <f t="shared" si="258"/>
        <v>231420</v>
      </c>
      <c r="D993" s="3">
        <f t="shared" si="259"/>
        <v>0</v>
      </c>
      <c r="E993" s="3">
        <v>0</v>
      </c>
      <c r="F993" s="3">
        <v>0</v>
      </c>
      <c r="G993" s="3">
        <v>0</v>
      </c>
      <c r="H993" s="3">
        <v>0</v>
      </c>
      <c r="I993" s="3">
        <v>0</v>
      </c>
      <c r="J993" s="3">
        <v>0</v>
      </c>
      <c r="K993" s="4">
        <v>0</v>
      </c>
      <c r="L993" s="3">
        <v>0</v>
      </c>
      <c r="M993" s="3">
        <v>0</v>
      </c>
      <c r="N993" s="3">
        <v>0</v>
      </c>
      <c r="O993" s="3">
        <v>110.2</v>
      </c>
      <c r="P993" s="3">
        <v>231420</v>
      </c>
      <c r="Q993" s="3">
        <v>0</v>
      </c>
      <c r="R993" s="3">
        <v>0</v>
      </c>
      <c r="S993" s="3">
        <v>0</v>
      </c>
      <c r="T993" s="3">
        <v>0</v>
      </c>
      <c r="U993" s="3">
        <v>0</v>
      </c>
      <c r="V993" s="5" t="e">
        <f t="shared" si="260"/>
        <v>#DIV/0!</v>
      </c>
    </row>
    <row r="994" spans="1:258" s="44" customFormat="1" ht="25.15" customHeight="1" x14ac:dyDescent="0.25">
      <c r="A994" s="21" t="s">
        <v>1785</v>
      </c>
      <c r="B994" s="24" t="s">
        <v>698</v>
      </c>
      <c r="C994" s="2">
        <f t="shared" si="258"/>
        <v>3382500</v>
      </c>
      <c r="D994" s="3">
        <f t="shared" si="259"/>
        <v>0</v>
      </c>
      <c r="E994" s="3">
        <v>0</v>
      </c>
      <c r="F994" s="3">
        <v>0</v>
      </c>
      <c r="G994" s="3">
        <v>0</v>
      </c>
      <c r="H994" s="3">
        <v>0</v>
      </c>
      <c r="I994" s="3">
        <v>0</v>
      </c>
      <c r="J994" s="3">
        <v>0</v>
      </c>
      <c r="K994" s="4">
        <v>0</v>
      </c>
      <c r="L994" s="3">
        <v>0</v>
      </c>
      <c r="M994" s="3">
        <v>512.5</v>
      </c>
      <c r="N994" s="3">
        <f>M994*6600</f>
        <v>3382500</v>
      </c>
      <c r="O994" s="3">
        <v>0</v>
      </c>
      <c r="P994" s="3">
        <v>0</v>
      </c>
      <c r="Q994" s="3">
        <v>0</v>
      </c>
      <c r="R994" s="3">
        <f>Q994*3200</f>
        <v>0</v>
      </c>
      <c r="S994" s="3">
        <v>0</v>
      </c>
      <c r="T994" s="13">
        <v>0</v>
      </c>
      <c r="U994" s="3">
        <v>0</v>
      </c>
      <c r="V994" s="5">
        <f t="shared" si="260"/>
        <v>6600</v>
      </c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  <c r="BO994" s="6"/>
      <c r="BP994" s="6"/>
      <c r="BQ994" s="6"/>
      <c r="BR994" s="6"/>
      <c r="BS994" s="6"/>
      <c r="BT994" s="6"/>
      <c r="BU994" s="6"/>
      <c r="BV994" s="6"/>
      <c r="BW994" s="6"/>
      <c r="BX994" s="6"/>
      <c r="BY994" s="6"/>
      <c r="BZ994" s="6"/>
      <c r="CA994" s="6"/>
      <c r="CB994" s="6"/>
      <c r="CC994" s="6"/>
      <c r="CD994" s="6"/>
      <c r="CE994" s="6"/>
      <c r="CF994" s="6"/>
      <c r="CG994" s="6"/>
      <c r="CH994" s="6"/>
      <c r="CI994" s="6"/>
      <c r="CJ994" s="6"/>
      <c r="CK994" s="6"/>
      <c r="CL994" s="6"/>
      <c r="CM994" s="6"/>
      <c r="CN994" s="6"/>
      <c r="CO994" s="6"/>
      <c r="CP994" s="6"/>
      <c r="CQ994" s="6"/>
      <c r="CR994" s="6"/>
      <c r="CS994" s="6"/>
      <c r="CT994" s="6"/>
      <c r="CU994" s="6"/>
      <c r="CV994" s="6"/>
      <c r="CW994" s="6"/>
      <c r="CX994" s="6"/>
      <c r="CY994" s="6"/>
      <c r="CZ994" s="6"/>
      <c r="DA994" s="6"/>
      <c r="DB994" s="6"/>
      <c r="DC994" s="6"/>
      <c r="DD994" s="6"/>
      <c r="DE994" s="6"/>
      <c r="DF994" s="6"/>
      <c r="DG994" s="6"/>
      <c r="DH994" s="6"/>
      <c r="DI994" s="6"/>
      <c r="DJ994" s="6"/>
      <c r="DK994" s="6"/>
      <c r="DL994" s="6"/>
      <c r="DM994" s="6"/>
      <c r="DN994" s="6"/>
      <c r="DO994" s="6"/>
      <c r="DP994" s="6"/>
      <c r="DQ994" s="6"/>
      <c r="DR994" s="6"/>
      <c r="DS994" s="6"/>
      <c r="DT994" s="6"/>
      <c r="DU994" s="6"/>
      <c r="DV994" s="6"/>
      <c r="DW994" s="6"/>
      <c r="DX994" s="6"/>
      <c r="DY994" s="6"/>
      <c r="DZ994" s="6"/>
      <c r="EA994" s="6"/>
      <c r="EB994" s="6"/>
      <c r="EC994" s="6"/>
      <c r="ED994" s="6"/>
      <c r="EE994" s="6"/>
      <c r="EF994" s="6"/>
      <c r="EG994" s="6"/>
      <c r="EH994" s="6"/>
      <c r="EI994" s="6"/>
      <c r="EJ994" s="6"/>
      <c r="EK994" s="6"/>
      <c r="EL994" s="6"/>
      <c r="EM994" s="6"/>
      <c r="EN994" s="6"/>
      <c r="EO994" s="6"/>
      <c r="EP994" s="6"/>
      <c r="EQ994" s="6"/>
      <c r="ER994" s="6"/>
      <c r="ES994" s="6"/>
      <c r="ET994" s="6"/>
      <c r="EU994" s="6"/>
      <c r="EV994" s="6"/>
      <c r="EW994" s="6"/>
      <c r="EX994" s="6"/>
      <c r="EY994" s="6"/>
      <c r="EZ994" s="6"/>
      <c r="FA994" s="6"/>
      <c r="FB994" s="6"/>
      <c r="FC994" s="6"/>
      <c r="FD994" s="6"/>
      <c r="FE994" s="6"/>
      <c r="FF994" s="6"/>
      <c r="FG994" s="6"/>
      <c r="FH994" s="6"/>
      <c r="FI994" s="6"/>
      <c r="FJ994" s="6"/>
      <c r="FK994" s="6"/>
      <c r="FL994" s="6"/>
      <c r="FM994" s="6"/>
      <c r="FN994" s="6"/>
      <c r="FO994" s="6"/>
      <c r="FP994" s="6"/>
      <c r="FQ994" s="6"/>
      <c r="FR994" s="6"/>
      <c r="FS994" s="6"/>
      <c r="FT994" s="6"/>
      <c r="FU994" s="6"/>
      <c r="FV994" s="6"/>
      <c r="FW994" s="6"/>
      <c r="FX994" s="6"/>
      <c r="FY994" s="6"/>
      <c r="FZ994" s="6"/>
      <c r="GA994" s="6"/>
      <c r="GB994" s="6"/>
      <c r="GC994" s="6"/>
      <c r="GD994" s="6"/>
      <c r="GE994" s="6"/>
      <c r="GF994" s="6"/>
      <c r="GG994" s="6"/>
      <c r="GH994" s="6"/>
      <c r="GI994" s="6"/>
      <c r="GJ994" s="6"/>
      <c r="GK994" s="6"/>
      <c r="GL994" s="6"/>
      <c r="GM994" s="6"/>
      <c r="GN994" s="6"/>
      <c r="GO994" s="6"/>
      <c r="GP994" s="6"/>
      <c r="GQ994" s="6"/>
      <c r="GR994" s="6"/>
      <c r="GS994" s="6"/>
      <c r="GT994" s="6"/>
      <c r="GU994" s="6"/>
      <c r="GV994" s="6"/>
      <c r="GW994" s="6"/>
      <c r="GX994" s="6"/>
      <c r="GY994" s="6"/>
      <c r="GZ994" s="6"/>
      <c r="HA994" s="6"/>
      <c r="HB994" s="6"/>
      <c r="HC994" s="6"/>
      <c r="HD994" s="6"/>
      <c r="HE994" s="6"/>
      <c r="HF994" s="6"/>
      <c r="HG994" s="6"/>
      <c r="HH994" s="6"/>
      <c r="HI994" s="6"/>
      <c r="HJ994" s="6"/>
      <c r="HK994" s="6"/>
      <c r="HL994" s="6"/>
      <c r="HM994" s="6"/>
      <c r="HN994" s="6"/>
      <c r="HO994" s="6"/>
      <c r="HP994" s="6"/>
      <c r="HQ994" s="6"/>
      <c r="HR994" s="6"/>
      <c r="HS994" s="6"/>
      <c r="HT994" s="6"/>
      <c r="HU994" s="6"/>
      <c r="HV994" s="6"/>
      <c r="HW994" s="6"/>
      <c r="HX994" s="6"/>
      <c r="HY994" s="6"/>
      <c r="HZ994" s="6"/>
      <c r="IA994" s="6"/>
      <c r="IB994" s="6"/>
      <c r="IC994" s="6"/>
      <c r="ID994" s="6"/>
      <c r="IE994" s="6"/>
      <c r="IF994" s="6"/>
      <c r="IG994" s="6"/>
      <c r="IH994" s="6"/>
      <c r="II994" s="6"/>
      <c r="IJ994" s="6"/>
      <c r="IK994" s="6"/>
      <c r="IL994" s="6"/>
      <c r="IM994" s="6"/>
      <c r="IN994" s="6"/>
      <c r="IO994" s="6"/>
      <c r="IP994" s="6"/>
      <c r="IQ994" s="6"/>
      <c r="IR994" s="6"/>
      <c r="IS994" s="6"/>
      <c r="IT994" s="6"/>
      <c r="IU994" s="6"/>
      <c r="IV994" s="6"/>
      <c r="IW994" s="6"/>
      <c r="IX994" s="6"/>
    </row>
    <row r="995" spans="1:258" ht="25.15" customHeight="1" x14ac:dyDescent="0.25">
      <c r="A995" s="21" t="s">
        <v>1786</v>
      </c>
      <c r="B995" s="24" t="s">
        <v>377</v>
      </c>
      <c r="C995" s="2">
        <f t="shared" si="258"/>
        <v>5148400</v>
      </c>
      <c r="D995" s="3">
        <f t="shared" si="259"/>
        <v>4298400</v>
      </c>
      <c r="E995" s="3">
        <f>700*1432.8</f>
        <v>1002960</v>
      </c>
      <c r="F995" s="3">
        <f>1300*1432.8</f>
        <v>1862640</v>
      </c>
      <c r="G995" s="3">
        <f>300*1432.8</f>
        <v>429840</v>
      </c>
      <c r="H995" s="3">
        <f>400*1432.8</f>
        <v>573120</v>
      </c>
      <c r="I995" s="3">
        <f>300*1432.8</f>
        <v>429840</v>
      </c>
      <c r="J995" s="3">
        <f>800*0</f>
        <v>0</v>
      </c>
      <c r="K995" s="4">
        <v>0</v>
      </c>
      <c r="L995" s="3">
        <v>0</v>
      </c>
      <c r="M995" s="3">
        <v>0</v>
      </c>
      <c r="N995" s="3">
        <v>0</v>
      </c>
      <c r="O995" s="3">
        <v>0</v>
      </c>
      <c r="P995" s="3">
        <v>0</v>
      </c>
      <c r="Q995" s="3">
        <v>0</v>
      </c>
      <c r="R995" s="3">
        <v>0</v>
      </c>
      <c r="S995" s="3">
        <v>0</v>
      </c>
      <c r="T995" s="3">
        <v>0</v>
      </c>
      <c r="U995" s="3">
        <v>850000</v>
      </c>
      <c r="V995" s="5" t="e">
        <f t="shared" si="260"/>
        <v>#DIV/0!</v>
      </c>
    </row>
    <row r="996" spans="1:258" ht="25.15" customHeight="1" x14ac:dyDescent="0.25">
      <c r="A996" s="21" t="s">
        <v>1787</v>
      </c>
      <c r="B996" s="24" t="s">
        <v>699</v>
      </c>
      <c r="C996" s="2">
        <f t="shared" si="258"/>
        <v>1980000</v>
      </c>
      <c r="D996" s="3">
        <f t="shared" si="259"/>
        <v>0</v>
      </c>
      <c r="E996" s="3">
        <v>0</v>
      </c>
      <c r="F996" s="3">
        <v>0</v>
      </c>
      <c r="G996" s="3">
        <v>0</v>
      </c>
      <c r="H996" s="3">
        <v>0</v>
      </c>
      <c r="I996" s="3">
        <v>0</v>
      </c>
      <c r="J996" s="3">
        <v>0</v>
      </c>
      <c r="K996" s="4">
        <v>0</v>
      </c>
      <c r="L996" s="3">
        <v>0</v>
      </c>
      <c r="M996" s="3">
        <v>300</v>
      </c>
      <c r="N996" s="3">
        <f>M996*6600</f>
        <v>1980000</v>
      </c>
      <c r="O996" s="3">
        <v>0</v>
      </c>
      <c r="P996" s="3">
        <v>0</v>
      </c>
      <c r="Q996" s="3">
        <v>0</v>
      </c>
      <c r="R996" s="3">
        <f t="shared" ref="R996:R1002" si="261">Q996*3200</f>
        <v>0</v>
      </c>
      <c r="S996" s="3">
        <v>0</v>
      </c>
      <c r="T996" s="13">
        <v>0</v>
      </c>
      <c r="U996" s="3">
        <v>0</v>
      </c>
      <c r="V996" s="5">
        <f t="shared" si="260"/>
        <v>6600</v>
      </c>
    </row>
    <row r="997" spans="1:258" ht="25.15" customHeight="1" x14ac:dyDescent="0.25">
      <c r="A997" s="21" t="s">
        <v>1788</v>
      </c>
      <c r="B997" s="24" t="s">
        <v>700</v>
      </c>
      <c r="C997" s="2">
        <f t="shared" si="258"/>
        <v>1980000</v>
      </c>
      <c r="D997" s="3">
        <f t="shared" si="259"/>
        <v>0</v>
      </c>
      <c r="E997" s="3">
        <v>0</v>
      </c>
      <c r="F997" s="3">
        <v>0</v>
      </c>
      <c r="G997" s="3">
        <v>0</v>
      </c>
      <c r="H997" s="3">
        <v>0</v>
      </c>
      <c r="I997" s="3">
        <v>0</v>
      </c>
      <c r="J997" s="3">
        <v>0</v>
      </c>
      <c r="K997" s="4">
        <v>0</v>
      </c>
      <c r="L997" s="3">
        <v>0</v>
      </c>
      <c r="M997" s="3">
        <v>300</v>
      </c>
      <c r="N997" s="3">
        <f>M997*6600</f>
        <v>1980000</v>
      </c>
      <c r="O997" s="3">
        <v>0</v>
      </c>
      <c r="P997" s="3">
        <v>0</v>
      </c>
      <c r="Q997" s="3">
        <v>0</v>
      </c>
      <c r="R997" s="3">
        <f t="shared" si="261"/>
        <v>0</v>
      </c>
      <c r="S997" s="3">
        <v>0</v>
      </c>
      <c r="T997" s="13">
        <v>0</v>
      </c>
      <c r="U997" s="3">
        <v>0</v>
      </c>
      <c r="V997" s="5">
        <f t="shared" si="260"/>
        <v>6600</v>
      </c>
    </row>
    <row r="998" spans="1:258" ht="25.15" customHeight="1" x14ac:dyDescent="0.25">
      <c r="A998" s="21" t="s">
        <v>1789</v>
      </c>
      <c r="B998" s="24" t="s">
        <v>804</v>
      </c>
      <c r="C998" s="2">
        <f t="shared" si="258"/>
        <v>4436205</v>
      </c>
      <c r="D998" s="3">
        <f t="shared" si="259"/>
        <v>0</v>
      </c>
      <c r="E998" s="3">
        <v>0</v>
      </c>
      <c r="F998" s="3">
        <v>0</v>
      </c>
      <c r="G998" s="3">
        <v>0</v>
      </c>
      <c r="H998" s="3">
        <v>0</v>
      </c>
      <c r="I998" s="3">
        <v>0</v>
      </c>
      <c r="J998" s="3">
        <v>0</v>
      </c>
      <c r="K998" s="4">
        <v>0</v>
      </c>
      <c r="L998" s="3">
        <v>0</v>
      </c>
      <c r="M998" s="13">
        <v>996.9</v>
      </c>
      <c r="N998" s="3">
        <f>M998*4450</f>
        <v>4436205</v>
      </c>
      <c r="O998" s="3">
        <v>0</v>
      </c>
      <c r="P998" s="3">
        <v>0</v>
      </c>
      <c r="Q998" s="3">
        <v>0</v>
      </c>
      <c r="R998" s="3">
        <f t="shared" si="261"/>
        <v>0</v>
      </c>
      <c r="S998" s="3">
        <v>0</v>
      </c>
      <c r="T998" s="13">
        <v>0</v>
      </c>
      <c r="U998" s="3">
        <v>0</v>
      </c>
      <c r="V998" s="5">
        <f t="shared" si="260"/>
        <v>4450</v>
      </c>
      <c r="W998" s="32"/>
      <c r="X998" s="32"/>
      <c r="Y998" s="32"/>
      <c r="Z998" s="32"/>
      <c r="AA998" s="32"/>
      <c r="AB998" s="32"/>
      <c r="AC998" s="32"/>
      <c r="AD998" s="32"/>
      <c r="AE998" s="32"/>
      <c r="AF998" s="32"/>
      <c r="AG998" s="32"/>
      <c r="AH998" s="32"/>
      <c r="AI998" s="32"/>
      <c r="AJ998" s="32"/>
      <c r="AK998" s="32"/>
      <c r="AL998" s="32"/>
      <c r="AM998" s="32"/>
      <c r="AN998" s="32"/>
      <c r="AO998" s="32"/>
      <c r="AP998" s="32"/>
      <c r="AQ998" s="32"/>
      <c r="AR998" s="32"/>
      <c r="AS998" s="32"/>
      <c r="AT998" s="32"/>
      <c r="AU998" s="32"/>
      <c r="AV998" s="32"/>
      <c r="AW998" s="32"/>
      <c r="AX998" s="32"/>
      <c r="AY998" s="32"/>
      <c r="AZ998" s="32"/>
      <c r="BA998" s="32"/>
      <c r="BB998" s="32"/>
      <c r="BC998" s="32"/>
      <c r="BD998" s="32"/>
      <c r="BE998" s="32"/>
      <c r="BF998" s="32"/>
      <c r="BG998" s="32"/>
      <c r="BH998" s="32"/>
      <c r="BI998" s="32"/>
      <c r="BJ998" s="32"/>
      <c r="BK998" s="32"/>
      <c r="BL998" s="32"/>
      <c r="BM998" s="32"/>
      <c r="BN998" s="32"/>
      <c r="BO998" s="32"/>
      <c r="BP998" s="32"/>
      <c r="BQ998" s="32"/>
      <c r="BR998" s="32"/>
      <c r="BS998" s="32"/>
      <c r="BT998" s="32"/>
      <c r="BU998" s="32"/>
      <c r="BV998" s="32"/>
      <c r="BW998" s="32"/>
      <c r="BX998" s="32"/>
      <c r="BY998" s="32"/>
      <c r="BZ998" s="32"/>
      <c r="CA998" s="32"/>
      <c r="CB998" s="32"/>
      <c r="CC998" s="32"/>
      <c r="CD998" s="32"/>
      <c r="CE998" s="32"/>
      <c r="CF998" s="32"/>
      <c r="CG998" s="32"/>
      <c r="CH998" s="32"/>
      <c r="CI998" s="32"/>
      <c r="CJ998" s="32"/>
      <c r="CK998" s="32"/>
      <c r="CL998" s="32"/>
      <c r="CM998" s="32"/>
      <c r="CN998" s="32"/>
      <c r="CO998" s="32"/>
      <c r="CP998" s="32"/>
      <c r="CQ998" s="32"/>
      <c r="CR998" s="32"/>
      <c r="CS998" s="32"/>
      <c r="CT998" s="32"/>
      <c r="CU998" s="32"/>
      <c r="CV998" s="32"/>
      <c r="CW998" s="32"/>
      <c r="CX998" s="32"/>
      <c r="CY998" s="32"/>
      <c r="CZ998" s="32"/>
      <c r="DA998" s="32"/>
      <c r="DB998" s="32"/>
      <c r="DC998" s="32"/>
      <c r="DD998" s="32"/>
      <c r="DE998" s="32"/>
      <c r="DF998" s="32"/>
      <c r="DG998" s="32"/>
      <c r="DH998" s="32"/>
      <c r="DI998" s="32"/>
      <c r="DJ998" s="32"/>
      <c r="DK998" s="32"/>
      <c r="DL998" s="32"/>
      <c r="DM998" s="32"/>
      <c r="DN998" s="32"/>
      <c r="DO998" s="32"/>
      <c r="DP998" s="32"/>
      <c r="DQ998" s="32"/>
      <c r="DR998" s="32"/>
      <c r="DS998" s="32"/>
      <c r="DT998" s="32"/>
      <c r="DU998" s="32"/>
      <c r="DV998" s="32"/>
      <c r="DW998" s="32"/>
      <c r="DX998" s="32"/>
      <c r="DY998" s="32"/>
      <c r="DZ998" s="32"/>
      <c r="EA998" s="32"/>
      <c r="EB998" s="32"/>
      <c r="EC998" s="32"/>
      <c r="ED998" s="32"/>
      <c r="EE998" s="32"/>
      <c r="EF998" s="32"/>
      <c r="EG998" s="32"/>
      <c r="EH998" s="32"/>
      <c r="EI998" s="32"/>
      <c r="EJ998" s="32"/>
      <c r="EK998" s="32"/>
      <c r="EL998" s="32"/>
      <c r="EM998" s="32"/>
      <c r="EN998" s="32"/>
      <c r="EO998" s="32"/>
      <c r="EP998" s="32"/>
      <c r="EQ998" s="32"/>
      <c r="ER998" s="32"/>
      <c r="ES998" s="32"/>
      <c r="ET998" s="32"/>
      <c r="EU998" s="32"/>
      <c r="EV998" s="32"/>
      <c r="EW998" s="32"/>
      <c r="EX998" s="32"/>
      <c r="EY998" s="32"/>
      <c r="EZ998" s="32"/>
      <c r="FA998" s="32"/>
      <c r="FB998" s="32"/>
      <c r="FC998" s="32"/>
      <c r="FD998" s="32"/>
      <c r="FE998" s="32"/>
      <c r="FF998" s="32"/>
      <c r="FG998" s="32"/>
      <c r="FH998" s="32"/>
      <c r="FI998" s="32"/>
      <c r="FJ998" s="32"/>
      <c r="FK998" s="32"/>
      <c r="FL998" s="32"/>
      <c r="FM998" s="32"/>
      <c r="FN998" s="32"/>
      <c r="FO998" s="32"/>
      <c r="FP998" s="32"/>
      <c r="FQ998" s="32"/>
      <c r="FR998" s="32"/>
      <c r="FS998" s="32"/>
      <c r="FT998" s="32"/>
      <c r="FU998" s="32"/>
      <c r="FV998" s="32"/>
      <c r="FW998" s="32"/>
      <c r="FX998" s="32"/>
      <c r="FY998" s="32"/>
      <c r="FZ998" s="32"/>
      <c r="GA998" s="32"/>
      <c r="GB998" s="32"/>
      <c r="GC998" s="32"/>
      <c r="GD998" s="32"/>
      <c r="GE998" s="32"/>
      <c r="GF998" s="32"/>
      <c r="GG998" s="32"/>
      <c r="GH998" s="32"/>
      <c r="GI998" s="32"/>
      <c r="GJ998" s="32"/>
      <c r="GK998" s="32"/>
      <c r="GL998" s="32"/>
      <c r="GM998" s="32"/>
      <c r="GN998" s="32"/>
      <c r="GO998" s="32"/>
      <c r="GP998" s="32"/>
      <c r="GQ998" s="32"/>
      <c r="GR998" s="32"/>
      <c r="GS998" s="32"/>
      <c r="GT998" s="32"/>
      <c r="GU998" s="32"/>
      <c r="GV998" s="32"/>
      <c r="GW998" s="32"/>
      <c r="GX998" s="32"/>
      <c r="GY998" s="32"/>
      <c r="GZ998" s="32"/>
      <c r="HA998" s="32"/>
      <c r="HB998" s="32"/>
      <c r="HC998" s="32"/>
      <c r="HD998" s="32"/>
      <c r="HE998" s="32"/>
      <c r="HF998" s="32"/>
      <c r="HG998" s="32"/>
      <c r="HH998" s="32"/>
      <c r="HI998" s="32"/>
      <c r="HJ998" s="32"/>
      <c r="HK998" s="32"/>
      <c r="HL998" s="32"/>
      <c r="HM998" s="32"/>
      <c r="HN998" s="32"/>
      <c r="HO998" s="32"/>
      <c r="HP998" s="32"/>
      <c r="HQ998" s="32"/>
      <c r="HR998" s="32"/>
      <c r="HS998" s="32"/>
      <c r="HT998" s="32"/>
      <c r="HU998" s="32"/>
      <c r="HV998" s="32"/>
      <c r="HW998" s="32"/>
      <c r="HX998" s="32"/>
      <c r="HY998" s="32"/>
      <c r="HZ998" s="32"/>
      <c r="IA998" s="32"/>
      <c r="IB998" s="32"/>
      <c r="IC998" s="32"/>
      <c r="ID998" s="32"/>
      <c r="IE998" s="32"/>
      <c r="IF998" s="32"/>
      <c r="IG998" s="32"/>
      <c r="IH998" s="32"/>
      <c r="II998" s="32"/>
      <c r="IJ998" s="32"/>
      <c r="IK998" s="32"/>
      <c r="IL998" s="32"/>
      <c r="IM998" s="32"/>
      <c r="IN998" s="32"/>
      <c r="IO998" s="32"/>
      <c r="IP998" s="32"/>
      <c r="IQ998" s="32"/>
      <c r="IR998" s="32"/>
      <c r="IS998" s="32"/>
      <c r="IT998" s="32"/>
      <c r="IU998" s="32"/>
      <c r="IV998" s="32"/>
      <c r="IW998" s="32"/>
      <c r="IX998" s="32"/>
    </row>
    <row r="999" spans="1:258" ht="25.15" customHeight="1" x14ac:dyDescent="0.25">
      <c r="A999" s="21" t="s">
        <v>1790</v>
      </c>
      <c r="B999" s="24" t="s">
        <v>701</v>
      </c>
      <c r="C999" s="2">
        <f t="shared" si="258"/>
        <v>3352800</v>
      </c>
      <c r="D999" s="3">
        <f t="shared" si="259"/>
        <v>0</v>
      </c>
      <c r="E999" s="3">
        <v>0</v>
      </c>
      <c r="F999" s="3">
        <v>0</v>
      </c>
      <c r="G999" s="3">
        <v>0</v>
      </c>
      <c r="H999" s="3">
        <v>0</v>
      </c>
      <c r="I999" s="3">
        <v>0</v>
      </c>
      <c r="J999" s="3">
        <v>0</v>
      </c>
      <c r="K999" s="4">
        <v>0</v>
      </c>
      <c r="L999" s="3">
        <v>0</v>
      </c>
      <c r="M999" s="3">
        <v>508</v>
      </c>
      <c r="N999" s="3">
        <f>M999*6600</f>
        <v>3352800</v>
      </c>
      <c r="O999" s="3">
        <v>0</v>
      </c>
      <c r="P999" s="3">
        <v>0</v>
      </c>
      <c r="Q999" s="3">
        <v>0</v>
      </c>
      <c r="R999" s="3">
        <f t="shared" si="261"/>
        <v>0</v>
      </c>
      <c r="S999" s="3">
        <v>0</v>
      </c>
      <c r="T999" s="13">
        <v>0</v>
      </c>
      <c r="U999" s="3">
        <v>0</v>
      </c>
      <c r="V999" s="5">
        <f t="shared" si="260"/>
        <v>6600</v>
      </c>
    </row>
    <row r="1000" spans="1:258" ht="25.15" customHeight="1" x14ac:dyDescent="0.25">
      <c r="A1000" s="21" t="s">
        <v>1791</v>
      </c>
      <c r="B1000" s="24" t="s">
        <v>771</v>
      </c>
      <c r="C1000" s="2">
        <f t="shared" si="258"/>
        <v>1650000</v>
      </c>
      <c r="D1000" s="3">
        <f t="shared" si="259"/>
        <v>0</v>
      </c>
      <c r="E1000" s="3">
        <v>0</v>
      </c>
      <c r="F1000" s="3">
        <v>0</v>
      </c>
      <c r="G1000" s="3">
        <v>0</v>
      </c>
      <c r="H1000" s="3">
        <v>0</v>
      </c>
      <c r="I1000" s="3">
        <v>0</v>
      </c>
      <c r="J1000" s="3">
        <v>0</v>
      </c>
      <c r="K1000" s="4">
        <v>0</v>
      </c>
      <c r="L1000" s="3">
        <v>0</v>
      </c>
      <c r="M1000" s="13">
        <v>250</v>
      </c>
      <c r="N1000" s="3">
        <f>M1000*6600</f>
        <v>1650000</v>
      </c>
      <c r="O1000" s="3">
        <v>0</v>
      </c>
      <c r="P1000" s="3">
        <v>0</v>
      </c>
      <c r="Q1000" s="3">
        <v>0</v>
      </c>
      <c r="R1000" s="3">
        <f t="shared" si="261"/>
        <v>0</v>
      </c>
      <c r="S1000" s="3">
        <v>0</v>
      </c>
      <c r="T1000" s="13">
        <v>0</v>
      </c>
      <c r="U1000" s="3">
        <v>0</v>
      </c>
      <c r="V1000" s="5">
        <f t="shared" si="260"/>
        <v>6600</v>
      </c>
    </row>
    <row r="1001" spans="1:258" ht="25.15" customHeight="1" x14ac:dyDescent="0.25">
      <c r="A1001" s="21" t="s">
        <v>1792</v>
      </c>
      <c r="B1001" s="24" t="s">
        <v>598</v>
      </c>
      <c r="C1001" s="2">
        <f t="shared" si="258"/>
        <v>1953600</v>
      </c>
      <c r="D1001" s="3">
        <f t="shared" si="259"/>
        <v>0</v>
      </c>
      <c r="E1001" s="3">
        <v>0</v>
      </c>
      <c r="F1001" s="3">
        <v>0</v>
      </c>
      <c r="G1001" s="3">
        <v>0</v>
      </c>
      <c r="H1001" s="3">
        <v>0</v>
      </c>
      <c r="I1001" s="3">
        <v>0</v>
      </c>
      <c r="J1001" s="3">
        <v>0</v>
      </c>
      <c r="K1001" s="14">
        <v>0</v>
      </c>
      <c r="L1001" s="13">
        <v>0</v>
      </c>
      <c r="M1001" s="13">
        <v>296</v>
      </c>
      <c r="N1001" s="3">
        <f>M1001*6600</f>
        <v>1953600</v>
      </c>
      <c r="O1001" s="13">
        <v>0</v>
      </c>
      <c r="P1001" s="13">
        <v>0</v>
      </c>
      <c r="Q1001" s="13">
        <v>0</v>
      </c>
      <c r="R1001" s="3">
        <f t="shared" si="261"/>
        <v>0</v>
      </c>
      <c r="S1001" s="13">
        <v>0</v>
      </c>
      <c r="T1001" s="13">
        <v>0</v>
      </c>
      <c r="U1001" s="13">
        <v>0</v>
      </c>
      <c r="V1001" s="5">
        <f t="shared" si="260"/>
        <v>6600</v>
      </c>
    </row>
    <row r="1002" spans="1:258" ht="25.15" customHeight="1" x14ac:dyDescent="0.25">
      <c r="A1002" s="21" t="s">
        <v>1978</v>
      </c>
      <c r="B1002" s="24" t="s">
        <v>599</v>
      </c>
      <c r="C1002" s="2">
        <f t="shared" si="258"/>
        <v>1947000</v>
      </c>
      <c r="D1002" s="3">
        <f t="shared" si="259"/>
        <v>0</v>
      </c>
      <c r="E1002" s="3">
        <v>0</v>
      </c>
      <c r="F1002" s="3">
        <v>0</v>
      </c>
      <c r="G1002" s="3">
        <v>0</v>
      </c>
      <c r="H1002" s="3">
        <v>0</v>
      </c>
      <c r="I1002" s="3">
        <v>0</v>
      </c>
      <c r="J1002" s="3">
        <v>0</v>
      </c>
      <c r="K1002" s="14">
        <v>0</v>
      </c>
      <c r="L1002" s="13">
        <v>0</v>
      </c>
      <c r="M1002" s="13">
        <v>295</v>
      </c>
      <c r="N1002" s="3">
        <f>M1002*6600</f>
        <v>1947000</v>
      </c>
      <c r="O1002" s="13">
        <v>0</v>
      </c>
      <c r="P1002" s="13">
        <v>0</v>
      </c>
      <c r="Q1002" s="13">
        <v>0</v>
      </c>
      <c r="R1002" s="3">
        <f t="shared" si="261"/>
        <v>0</v>
      </c>
      <c r="S1002" s="13">
        <v>0</v>
      </c>
      <c r="T1002" s="13">
        <v>0</v>
      </c>
      <c r="U1002" s="13">
        <v>0</v>
      </c>
      <c r="V1002" s="5">
        <f t="shared" si="260"/>
        <v>6600</v>
      </c>
    </row>
    <row r="1003" spans="1:258" ht="24.6" customHeight="1" x14ac:dyDescent="0.25">
      <c r="A1003" s="21" t="s">
        <v>1793</v>
      </c>
      <c r="B1003" s="24" t="s">
        <v>1814</v>
      </c>
      <c r="C1003" s="2">
        <f t="shared" si="258"/>
        <v>3326375</v>
      </c>
      <c r="D1003" s="3">
        <f t="shared" si="259"/>
        <v>0</v>
      </c>
      <c r="E1003" s="3">
        <v>0</v>
      </c>
      <c r="F1003" s="3">
        <v>0</v>
      </c>
      <c r="G1003" s="3">
        <v>0</v>
      </c>
      <c r="H1003" s="3">
        <v>0</v>
      </c>
      <c r="I1003" s="3">
        <v>0</v>
      </c>
      <c r="J1003" s="3">
        <v>0</v>
      </c>
      <c r="K1003" s="14">
        <v>0</v>
      </c>
      <c r="L1003" s="13">
        <v>0</v>
      </c>
      <c r="M1003" s="13">
        <v>747.5</v>
      </c>
      <c r="N1003" s="3">
        <f>M1003*4450</f>
        <v>3326375</v>
      </c>
      <c r="O1003" s="13">
        <v>0</v>
      </c>
      <c r="P1003" s="13">
        <v>0</v>
      </c>
      <c r="Q1003" s="13">
        <v>0</v>
      </c>
      <c r="R1003" s="3">
        <v>0</v>
      </c>
      <c r="S1003" s="13">
        <v>0</v>
      </c>
      <c r="T1003" s="13">
        <v>0</v>
      </c>
      <c r="U1003" s="13">
        <v>0</v>
      </c>
      <c r="V1003" s="5">
        <f t="shared" si="260"/>
        <v>4450</v>
      </c>
    </row>
    <row r="1004" spans="1:258" ht="24.6" customHeight="1" x14ac:dyDescent="0.25">
      <c r="A1004" s="21" t="s">
        <v>1794</v>
      </c>
      <c r="B1004" s="27" t="s">
        <v>1954</v>
      </c>
      <c r="C1004" s="2">
        <f t="shared" si="258"/>
        <v>7888320</v>
      </c>
      <c r="D1004" s="3">
        <f t="shared" si="259"/>
        <v>0</v>
      </c>
      <c r="E1004" s="3">
        <v>0</v>
      </c>
      <c r="F1004" s="3">
        <v>0</v>
      </c>
      <c r="G1004" s="3">
        <v>0</v>
      </c>
      <c r="H1004" s="3">
        <v>0</v>
      </c>
      <c r="I1004" s="3">
        <v>0</v>
      </c>
      <c r="J1004" s="3">
        <v>0</v>
      </c>
      <c r="K1004" s="14">
        <v>0</v>
      </c>
      <c r="L1004" s="13">
        <v>0</v>
      </c>
      <c r="M1004" s="13">
        <v>1195.2</v>
      </c>
      <c r="N1004" s="3">
        <f t="shared" ref="N1004:N1010" si="262">M1004*6600</f>
        <v>7888320</v>
      </c>
      <c r="O1004" s="13">
        <v>0</v>
      </c>
      <c r="P1004" s="13">
        <v>0</v>
      </c>
      <c r="Q1004" s="13">
        <v>0</v>
      </c>
      <c r="R1004" s="3">
        <v>0</v>
      </c>
      <c r="S1004" s="13">
        <v>0</v>
      </c>
      <c r="T1004" s="13">
        <v>0</v>
      </c>
      <c r="U1004" s="13">
        <v>0</v>
      </c>
      <c r="V1004" s="5">
        <f t="shared" si="260"/>
        <v>6600</v>
      </c>
    </row>
    <row r="1005" spans="1:258" ht="25.15" customHeight="1" x14ac:dyDescent="0.25">
      <c r="A1005" s="21" t="s">
        <v>1795</v>
      </c>
      <c r="B1005" s="27" t="s">
        <v>1815</v>
      </c>
      <c r="C1005" s="2">
        <f t="shared" si="258"/>
        <v>6270000</v>
      </c>
      <c r="D1005" s="3">
        <f t="shared" si="259"/>
        <v>0</v>
      </c>
      <c r="E1005" s="3">
        <v>0</v>
      </c>
      <c r="F1005" s="3">
        <v>0</v>
      </c>
      <c r="G1005" s="3">
        <v>0</v>
      </c>
      <c r="H1005" s="3">
        <v>0</v>
      </c>
      <c r="I1005" s="3">
        <v>0</v>
      </c>
      <c r="J1005" s="3">
        <v>0</v>
      </c>
      <c r="K1005" s="14">
        <v>0</v>
      </c>
      <c r="L1005" s="13">
        <v>0</v>
      </c>
      <c r="M1005" s="13">
        <v>950</v>
      </c>
      <c r="N1005" s="3">
        <f t="shared" si="262"/>
        <v>6270000</v>
      </c>
      <c r="O1005" s="13">
        <v>0</v>
      </c>
      <c r="P1005" s="13">
        <v>0</v>
      </c>
      <c r="Q1005" s="13">
        <v>0</v>
      </c>
      <c r="R1005" s="3">
        <v>0</v>
      </c>
      <c r="S1005" s="13">
        <v>0</v>
      </c>
      <c r="T1005" s="13">
        <v>0</v>
      </c>
      <c r="U1005" s="13">
        <v>0</v>
      </c>
      <c r="V1005" s="5">
        <f t="shared" si="260"/>
        <v>6600</v>
      </c>
    </row>
    <row r="1006" spans="1:258" ht="25.15" customHeight="1" x14ac:dyDescent="0.25">
      <c r="A1006" s="21" t="s">
        <v>1796</v>
      </c>
      <c r="B1006" s="27" t="s">
        <v>772</v>
      </c>
      <c r="C1006" s="2">
        <f t="shared" si="258"/>
        <v>4007520.0000000005</v>
      </c>
      <c r="D1006" s="3">
        <f t="shared" si="259"/>
        <v>0</v>
      </c>
      <c r="E1006" s="3">
        <v>0</v>
      </c>
      <c r="F1006" s="3">
        <v>0</v>
      </c>
      <c r="G1006" s="3">
        <v>0</v>
      </c>
      <c r="H1006" s="3">
        <v>0</v>
      </c>
      <c r="I1006" s="3">
        <v>0</v>
      </c>
      <c r="J1006" s="3">
        <v>0</v>
      </c>
      <c r="K1006" s="4">
        <v>0</v>
      </c>
      <c r="L1006" s="3">
        <v>0</v>
      </c>
      <c r="M1006" s="13">
        <v>607.20000000000005</v>
      </c>
      <c r="N1006" s="3">
        <f t="shared" si="262"/>
        <v>4007520.0000000005</v>
      </c>
      <c r="O1006" s="3">
        <v>0</v>
      </c>
      <c r="P1006" s="3">
        <v>0</v>
      </c>
      <c r="Q1006" s="3">
        <v>0</v>
      </c>
      <c r="R1006" s="3">
        <f>Q1006*3200</f>
        <v>0</v>
      </c>
      <c r="S1006" s="3">
        <v>0</v>
      </c>
      <c r="T1006" s="13">
        <v>0</v>
      </c>
      <c r="U1006" s="3">
        <v>0</v>
      </c>
      <c r="V1006" s="5">
        <f t="shared" si="260"/>
        <v>6600</v>
      </c>
    </row>
    <row r="1007" spans="1:258" ht="25.15" customHeight="1" x14ac:dyDescent="0.25">
      <c r="A1007" s="21" t="s">
        <v>1797</v>
      </c>
      <c r="B1007" s="28" t="s">
        <v>1200</v>
      </c>
      <c r="C1007" s="2">
        <f t="shared" si="258"/>
        <v>4890600</v>
      </c>
      <c r="D1007" s="3">
        <f t="shared" si="259"/>
        <v>0</v>
      </c>
      <c r="E1007" s="3">
        <v>0</v>
      </c>
      <c r="F1007" s="3">
        <v>0</v>
      </c>
      <c r="G1007" s="3">
        <v>0</v>
      </c>
      <c r="H1007" s="3">
        <v>0</v>
      </c>
      <c r="I1007" s="3">
        <v>0</v>
      </c>
      <c r="J1007" s="3">
        <v>0</v>
      </c>
      <c r="K1007" s="4">
        <v>0</v>
      </c>
      <c r="L1007" s="3">
        <v>0</v>
      </c>
      <c r="M1007" s="3">
        <v>741</v>
      </c>
      <c r="N1007" s="3">
        <f t="shared" si="262"/>
        <v>4890600</v>
      </c>
      <c r="O1007" s="3">
        <v>0</v>
      </c>
      <c r="P1007" s="3">
        <v>0</v>
      </c>
      <c r="Q1007" s="3">
        <v>0</v>
      </c>
      <c r="R1007" s="3">
        <v>0</v>
      </c>
      <c r="S1007" s="3">
        <v>0</v>
      </c>
      <c r="T1007" s="3">
        <v>0</v>
      </c>
      <c r="U1007" s="3">
        <v>0</v>
      </c>
      <c r="V1007" s="5">
        <f t="shared" si="260"/>
        <v>6600</v>
      </c>
    </row>
    <row r="1008" spans="1:258" ht="25.15" customHeight="1" x14ac:dyDescent="0.25">
      <c r="A1008" s="21" t="s">
        <v>1798</v>
      </c>
      <c r="B1008" s="24" t="s">
        <v>600</v>
      </c>
      <c r="C1008" s="2">
        <f t="shared" si="258"/>
        <v>5002720</v>
      </c>
      <c r="D1008" s="3">
        <f t="shared" si="259"/>
        <v>0</v>
      </c>
      <c r="E1008" s="3">
        <v>0</v>
      </c>
      <c r="F1008" s="3">
        <v>0</v>
      </c>
      <c r="G1008" s="3">
        <v>0</v>
      </c>
      <c r="H1008" s="3">
        <v>0</v>
      </c>
      <c r="I1008" s="3">
        <v>0</v>
      </c>
      <c r="J1008" s="3">
        <v>0</v>
      </c>
      <c r="K1008" s="14">
        <v>0</v>
      </c>
      <c r="L1008" s="13">
        <v>0</v>
      </c>
      <c r="M1008" s="13">
        <v>629.20000000000005</v>
      </c>
      <c r="N1008" s="3">
        <f t="shared" si="262"/>
        <v>4152720.0000000005</v>
      </c>
      <c r="O1008" s="13">
        <v>0</v>
      </c>
      <c r="P1008" s="13">
        <v>0</v>
      </c>
      <c r="Q1008" s="13">
        <v>0</v>
      </c>
      <c r="R1008" s="3">
        <f>Q1008*3000</f>
        <v>0</v>
      </c>
      <c r="S1008" s="13">
        <v>0</v>
      </c>
      <c r="T1008" s="13">
        <v>0</v>
      </c>
      <c r="U1008" s="13">
        <v>850000</v>
      </c>
      <c r="V1008" s="5">
        <f t="shared" si="260"/>
        <v>6600</v>
      </c>
    </row>
    <row r="1009" spans="1:258" ht="25.15" customHeight="1" x14ac:dyDescent="0.25">
      <c r="A1009" s="21" t="s">
        <v>1799</v>
      </c>
      <c r="B1009" s="24" t="s">
        <v>703</v>
      </c>
      <c r="C1009" s="2">
        <f t="shared" si="258"/>
        <v>3709200</v>
      </c>
      <c r="D1009" s="3">
        <f t="shared" si="259"/>
        <v>0</v>
      </c>
      <c r="E1009" s="3">
        <v>0</v>
      </c>
      <c r="F1009" s="3">
        <v>0</v>
      </c>
      <c r="G1009" s="3">
        <v>0</v>
      </c>
      <c r="H1009" s="3">
        <v>0</v>
      </c>
      <c r="I1009" s="3">
        <v>0</v>
      </c>
      <c r="J1009" s="3">
        <v>0</v>
      </c>
      <c r="K1009" s="4">
        <v>0</v>
      </c>
      <c r="L1009" s="3">
        <v>0</v>
      </c>
      <c r="M1009" s="13">
        <v>562</v>
      </c>
      <c r="N1009" s="3">
        <f t="shared" si="262"/>
        <v>3709200</v>
      </c>
      <c r="O1009" s="3">
        <v>0</v>
      </c>
      <c r="P1009" s="3">
        <v>0</v>
      </c>
      <c r="Q1009" s="3">
        <v>0</v>
      </c>
      <c r="R1009" s="3">
        <f>Q1009*3200</f>
        <v>0</v>
      </c>
      <c r="S1009" s="3">
        <v>0</v>
      </c>
      <c r="T1009" s="13">
        <v>0</v>
      </c>
      <c r="U1009" s="3">
        <v>0</v>
      </c>
      <c r="V1009" s="5">
        <f t="shared" si="260"/>
        <v>6600</v>
      </c>
    </row>
    <row r="1010" spans="1:258" ht="25.15" customHeight="1" x14ac:dyDescent="0.25">
      <c r="A1010" s="21" t="s">
        <v>1800</v>
      </c>
      <c r="B1010" s="24" t="s">
        <v>702</v>
      </c>
      <c r="C1010" s="2">
        <f t="shared" si="258"/>
        <v>10479274.18</v>
      </c>
      <c r="D1010" s="3">
        <f t="shared" si="259"/>
        <v>5866800</v>
      </c>
      <c r="E1010" s="3">
        <f>700*1955.6</f>
        <v>1368920</v>
      </c>
      <c r="F1010" s="3">
        <f>1300*1955.6</f>
        <v>2542280</v>
      </c>
      <c r="G1010" s="3">
        <f>300*1955.6</f>
        <v>586680</v>
      </c>
      <c r="H1010" s="3">
        <f>400*1955.6</f>
        <v>782240</v>
      </c>
      <c r="I1010" s="3">
        <f>300*1955.6</f>
        <v>586680</v>
      </c>
      <c r="J1010" s="3">
        <v>0</v>
      </c>
      <c r="K1010" s="4">
        <v>0</v>
      </c>
      <c r="L1010" s="3">
        <v>0</v>
      </c>
      <c r="M1010" s="3">
        <v>576</v>
      </c>
      <c r="N1010" s="3">
        <f t="shared" si="262"/>
        <v>3801600</v>
      </c>
      <c r="O1010" s="3">
        <v>438</v>
      </c>
      <c r="P1010" s="3">
        <f>O1010*1200</f>
        <v>525600</v>
      </c>
      <c r="Q1010" s="3">
        <v>0</v>
      </c>
      <c r="R1010" s="3">
        <f>Q1010*3200</f>
        <v>0</v>
      </c>
      <c r="S1010" s="3">
        <v>0</v>
      </c>
      <c r="T1010" s="13">
        <v>0</v>
      </c>
      <c r="U1010" s="3">
        <v>285274.18</v>
      </c>
      <c r="V1010" s="5">
        <f t="shared" si="260"/>
        <v>6600</v>
      </c>
    </row>
    <row r="1011" spans="1:258" ht="25.15" customHeight="1" x14ac:dyDescent="0.25">
      <c r="A1011" s="21" t="s">
        <v>1801</v>
      </c>
      <c r="B1011" s="24" t="s">
        <v>602</v>
      </c>
      <c r="C1011" s="2">
        <f t="shared" si="258"/>
        <v>2645500</v>
      </c>
      <c r="D1011" s="3">
        <f t="shared" si="259"/>
        <v>0</v>
      </c>
      <c r="E1011" s="3">
        <v>0</v>
      </c>
      <c r="F1011" s="3">
        <v>0</v>
      </c>
      <c r="G1011" s="3">
        <v>0</v>
      </c>
      <c r="H1011" s="3">
        <v>0</v>
      </c>
      <c r="I1011" s="3">
        <v>0</v>
      </c>
      <c r="J1011" s="3">
        <v>0</v>
      </c>
      <c r="K1011" s="14">
        <v>0</v>
      </c>
      <c r="L1011" s="13">
        <v>0</v>
      </c>
      <c r="M1011" s="13">
        <v>481</v>
      </c>
      <c r="N1011" s="3">
        <f>M1011*5500</f>
        <v>2645500</v>
      </c>
      <c r="O1011" s="13">
        <v>0</v>
      </c>
      <c r="P1011" s="13">
        <v>0</v>
      </c>
      <c r="Q1011" s="13">
        <v>0</v>
      </c>
      <c r="R1011" s="3">
        <f>Q1011*3000</f>
        <v>0</v>
      </c>
      <c r="S1011" s="13">
        <v>0</v>
      </c>
      <c r="T1011" s="13">
        <v>0</v>
      </c>
      <c r="U1011" s="13">
        <v>0</v>
      </c>
      <c r="V1011" s="5">
        <f t="shared" si="260"/>
        <v>5500</v>
      </c>
    </row>
    <row r="1012" spans="1:258" ht="25.15" customHeight="1" x14ac:dyDescent="0.25">
      <c r="A1012" s="21" t="s">
        <v>1802</v>
      </c>
      <c r="B1012" s="24" t="s">
        <v>773</v>
      </c>
      <c r="C1012" s="2">
        <f t="shared" si="258"/>
        <v>8250000</v>
      </c>
      <c r="D1012" s="3">
        <f t="shared" si="259"/>
        <v>0</v>
      </c>
      <c r="E1012" s="3">
        <v>0</v>
      </c>
      <c r="F1012" s="3">
        <v>0</v>
      </c>
      <c r="G1012" s="3">
        <v>0</v>
      </c>
      <c r="H1012" s="3">
        <v>0</v>
      </c>
      <c r="I1012" s="3">
        <v>0</v>
      </c>
      <c r="J1012" s="3">
        <v>0</v>
      </c>
      <c r="K1012" s="14">
        <v>0</v>
      </c>
      <c r="L1012" s="13">
        <v>0</v>
      </c>
      <c r="M1012" s="13">
        <v>1250</v>
      </c>
      <c r="N1012" s="3">
        <f>M1012*6600</f>
        <v>8250000</v>
      </c>
      <c r="O1012" s="3">
        <v>0</v>
      </c>
      <c r="P1012" s="3">
        <v>0</v>
      </c>
      <c r="Q1012" s="3">
        <v>0</v>
      </c>
      <c r="R1012" s="3">
        <f>Q1012*3200</f>
        <v>0</v>
      </c>
      <c r="S1012" s="3">
        <v>0</v>
      </c>
      <c r="T1012" s="13">
        <v>0</v>
      </c>
      <c r="U1012" s="3">
        <v>0</v>
      </c>
      <c r="V1012" s="5">
        <f t="shared" si="260"/>
        <v>6600</v>
      </c>
    </row>
    <row r="1013" spans="1:258" s="32" customFormat="1" ht="25.15" customHeight="1" x14ac:dyDescent="0.25">
      <c r="A1013" s="21" t="s">
        <v>1803</v>
      </c>
      <c r="B1013" s="24" t="s">
        <v>774</v>
      </c>
      <c r="C1013" s="2">
        <f t="shared" si="258"/>
        <v>8286300</v>
      </c>
      <c r="D1013" s="3">
        <f t="shared" si="259"/>
        <v>0</v>
      </c>
      <c r="E1013" s="3">
        <v>0</v>
      </c>
      <c r="F1013" s="3">
        <v>0</v>
      </c>
      <c r="G1013" s="3">
        <v>0</v>
      </c>
      <c r="H1013" s="3">
        <v>0</v>
      </c>
      <c r="I1013" s="3">
        <v>0</v>
      </c>
      <c r="J1013" s="3">
        <v>0</v>
      </c>
      <c r="K1013" s="4">
        <v>0</v>
      </c>
      <c r="L1013" s="3">
        <v>0</v>
      </c>
      <c r="M1013" s="13">
        <v>1255.5</v>
      </c>
      <c r="N1013" s="3">
        <f>M1013*6600</f>
        <v>8286300</v>
      </c>
      <c r="O1013" s="3">
        <v>0</v>
      </c>
      <c r="P1013" s="3">
        <v>0</v>
      </c>
      <c r="Q1013" s="3">
        <v>0</v>
      </c>
      <c r="R1013" s="3">
        <f>Q1013*3200</f>
        <v>0</v>
      </c>
      <c r="S1013" s="3">
        <v>0</v>
      </c>
      <c r="T1013" s="13">
        <v>0</v>
      </c>
      <c r="U1013" s="3">
        <v>0</v>
      </c>
      <c r="V1013" s="5">
        <f t="shared" si="260"/>
        <v>6600</v>
      </c>
      <c r="W1013" s="6"/>
      <c r="X1013" s="6"/>
      <c r="Y1013" s="6"/>
      <c r="Z1013" s="6"/>
      <c r="AA1013" s="6"/>
      <c r="AB1013" s="6"/>
      <c r="AC1013" s="6"/>
      <c r="AD1013" s="6"/>
      <c r="AE1013" s="6"/>
      <c r="AF1013" s="6"/>
      <c r="AG1013" s="6"/>
      <c r="AH1013" s="6"/>
      <c r="AI1013" s="6"/>
      <c r="AJ1013" s="6"/>
      <c r="AK1013" s="6"/>
      <c r="AL1013" s="6"/>
      <c r="AM1013" s="6"/>
      <c r="AN1013" s="6"/>
      <c r="AO1013" s="6"/>
      <c r="AP1013" s="6"/>
      <c r="AQ1013" s="6"/>
      <c r="AR1013" s="6"/>
      <c r="AS1013" s="6"/>
      <c r="AT1013" s="6"/>
      <c r="AU1013" s="6"/>
      <c r="AV1013" s="6"/>
      <c r="AW1013" s="6"/>
      <c r="AX1013" s="6"/>
      <c r="AY1013" s="6"/>
      <c r="AZ1013" s="6"/>
      <c r="BA1013" s="6"/>
      <c r="BB1013" s="6"/>
      <c r="BC1013" s="6"/>
      <c r="BD1013" s="6"/>
      <c r="BE1013" s="6"/>
      <c r="BF1013" s="6"/>
      <c r="BG1013" s="6"/>
      <c r="BH1013" s="6"/>
      <c r="BI1013" s="6"/>
      <c r="BJ1013" s="6"/>
      <c r="BK1013" s="6"/>
      <c r="BL1013" s="6"/>
      <c r="BM1013" s="6"/>
      <c r="BN1013" s="6"/>
      <c r="BO1013" s="6"/>
      <c r="BP1013" s="6"/>
      <c r="BQ1013" s="6"/>
      <c r="BR1013" s="6"/>
      <c r="BS1013" s="6"/>
      <c r="BT1013" s="6"/>
      <c r="BU1013" s="6"/>
      <c r="BV1013" s="6"/>
      <c r="BW1013" s="6"/>
      <c r="BX1013" s="6"/>
      <c r="BY1013" s="6"/>
      <c r="BZ1013" s="6"/>
      <c r="CA1013" s="6"/>
      <c r="CB1013" s="6"/>
      <c r="CC1013" s="6"/>
      <c r="CD1013" s="6"/>
      <c r="CE1013" s="6"/>
      <c r="CF1013" s="6"/>
      <c r="CG1013" s="6"/>
      <c r="CH1013" s="6"/>
      <c r="CI1013" s="6"/>
      <c r="CJ1013" s="6"/>
      <c r="CK1013" s="6"/>
      <c r="CL1013" s="6"/>
      <c r="CM1013" s="6"/>
      <c r="CN1013" s="6"/>
      <c r="CO1013" s="6"/>
      <c r="CP1013" s="6"/>
      <c r="CQ1013" s="6"/>
      <c r="CR1013" s="6"/>
      <c r="CS1013" s="6"/>
      <c r="CT1013" s="6"/>
      <c r="CU1013" s="6"/>
      <c r="CV1013" s="6"/>
      <c r="CW1013" s="6"/>
      <c r="CX1013" s="6"/>
      <c r="CY1013" s="6"/>
      <c r="CZ1013" s="6"/>
      <c r="DA1013" s="6"/>
      <c r="DB1013" s="6"/>
      <c r="DC1013" s="6"/>
      <c r="DD1013" s="6"/>
      <c r="DE1013" s="6"/>
      <c r="DF1013" s="6"/>
      <c r="DG1013" s="6"/>
      <c r="DH1013" s="6"/>
      <c r="DI1013" s="6"/>
      <c r="DJ1013" s="6"/>
      <c r="DK1013" s="6"/>
      <c r="DL1013" s="6"/>
      <c r="DM1013" s="6"/>
      <c r="DN1013" s="6"/>
      <c r="DO1013" s="6"/>
      <c r="DP1013" s="6"/>
      <c r="DQ1013" s="6"/>
      <c r="DR1013" s="6"/>
      <c r="DS1013" s="6"/>
      <c r="DT1013" s="6"/>
      <c r="DU1013" s="6"/>
      <c r="DV1013" s="6"/>
      <c r="DW1013" s="6"/>
      <c r="DX1013" s="6"/>
      <c r="DY1013" s="6"/>
      <c r="DZ1013" s="6"/>
      <c r="EA1013" s="6"/>
      <c r="EB1013" s="6"/>
      <c r="EC1013" s="6"/>
      <c r="ED1013" s="6"/>
      <c r="EE1013" s="6"/>
      <c r="EF1013" s="6"/>
      <c r="EG1013" s="6"/>
      <c r="EH1013" s="6"/>
      <c r="EI1013" s="6"/>
      <c r="EJ1013" s="6"/>
      <c r="EK1013" s="6"/>
      <c r="EL1013" s="6"/>
      <c r="EM1013" s="6"/>
      <c r="EN1013" s="6"/>
      <c r="EO1013" s="6"/>
      <c r="EP1013" s="6"/>
      <c r="EQ1013" s="6"/>
      <c r="ER1013" s="6"/>
      <c r="ES1013" s="6"/>
      <c r="ET1013" s="6"/>
      <c r="EU1013" s="6"/>
      <c r="EV1013" s="6"/>
      <c r="EW1013" s="6"/>
      <c r="EX1013" s="6"/>
      <c r="EY1013" s="6"/>
      <c r="EZ1013" s="6"/>
      <c r="FA1013" s="6"/>
      <c r="FB1013" s="6"/>
      <c r="FC1013" s="6"/>
      <c r="FD1013" s="6"/>
      <c r="FE1013" s="6"/>
      <c r="FF1013" s="6"/>
      <c r="FG1013" s="6"/>
      <c r="FH1013" s="6"/>
      <c r="FI1013" s="6"/>
      <c r="FJ1013" s="6"/>
      <c r="FK1013" s="6"/>
      <c r="FL1013" s="6"/>
      <c r="FM1013" s="6"/>
      <c r="FN1013" s="6"/>
      <c r="FO1013" s="6"/>
      <c r="FP1013" s="6"/>
      <c r="FQ1013" s="6"/>
      <c r="FR1013" s="6"/>
      <c r="FS1013" s="6"/>
      <c r="FT1013" s="6"/>
      <c r="FU1013" s="6"/>
      <c r="FV1013" s="6"/>
      <c r="FW1013" s="6"/>
      <c r="FX1013" s="6"/>
      <c r="FY1013" s="6"/>
      <c r="FZ1013" s="6"/>
      <c r="GA1013" s="6"/>
      <c r="GB1013" s="6"/>
      <c r="GC1013" s="6"/>
      <c r="GD1013" s="6"/>
      <c r="GE1013" s="6"/>
      <c r="GF1013" s="6"/>
      <c r="GG1013" s="6"/>
      <c r="GH1013" s="6"/>
      <c r="GI1013" s="6"/>
      <c r="GJ1013" s="6"/>
      <c r="GK1013" s="6"/>
      <c r="GL1013" s="6"/>
      <c r="GM1013" s="6"/>
      <c r="GN1013" s="6"/>
      <c r="GO1013" s="6"/>
      <c r="GP1013" s="6"/>
      <c r="GQ1013" s="6"/>
      <c r="GR1013" s="6"/>
      <c r="GS1013" s="6"/>
      <c r="GT1013" s="6"/>
      <c r="GU1013" s="6"/>
      <c r="GV1013" s="6"/>
      <c r="GW1013" s="6"/>
      <c r="GX1013" s="6"/>
      <c r="GY1013" s="6"/>
      <c r="GZ1013" s="6"/>
      <c r="HA1013" s="6"/>
      <c r="HB1013" s="6"/>
      <c r="HC1013" s="6"/>
      <c r="HD1013" s="6"/>
      <c r="HE1013" s="6"/>
      <c r="HF1013" s="6"/>
      <c r="HG1013" s="6"/>
      <c r="HH1013" s="6"/>
      <c r="HI1013" s="6"/>
      <c r="HJ1013" s="6"/>
      <c r="HK1013" s="6"/>
      <c r="HL1013" s="6"/>
      <c r="HM1013" s="6"/>
      <c r="HN1013" s="6"/>
      <c r="HO1013" s="6"/>
      <c r="HP1013" s="6"/>
      <c r="HQ1013" s="6"/>
      <c r="HR1013" s="6"/>
      <c r="HS1013" s="6"/>
      <c r="HT1013" s="6"/>
      <c r="HU1013" s="6"/>
      <c r="HV1013" s="6"/>
      <c r="HW1013" s="6"/>
      <c r="HX1013" s="6"/>
      <c r="HY1013" s="6"/>
      <c r="HZ1013" s="6"/>
      <c r="IA1013" s="6"/>
      <c r="IB1013" s="6"/>
      <c r="IC1013" s="6"/>
      <c r="ID1013" s="6"/>
      <c r="IE1013" s="6"/>
      <c r="IF1013" s="6"/>
      <c r="IG1013" s="6"/>
      <c r="IH1013" s="6"/>
      <c r="II1013" s="6"/>
      <c r="IJ1013" s="6"/>
      <c r="IK1013" s="6"/>
      <c r="IL1013" s="6"/>
      <c r="IM1013" s="6"/>
      <c r="IN1013" s="6"/>
      <c r="IO1013" s="6"/>
      <c r="IP1013" s="6"/>
      <c r="IQ1013" s="6"/>
      <c r="IR1013" s="6"/>
      <c r="IS1013" s="6"/>
      <c r="IT1013" s="6"/>
      <c r="IU1013" s="6"/>
      <c r="IV1013" s="6"/>
      <c r="IW1013" s="6"/>
      <c r="IX1013" s="6"/>
    </row>
    <row r="1014" spans="1:258" s="32" customFormat="1" ht="25.15" customHeight="1" x14ac:dyDescent="0.25">
      <c r="A1014" s="21" t="s">
        <v>1804</v>
      </c>
      <c r="B1014" s="24" t="s">
        <v>1204</v>
      </c>
      <c r="C1014" s="2">
        <f t="shared" si="258"/>
        <v>300000</v>
      </c>
      <c r="D1014" s="3">
        <f t="shared" si="259"/>
        <v>0</v>
      </c>
      <c r="E1014" s="3">
        <v>0</v>
      </c>
      <c r="F1014" s="3">
        <v>0</v>
      </c>
      <c r="G1014" s="3">
        <v>0</v>
      </c>
      <c r="H1014" s="3">
        <v>0</v>
      </c>
      <c r="I1014" s="3">
        <v>0</v>
      </c>
      <c r="J1014" s="3">
        <v>0</v>
      </c>
      <c r="K1014" s="4">
        <v>0</v>
      </c>
      <c r="L1014" s="3">
        <v>0</v>
      </c>
      <c r="M1014" s="13">
        <v>0</v>
      </c>
      <c r="N1014" s="3">
        <v>0</v>
      </c>
      <c r="O1014" s="3">
        <v>0</v>
      </c>
      <c r="P1014" s="3">
        <v>0</v>
      </c>
      <c r="Q1014" s="3">
        <v>0</v>
      </c>
      <c r="R1014" s="3">
        <v>0</v>
      </c>
      <c r="S1014" s="3">
        <v>0</v>
      </c>
      <c r="T1014" s="13">
        <v>0</v>
      </c>
      <c r="U1014" s="3">
        <v>300000</v>
      </c>
      <c r="V1014" s="5" t="e">
        <f t="shared" si="260"/>
        <v>#DIV/0!</v>
      </c>
      <c r="W1014" s="6"/>
      <c r="X1014" s="6"/>
      <c r="Y1014" s="6"/>
      <c r="Z1014" s="6"/>
      <c r="AA1014" s="6"/>
      <c r="AB1014" s="6"/>
      <c r="AC1014" s="6"/>
      <c r="AD1014" s="6"/>
      <c r="AE1014" s="6"/>
      <c r="AF1014" s="6"/>
      <c r="AG1014" s="6"/>
      <c r="AH1014" s="6"/>
      <c r="AI1014" s="6"/>
      <c r="AJ1014" s="6"/>
      <c r="AK1014" s="6"/>
      <c r="AL1014" s="6"/>
      <c r="AM1014" s="6"/>
      <c r="AN1014" s="6"/>
      <c r="AO1014" s="6"/>
      <c r="AP1014" s="6"/>
      <c r="AQ1014" s="6"/>
      <c r="AR1014" s="6"/>
      <c r="AS1014" s="6"/>
      <c r="AT1014" s="6"/>
      <c r="AU1014" s="6"/>
      <c r="AV1014" s="6"/>
      <c r="AW1014" s="6"/>
      <c r="AX1014" s="6"/>
      <c r="AY1014" s="6"/>
      <c r="AZ1014" s="6"/>
      <c r="BA1014" s="6"/>
      <c r="BB1014" s="6"/>
      <c r="BC1014" s="6"/>
      <c r="BD1014" s="6"/>
      <c r="BE1014" s="6"/>
      <c r="BF1014" s="6"/>
      <c r="BG1014" s="6"/>
      <c r="BH1014" s="6"/>
      <c r="BI1014" s="6"/>
      <c r="BJ1014" s="6"/>
      <c r="BK1014" s="6"/>
      <c r="BL1014" s="6"/>
      <c r="BM1014" s="6"/>
      <c r="BN1014" s="6"/>
      <c r="BO1014" s="6"/>
      <c r="BP1014" s="6"/>
      <c r="BQ1014" s="6"/>
      <c r="BR1014" s="6"/>
      <c r="BS1014" s="6"/>
      <c r="BT1014" s="6"/>
      <c r="BU1014" s="6"/>
      <c r="BV1014" s="6"/>
      <c r="BW1014" s="6"/>
      <c r="BX1014" s="6"/>
      <c r="BY1014" s="6"/>
      <c r="BZ1014" s="6"/>
      <c r="CA1014" s="6"/>
      <c r="CB1014" s="6"/>
      <c r="CC1014" s="6"/>
      <c r="CD1014" s="6"/>
      <c r="CE1014" s="6"/>
      <c r="CF1014" s="6"/>
      <c r="CG1014" s="6"/>
      <c r="CH1014" s="6"/>
      <c r="CI1014" s="6"/>
      <c r="CJ1014" s="6"/>
      <c r="CK1014" s="6"/>
      <c r="CL1014" s="6"/>
      <c r="CM1014" s="6"/>
      <c r="CN1014" s="6"/>
      <c r="CO1014" s="6"/>
      <c r="CP1014" s="6"/>
      <c r="CQ1014" s="6"/>
      <c r="CR1014" s="6"/>
      <c r="CS1014" s="6"/>
      <c r="CT1014" s="6"/>
      <c r="CU1014" s="6"/>
      <c r="CV1014" s="6"/>
      <c r="CW1014" s="6"/>
      <c r="CX1014" s="6"/>
      <c r="CY1014" s="6"/>
      <c r="CZ1014" s="6"/>
      <c r="DA1014" s="6"/>
      <c r="DB1014" s="6"/>
      <c r="DC1014" s="6"/>
      <c r="DD1014" s="6"/>
      <c r="DE1014" s="6"/>
      <c r="DF1014" s="6"/>
      <c r="DG1014" s="6"/>
      <c r="DH1014" s="6"/>
      <c r="DI1014" s="6"/>
      <c r="DJ1014" s="6"/>
      <c r="DK1014" s="6"/>
      <c r="DL1014" s="6"/>
      <c r="DM1014" s="6"/>
      <c r="DN1014" s="6"/>
      <c r="DO1014" s="6"/>
      <c r="DP1014" s="6"/>
      <c r="DQ1014" s="6"/>
      <c r="DR1014" s="6"/>
      <c r="DS1014" s="6"/>
      <c r="DT1014" s="6"/>
      <c r="DU1014" s="6"/>
      <c r="DV1014" s="6"/>
      <c r="DW1014" s="6"/>
      <c r="DX1014" s="6"/>
      <c r="DY1014" s="6"/>
      <c r="DZ1014" s="6"/>
      <c r="EA1014" s="6"/>
      <c r="EB1014" s="6"/>
      <c r="EC1014" s="6"/>
      <c r="ED1014" s="6"/>
      <c r="EE1014" s="6"/>
      <c r="EF1014" s="6"/>
      <c r="EG1014" s="6"/>
      <c r="EH1014" s="6"/>
      <c r="EI1014" s="6"/>
      <c r="EJ1014" s="6"/>
      <c r="EK1014" s="6"/>
      <c r="EL1014" s="6"/>
      <c r="EM1014" s="6"/>
      <c r="EN1014" s="6"/>
      <c r="EO1014" s="6"/>
      <c r="EP1014" s="6"/>
      <c r="EQ1014" s="6"/>
      <c r="ER1014" s="6"/>
      <c r="ES1014" s="6"/>
      <c r="ET1014" s="6"/>
      <c r="EU1014" s="6"/>
      <c r="EV1014" s="6"/>
      <c r="EW1014" s="6"/>
      <c r="EX1014" s="6"/>
      <c r="EY1014" s="6"/>
      <c r="EZ1014" s="6"/>
      <c r="FA1014" s="6"/>
      <c r="FB1014" s="6"/>
      <c r="FC1014" s="6"/>
      <c r="FD1014" s="6"/>
      <c r="FE1014" s="6"/>
      <c r="FF1014" s="6"/>
      <c r="FG1014" s="6"/>
      <c r="FH1014" s="6"/>
      <c r="FI1014" s="6"/>
      <c r="FJ1014" s="6"/>
      <c r="FK1014" s="6"/>
      <c r="FL1014" s="6"/>
      <c r="FM1014" s="6"/>
      <c r="FN1014" s="6"/>
      <c r="FO1014" s="6"/>
      <c r="FP1014" s="6"/>
      <c r="FQ1014" s="6"/>
      <c r="FR1014" s="6"/>
      <c r="FS1014" s="6"/>
      <c r="FT1014" s="6"/>
      <c r="FU1014" s="6"/>
      <c r="FV1014" s="6"/>
      <c r="FW1014" s="6"/>
      <c r="FX1014" s="6"/>
      <c r="FY1014" s="6"/>
      <c r="FZ1014" s="6"/>
      <c r="GA1014" s="6"/>
      <c r="GB1014" s="6"/>
      <c r="GC1014" s="6"/>
      <c r="GD1014" s="6"/>
      <c r="GE1014" s="6"/>
      <c r="GF1014" s="6"/>
      <c r="GG1014" s="6"/>
      <c r="GH1014" s="6"/>
      <c r="GI1014" s="6"/>
      <c r="GJ1014" s="6"/>
      <c r="GK1014" s="6"/>
      <c r="GL1014" s="6"/>
      <c r="GM1014" s="6"/>
      <c r="GN1014" s="6"/>
      <c r="GO1014" s="6"/>
      <c r="GP1014" s="6"/>
      <c r="GQ1014" s="6"/>
      <c r="GR1014" s="6"/>
      <c r="GS1014" s="6"/>
      <c r="GT1014" s="6"/>
      <c r="GU1014" s="6"/>
      <c r="GV1014" s="6"/>
      <c r="GW1014" s="6"/>
      <c r="GX1014" s="6"/>
      <c r="GY1014" s="6"/>
      <c r="GZ1014" s="6"/>
      <c r="HA1014" s="6"/>
      <c r="HB1014" s="6"/>
      <c r="HC1014" s="6"/>
      <c r="HD1014" s="6"/>
      <c r="HE1014" s="6"/>
      <c r="HF1014" s="6"/>
      <c r="HG1014" s="6"/>
      <c r="HH1014" s="6"/>
      <c r="HI1014" s="6"/>
      <c r="HJ1014" s="6"/>
      <c r="HK1014" s="6"/>
      <c r="HL1014" s="6"/>
      <c r="HM1014" s="6"/>
      <c r="HN1014" s="6"/>
      <c r="HO1014" s="6"/>
      <c r="HP1014" s="6"/>
      <c r="HQ1014" s="6"/>
      <c r="HR1014" s="6"/>
      <c r="HS1014" s="6"/>
      <c r="HT1014" s="6"/>
      <c r="HU1014" s="6"/>
      <c r="HV1014" s="6"/>
      <c r="HW1014" s="6"/>
      <c r="HX1014" s="6"/>
      <c r="HY1014" s="6"/>
      <c r="HZ1014" s="6"/>
      <c r="IA1014" s="6"/>
      <c r="IB1014" s="6"/>
      <c r="IC1014" s="6"/>
      <c r="ID1014" s="6"/>
      <c r="IE1014" s="6"/>
      <c r="IF1014" s="6"/>
      <c r="IG1014" s="6"/>
      <c r="IH1014" s="6"/>
      <c r="II1014" s="6"/>
      <c r="IJ1014" s="6"/>
      <c r="IK1014" s="6"/>
      <c r="IL1014" s="6"/>
      <c r="IM1014" s="6"/>
      <c r="IN1014" s="6"/>
      <c r="IO1014" s="6"/>
      <c r="IP1014" s="6"/>
      <c r="IQ1014" s="6"/>
      <c r="IR1014" s="6"/>
      <c r="IS1014" s="6"/>
      <c r="IT1014" s="6"/>
      <c r="IU1014" s="6"/>
      <c r="IV1014" s="6"/>
      <c r="IW1014" s="6"/>
      <c r="IX1014" s="6"/>
    </row>
    <row r="1015" spans="1:258" ht="25.15" customHeight="1" x14ac:dyDescent="0.25">
      <c r="A1015" s="21" t="s">
        <v>1805</v>
      </c>
      <c r="B1015" s="24" t="s">
        <v>358</v>
      </c>
      <c r="C1015" s="2">
        <f t="shared" si="258"/>
        <v>400000</v>
      </c>
      <c r="D1015" s="3">
        <f t="shared" si="259"/>
        <v>0</v>
      </c>
      <c r="E1015" s="3">
        <v>0</v>
      </c>
      <c r="F1015" s="3">
        <v>0</v>
      </c>
      <c r="G1015" s="3">
        <v>0</v>
      </c>
      <c r="H1015" s="3">
        <v>0</v>
      </c>
      <c r="I1015" s="3">
        <v>0</v>
      </c>
      <c r="J1015" s="3">
        <v>0</v>
      </c>
      <c r="K1015" s="4">
        <v>0</v>
      </c>
      <c r="L1015" s="3">
        <v>0</v>
      </c>
      <c r="M1015" s="3">
        <v>0</v>
      </c>
      <c r="N1015" s="3">
        <f>M1015*5500</f>
        <v>0</v>
      </c>
      <c r="O1015" s="3">
        <v>0</v>
      </c>
      <c r="P1015" s="3">
        <v>0</v>
      </c>
      <c r="Q1015" s="3">
        <v>0</v>
      </c>
      <c r="R1015" s="3">
        <v>0</v>
      </c>
      <c r="S1015" s="3">
        <v>0</v>
      </c>
      <c r="T1015" s="3">
        <v>0</v>
      </c>
      <c r="U1015" s="3">
        <v>400000</v>
      </c>
      <c r="V1015" s="5" t="e">
        <f t="shared" si="260"/>
        <v>#DIV/0!</v>
      </c>
    </row>
    <row r="1016" spans="1:258" s="32" customFormat="1" ht="25.15" customHeight="1" x14ac:dyDescent="0.25">
      <c r="A1016" s="21" t="s">
        <v>1816</v>
      </c>
      <c r="B1016" s="24" t="s">
        <v>1178</v>
      </c>
      <c r="C1016" s="2">
        <f t="shared" si="258"/>
        <v>11747463.51</v>
      </c>
      <c r="D1016" s="3">
        <f t="shared" si="259"/>
        <v>11084310</v>
      </c>
      <c r="E1016" s="3">
        <f>700*3694.77</f>
        <v>2586339</v>
      </c>
      <c r="F1016" s="3">
        <f>1300*3694.77</f>
        <v>4803201</v>
      </c>
      <c r="G1016" s="3">
        <f>300*3694.77</f>
        <v>1108431</v>
      </c>
      <c r="H1016" s="3">
        <f>400*3694.77</f>
        <v>1477908</v>
      </c>
      <c r="I1016" s="3">
        <f>300*3694.77</f>
        <v>1108431</v>
      </c>
      <c r="J1016" s="3">
        <v>0</v>
      </c>
      <c r="K1016" s="4">
        <v>0</v>
      </c>
      <c r="L1016" s="3">
        <v>0</v>
      </c>
      <c r="M1016" s="13">
        <v>0</v>
      </c>
      <c r="N1016" s="3">
        <v>0</v>
      </c>
      <c r="O1016" s="3">
        <v>0</v>
      </c>
      <c r="P1016" s="3">
        <v>0</v>
      </c>
      <c r="Q1016" s="3">
        <v>0</v>
      </c>
      <c r="R1016" s="3">
        <f t="shared" ref="R1016:R1030" si="263">Q1016*3200</f>
        <v>0</v>
      </c>
      <c r="S1016" s="3">
        <v>0</v>
      </c>
      <c r="T1016" s="13">
        <v>0</v>
      </c>
      <c r="U1016" s="3">
        <v>663153.51</v>
      </c>
      <c r="V1016" s="5" t="e">
        <f t="shared" si="260"/>
        <v>#DIV/0!</v>
      </c>
      <c r="W1016" s="6"/>
      <c r="X1016" s="6"/>
      <c r="Y1016" s="6"/>
      <c r="Z1016" s="6"/>
      <c r="AA1016" s="6"/>
      <c r="AB1016" s="6"/>
      <c r="AC1016" s="6"/>
      <c r="AD1016" s="6"/>
      <c r="AE1016" s="6"/>
      <c r="AF1016" s="6"/>
      <c r="AG1016" s="6"/>
      <c r="AH1016" s="6"/>
      <c r="AI1016" s="6"/>
      <c r="AJ1016" s="6"/>
      <c r="AK1016" s="6"/>
      <c r="AL1016" s="6"/>
      <c r="AM1016" s="6"/>
      <c r="AN1016" s="6"/>
      <c r="AO1016" s="6"/>
      <c r="AP1016" s="6"/>
      <c r="AQ1016" s="6"/>
      <c r="AR1016" s="6"/>
      <c r="AS1016" s="6"/>
      <c r="AT1016" s="6"/>
      <c r="AU1016" s="6"/>
      <c r="AV1016" s="6"/>
      <c r="AW1016" s="6"/>
      <c r="AX1016" s="6"/>
      <c r="AY1016" s="6"/>
      <c r="AZ1016" s="6"/>
      <c r="BA1016" s="6"/>
      <c r="BB1016" s="6"/>
      <c r="BC1016" s="6"/>
      <c r="BD1016" s="6"/>
      <c r="BE1016" s="6"/>
      <c r="BF1016" s="6"/>
      <c r="BG1016" s="6"/>
      <c r="BH1016" s="6"/>
      <c r="BI1016" s="6"/>
      <c r="BJ1016" s="6"/>
      <c r="BK1016" s="6"/>
      <c r="BL1016" s="6"/>
      <c r="BM1016" s="6"/>
      <c r="BN1016" s="6"/>
      <c r="BO1016" s="6"/>
      <c r="BP1016" s="6"/>
      <c r="BQ1016" s="6"/>
      <c r="BR1016" s="6"/>
      <c r="BS1016" s="6"/>
      <c r="BT1016" s="6"/>
      <c r="BU1016" s="6"/>
      <c r="BV1016" s="6"/>
      <c r="BW1016" s="6"/>
      <c r="BX1016" s="6"/>
      <c r="BY1016" s="6"/>
      <c r="BZ1016" s="6"/>
      <c r="CA1016" s="6"/>
      <c r="CB1016" s="6"/>
      <c r="CC1016" s="6"/>
      <c r="CD1016" s="6"/>
      <c r="CE1016" s="6"/>
      <c r="CF1016" s="6"/>
      <c r="CG1016" s="6"/>
      <c r="CH1016" s="6"/>
      <c r="CI1016" s="6"/>
      <c r="CJ1016" s="6"/>
      <c r="CK1016" s="6"/>
      <c r="CL1016" s="6"/>
      <c r="CM1016" s="6"/>
      <c r="CN1016" s="6"/>
      <c r="CO1016" s="6"/>
      <c r="CP1016" s="6"/>
      <c r="CQ1016" s="6"/>
      <c r="CR1016" s="6"/>
      <c r="CS1016" s="6"/>
      <c r="CT1016" s="6"/>
      <c r="CU1016" s="6"/>
      <c r="CV1016" s="6"/>
      <c r="CW1016" s="6"/>
      <c r="CX1016" s="6"/>
      <c r="CY1016" s="6"/>
      <c r="CZ1016" s="6"/>
      <c r="DA1016" s="6"/>
      <c r="DB1016" s="6"/>
      <c r="DC1016" s="6"/>
      <c r="DD1016" s="6"/>
      <c r="DE1016" s="6"/>
      <c r="DF1016" s="6"/>
      <c r="DG1016" s="6"/>
      <c r="DH1016" s="6"/>
      <c r="DI1016" s="6"/>
      <c r="DJ1016" s="6"/>
      <c r="DK1016" s="6"/>
      <c r="DL1016" s="6"/>
      <c r="DM1016" s="6"/>
      <c r="DN1016" s="6"/>
      <c r="DO1016" s="6"/>
      <c r="DP1016" s="6"/>
      <c r="DQ1016" s="6"/>
      <c r="DR1016" s="6"/>
      <c r="DS1016" s="6"/>
      <c r="DT1016" s="6"/>
      <c r="DU1016" s="6"/>
      <c r="DV1016" s="6"/>
      <c r="DW1016" s="6"/>
      <c r="DX1016" s="6"/>
      <c r="DY1016" s="6"/>
      <c r="DZ1016" s="6"/>
      <c r="EA1016" s="6"/>
      <c r="EB1016" s="6"/>
      <c r="EC1016" s="6"/>
      <c r="ED1016" s="6"/>
      <c r="EE1016" s="6"/>
      <c r="EF1016" s="6"/>
      <c r="EG1016" s="6"/>
      <c r="EH1016" s="6"/>
      <c r="EI1016" s="6"/>
      <c r="EJ1016" s="6"/>
      <c r="EK1016" s="6"/>
      <c r="EL1016" s="6"/>
      <c r="EM1016" s="6"/>
      <c r="EN1016" s="6"/>
      <c r="EO1016" s="6"/>
      <c r="EP1016" s="6"/>
      <c r="EQ1016" s="6"/>
      <c r="ER1016" s="6"/>
      <c r="ES1016" s="6"/>
      <c r="ET1016" s="6"/>
      <c r="EU1016" s="6"/>
      <c r="EV1016" s="6"/>
      <c r="EW1016" s="6"/>
      <c r="EX1016" s="6"/>
      <c r="EY1016" s="6"/>
      <c r="EZ1016" s="6"/>
      <c r="FA1016" s="6"/>
      <c r="FB1016" s="6"/>
      <c r="FC1016" s="6"/>
      <c r="FD1016" s="6"/>
      <c r="FE1016" s="6"/>
      <c r="FF1016" s="6"/>
      <c r="FG1016" s="6"/>
      <c r="FH1016" s="6"/>
      <c r="FI1016" s="6"/>
      <c r="FJ1016" s="6"/>
      <c r="FK1016" s="6"/>
      <c r="FL1016" s="6"/>
      <c r="FM1016" s="6"/>
      <c r="FN1016" s="6"/>
      <c r="FO1016" s="6"/>
      <c r="FP1016" s="6"/>
      <c r="FQ1016" s="6"/>
      <c r="FR1016" s="6"/>
      <c r="FS1016" s="6"/>
      <c r="FT1016" s="6"/>
      <c r="FU1016" s="6"/>
      <c r="FV1016" s="6"/>
      <c r="FW1016" s="6"/>
      <c r="FX1016" s="6"/>
      <c r="FY1016" s="6"/>
      <c r="FZ1016" s="6"/>
      <c r="GA1016" s="6"/>
      <c r="GB1016" s="6"/>
      <c r="GC1016" s="6"/>
      <c r="GD1016" s="6"/>
      <c r="GE1016" s="6"/>
      <c r="GF1016" s="6"/>
      <c r="GG1016" s="6"/>
      <c r="GH1016" s="6"/>
      <c r="GI1016" s="6"/>
      <c r="GJ1016" s="6"/>
      <c r="GK1016" s="6"/>
      <c r="GL1016" s="6"/>
      <c r="GM1016" s="6"/>
      <c r="GN1016" s="6"/>
      <c r="GO1016" s="6"/>
      <c r="GP1016" s="6"/>
      <c r="GQ1016" s="6"/>
      <c r="GR1016" s="6"/>
      <c r="GS1016" s="6"/>
      <c r="GT1016" s="6"/>
      <c r="GU1016" s="6"/>
      <c r="GV1016" s="6"/>
      <c r="GW1016" s="6"/>
      <c r="GX1016" s="6"/>
      <c r="GY1016" s="6"/>
      <c r="GZ1016" s="6"/>
      <c r="HA1016" s="6"/>
      <c r="HB1016" s="6"/>
      <c r="HC1016" s="6"/>
      <c r="HD1016" s="6"/>
      <c r="HE1016" s="6"/>
      <c r="HF1016" s="6"/>
      <c r="HG1016" s="6"/>
      <c r="HH1016" s="6"/>
      <c r="HI1016" s="6"/>
      <c r="HJ1016" s="6"/>
      <c r="HK1016" s="6"/>
      <c r="HL1016" s="6"/>
      <c r="HM1016" s="6"/>
      <c r="HN1016" s="6"/>
      <c r="HO1016" s="6"/>
      <c r="HP1016" s="6"/>
      <c r="HQ1016" s="6"/>
      <c r="HR1016" s="6"/>
      <c r="HS1016" s="6"/>
      <c r="HT1016" s="6"/>
      <c r="HU1016" s="6"/>
      <c r="HV1016" s="6"/>
      <c r="HW1016" s="6"/>
      <c r="HX1016" s="6"/>
      <c r="HY1016" s="6"/>
      <c r="HZ1016" s="6"/>
      <c r="IA1016" s="6"/>
      <c r="IB1016" s="6"/>
      <c r="IC1016" s="6"/>
      <c r="ID1016" s="6"/>
      <c r="IE1016" s="6"/>
      <c r="IF1016" s="6"/>
      <c r="IG1016" s="6"/>
      <c r="IH1016" s="6"/>
      <c r="II1016" s="6"/>
      <c r="IJ1016" s="6"/>
      <c r="IK1016" s="6"/>
      <c r="IL1016" s="6"/>
      <c r="IM1016" s="6"/>
      <c r="IN1016" s="6"/>
      <c r="IO1016" s="6"/>
      <c r="IP1016" s="6"/>
      <c r="IQ1016" s="6"/>
      <c r="IR1016" s="6"/>
      <c r="IS1016" s="6"/>
      <c r="IT1016" s="6"/>
      <c r="IU1016" s="6"/>
      <c r="IV1016" s="6"/>
      <c r="IW1016" s="6"/>
      <c r="IX1016" s="6"/>
    </row>
    <row r="1017" spans="1:258" ht="25.15" customHeight="1" x14ac:dyDescent="0.25">
      <c r="A1017" s="21" t="s">
        <v>1817</v>
      </c>
      <c r="B1017" s="24" t="s">
        <v>704</v>
      </c>
      <c r="C1017" s="2">
        <f t="shared" si="258"/>
        <v>131992218.79000001</v>
      </c>
      <c r="D1017" s="3">
        <f t="shared" si="259"/>
        <v>47609700</v>
      </c>
      <c r="E1017" s="3">
        <f>700*15869.9</f>
        <v>11108930</v>
      </c>
      <c r="F1017" s="3">
        <f>1300*15869.9</f>
        <v>20630870</v>
      </c>
      <c r="G1017" s="3">
        <f>300*15869.9</f>
        <v>4760970</v>
      </c>
      <c r="H1017" s="3">
        <f>400*15869.9</f>
        <v>6347960</v>
      </c>
      <c r="I1017" s="3">
        <f>300*15869.9</f>
        <v>4760970</v>
      </c>
      <c r="J1017" s="3">
        <v>0</v>
      </c>
      <c r="K1017" s="4">
        <v>0</v>
      </c>
      <c r="L1017" s="3">
        <v>0</v>
      </c>
      <c r="M1017" s="13">
        <v>7378</v>
      </c>
      <c r="N1017" s="3">
        <f>M1017*6600</f>
        <v>48694800</v>
      </c>
      <c r="O1017" s="3">
        <v>0</v>
      </c>
      <c r="P1017" s="3">
        <v>0</v>
      </c>
      <c r="Q1017" s="3">
        <v>10944</v>
      </c>
      <c r="R1017" s="3">
        <f t="shared" si="263"/>
        <v>35020800</v>
      </c>
      <c r="S1017" s="3">
        <v>0</v>
      </c>
      <c r="T1017" s="13">
        <v>0</v>
      </c>
      <c r="U1017" s="3">
        <v>666918.79</v>
      </c>
      <c r="V1017" s="5">
        <f t="shared" si="260"/>
        <v>6600</v>
      </c>
    </row>
    <row r="1018" spans="1:258" ht="25.15" customHeight="1" x14ac:dyDescent="0.25">
      <c r="A1018" s="21" t="s">
        <v>1818</v>
      </c>
      <c r="B1018" s="24" t="s">
        <v>789</v>
      </c>
      <c r="C1018" s="2">
        <f t="shared" si="258"/>
        <v>6686080</v>
      </c>
      <c r="D1018" s="3">
        <f t="shared" si="259"/>
        <v>0</v>
      </c>
      <c r="E1018" s="3">
        <v>0</v>
      </c>
      <c r="F1018" s="3">
        <v>0</v>
      </c>
      <c r="G1018" s="3">
        <v>0</v>
      </c>
      <c r="H1018" s="3">
        <v>0</v>
      </c>
      <c r="I1018" s="3">
        <v>0</v>
      </c>
      <c r="J1018" s="3">
        <v>0</v>
      </c>
      <c r="K1018" s="4">
        <v>0</v>
      </c>
      <c r="L1018" s="3">
        <v>0</v>
      </c>
      <c r="M1018" s="13">
        <v>0</v>
      </c>
      <c r="N1018" s="13">
        <v>0</v>
      </c>
      <c r="O1018" s="3">
        <v>0</v>
      </c>
      <c r="P1018" s="3">
        <v>0</v>
      </c>
      <c r="Q1018" s="3">
        <v>2089.4</v>
      </c>
      <c r="R1018" s="3">
        <f t="shared" si="263"/>
        <v>6686080</v>
      </c>
      <c r="S1018" s="3">
        <v>0</v>
      </c>
      <c r="T1018" s="13">
        <v>0</v>
      </c>
      <c r="U1018" s="3">
        <v>0</v>
      </c>
      <c r="V1018" s="5" t="e">
        <f t="shared" si="260"/>
        <v>#DIV/0!</v>
      </c>
    </row>
    <row r="1019" spans="1:258" ht="25.15" customHeight="1" x14ac:dyDescent="0.25">
      <c r="A1019" s="21" t="s">
        <v>1819</v>
      </c>
      <c r="B1019" s="24" t="s">
        <v>522</v>
      </c>
      <c r="C1019" s="2">
        <f t="shared" si="258"/>
        <v>3516479.9999999995</v>
      </c>
      <c r="D1019" s="3">
        <f t="shared" si="259"/>
        <v>0</v>
      </c>
      <c r="E1019" s="3">
        <v>0</v>
      </c>
      <c r="F1019" s="3">
        <v>0</v>
      </c>
      <c r="G1019" s="3">
        <v>0</v>
      </c>
      <c r="H1019" s="3">
        <v>0</v>
      </c>
      <c r="I1019" s="3">
        <v>0</v>
      </c>
      <c r="J1019" s="3">
        <v>0</v>
      </c>
      <c r="K1019" s="14">
        <v>0</v>
      </c>
      <c r="L1019" s="13">
        <v>0</v>
      </c>
      <c r="M1019" s="13">
        <v>532.79999999999995</v>
      </c>
      <c r="N1019" s="3">
        <f>M1019*6600</f>
        <v>3516479.9999999995</v>
      </c>
      <c r="O1019" s="13">
        <v>0</v>
      </c>
      <c r="P1019" s="13">
        <v>0</v>
      </c>
      <c r="Q1019" s="13">
        <v>0</v>
      </c>
      <c r="R1019" s="3">
        <f t="shared" si="263"/>
        <v>0</v>
      </c>
      <c r="S1019" s="13">
        <v>0</v>
      </c>
      <c r="T1019" s="13">
        <v>0</v>
      </c>
      <c r="U1019" s="13">
        <v>0</v>
      </c>
      <c r="V1019" s="5">
        <f t="shared" si="260"/>
        <v>6600</v>
      </c>
    </row>
    <row r="1020" spans="1:258" ht="25.15" customHeight="1" x14ac:dyDescent="0.25">
      <c r="A1020" s="21" t="s">
        <v>1820</v>
      </c>
      <c r="B1020" s="24" t="s">
        <v>775</v>
      </c>
      <c r="C1020" s="2">
        <f t="shared" si="258"/>
        <v>2131800</v>
      </c>
      <c r="D1020" s="3">
        <f t="shared" si="259"/>
        <v>0</v>
      </c>
      <c r="E1020" s="3">
        <v>0</v>
      </c>
      <c r="F1020" s="3">
        <v>0</v>
      </c>
      <c r="G1020" s="3">
        <v>0</v>
      </c>
      <c r="H1020" s="3">
        <v>0</v>
      </c>
      <c r="I1020" s="3">
        <v>0</v>
      </c>
      <c r="J1020" s="3">
        <v>0</v>
      </c>
      <c r="K1020" s="4">
        <v>0</v>
      </c>
      <c r="L1020" s="3">
        <v>0</v>
      </c>
      <c r="M1020" s="13">
        <v>323</v>
      </c>
      <c r="N1020" s="3">
        <f>M1020*6600</f>
        <v>2131800</v>
      </c>
      <c r="O1020" s="3">
        <v>0</v>
      </c>
      <c r="P1020" s="3">
        <v>0</v>
      </c>
      <c r="Q1020" s="3">
        <v>0</v>
      </c>
      <c r="R1020" s="3">
        <f t="shared" si="263"/>
        <v>0</v>
      </c>
      <c r="S1020" s="3">
        <v>0</v>
      </c>
      <c r="T1020" s="13">
        <v>0</v>
      </c>
      <c r="U1020" s="3">
        <v>0</v>
      </c>
      <c r="V1020" s="5">
        <f t="shared" si="260"/>
        <v>6600</v>
      </c>
    </row>
    <row r="1021" spans="1:258" ht="25.15" customHeight="1" x14ac:dyDescent="0.25">
      <c r="A1021" s="21" t="s">
        <v>1821</v>
      </c>
      <c r="B1021" s="27" t="s">
        <v>523</v>
      </c>
      <c r="C1021" s="2">
        <f t="shared" si="258"/>
        <v>1848000</v>
      </c>
      <c r="D1021" s="3">
        <f t="shared" si="259"/>
        <v>0</v>
      </c>
      <c r="E1021" s="3">
        <v>0</v>
      </c>
      <c r="F1021" s="3">
        <v>0</v>
      </c>
      <c r="G1021" s="3">
        <v>0</v>
      </c>
      <c r="H1021" s="3">
        <v>0</v>
      </c>
      <c r="I1021" s="3">
        <v>0</v>
      </c>
      <c r="J1021" s="3">
        <v>0</v>
      </c>
      <c r="K1021" s="14">
        <v>0</v>
      </c>
      <c r="L1021" s="13">
        <v>0</v>
      </c>
      <c r="M1021" s="13">
        <v>280</v>
      </c>
      <c r="N1021" s="3">
        <f>M1021*6600</f>
        <v>1848000</v>
      </c>
      <c r="O1021" s="13">
        <v>0</v>
      </c>
      <c r="P1021" s="13">
        <v>0</v>
      </c>
      <c r="Q1021" s="13">
        <v>0</v>
      </c>
      <c r="R1021" s="3">
        <f t="shared" si="263"/>
        <v>0</v>
      </c>
      <c r="S1021" s="13">
        <v>0</v>
      </c>
      <c r="T1021" s="13">
        <v>0</v>
      </c>
      <c r="U1021" s="13">
        <v>0</v>
      </c>
      <c r="V1021" s="5">
        <f t="shared" si="260"/>
        <v>6600</v>
      </c>
    </row>
    <row r="1022" spans="1:258" ht="25.15" customHeight="1" x14ac:dyDescent="0.25">
      <c r="A1022" s="21" t="s">
        <v>1822</v>
      </c>
      <c r="B1022" s="27" t="s">
        <v>705</v>
      </c>
      <c r="C1022" s="2">
        <f t="shared" si="258"/>
        <v>1859880</v>
      </c>
      <c r="D1022" s="3">
        <f t="shared" si="259"/>
        <v>0</v>
      </c>
      <c r="E1022" s="3">
        <v>0</v>
      </c>
      <c r="F1022" s="3">
        <v>0</v>
      </c>
      <c r="G1022" s="3">
        <v>0</v>
      </c>
      <c r="H1022" s="3">
        <v>0</v>
      </c>
      <c r="I1022" s="3">
        <v>0</v>
      </c>
      <c r="J1022" s="3">
        <v>0</v>
      </c>
      <c r="K1022" s="4">
        <v>0</v>
      </c>
      <c r="L1022" s="3">
        <v>0</v>
      </c>
      <c r="M1022" s="13">
        <v>281.8</v>
      </c>
      <c r="N1022" s="3">
        <f>M1022*6600</f>
        <v>1859880</v>
      </c>
      <c r="O1022" s="3">
        <v>0</v>
      </c>
      <c r="P1022" s="3">
        <v>0</v>
      </c>
      <c r="Q1022" s="3">
        <v>0</v>
      </c>
      <c r="R1022" s="3">
        <f t="shared" si="263"/>
        <v>0</v>
      </c>
      <c r="S1022" s="3">
        <v>0</v>
      </c>
      <c r="T1022" s="13">
        <v>0</v>
      </c>
      <c r="U1022" s="3">
        <v>0</v>
      </c>
      <c r="V1022" s="5">
        <f t="shared" si="260"/>
        <v>6600</v>
      </c>
    </row>
    <row r="1023" spans="1:258" ht="25.15" customHeight="1" x14ac:dyDescent="0.25">
      <c r="A1023" s="21" t="s">
        <v>1823</v>
      </c>
      <c r="B1023" s="24" t="s">
        <v>446</v>
      </c>
      <c r="C1023" s="2">
        <f t="shared" si="258"/>
        <v>14689000</v>
      </c>
      <c r="D1023" s="3">
        <f t="shared" si="259"/>
        <v>14589000</v>
      </c>
      <c r="E1023" s="3">
        <f>700*4863</f>
        <v>3404100</v>
      </c>
      <c r="F1023" s="3">
        <f>1300*4863</f>
        <v>6321900</v>
      </c>
      <c r="G1023" s="3">
        <f>300*4863</f>
        <v>1458900</v>
      </c>
      <c r="H1023" s="3">
        <f>400*4863</f>
        <v>1945200</v>
      </c>
      <c r="I1023" s="3">
        <f>300*4863</f>
        <v>1458900</v>
      </c>
      <c r="J1023" s="3">
        <v>0</v>
      </c>
      <c r="K1023" s="4">
        <v>0</v>
      </c>
      <c r="L1023" s="3">
        <v>0</v>
      </c>
      <c r="M1023" s="3">
        <v>0</v>
      </c>
      <c r="N1023" s="3">
        <v>0</v>
      </c>
      <c r="O1023" s="3">
        <v>0</v>
      </c>
      <c r="P1023" s="3">
        <v>0</v>
      </c>
      <c r="Q1023" s="3">
        <v>0</v>
      </c>
      <c r="R1023" s="3">
        <f t="shared" si="263"/>
        <v>0</v>
      </c>
      <c r="S1023" s="3">
        <v>0</v>
      </c>
      <c r="T1023" s="13">
        <v>0</v>
      </c>
      <c r="U1023" s="3">
        <v>100000</v>
      </c>
      <c r="V1023" s="5" t="e">
        <f t="shared" si="260"/>
        <v>#DIV/0!</v>
      </c>
    </row>
    <row r="1024" spans="1:258" ht="25.15" customHeight="1" x14ac:dyDescent="0.25">
      <c r="A1024" s="21" t="s">
        <v>1824</v>
      </c>
      <c r="B1024" s="24" t="s">
        <v>432</v>
      </c>
      <c r="C1024" s="2">
        <f t="shared" si="258"/>
        <v>24707500</v>
      </c>
      <c r="D1024" s="3">
        <f t="shared" si="259"/>
        <v>24607500</v>
      </c>
      <c r="E1024" s="3">
        <f>700*8202.5</f>
        <v>5741750</v>
      </c>
      <c r="F1024" s="3">
        <f>1300*8202.5</f>
        <v>10663250</v>
      </c>
      <c r="G1024" s="3">
        <f>300*8202.5</f>
        <v>2460750</v>
      </c>
      <c r="H1024" s="3">
        <f>400*8202.5</f>
        <v>3281000</v>
      </c>
      <c r="I1024" s="3">
        <f>300*8202.5</f>
        <v>2460750</v>
      </c>
      <c r="J1024" s="3">
        <v>0</v>
      </c>
      <c r="K1024" s="4">
        <v>0</v>
      </c>
      <c r="L1024" s="3">
        <v>0</v>
      </c>
      <c r="M1024" s="3">
        <v>0</v>
      </c>
      <c r="N1024" s="3">
        <v>0</v>
      </c>
      <c r="O1024" s="3">
        <v>0</v>
      </c>
      <c r="P1024" s="3">
        <v>0</v>
      </c>
      <c r="Q1024" s="3">
        <v>0</v>
      </c>
      <c r="R1024" s="3">
        <f t="shared" si="263"/>
        <v>0</v>
      </c>
      <c r="S1024" s="3">
        <v>0</v>
      </c>
      <c r="T1024" s="13">
        <v>0</v>
      </c>
      <c r="U1024" s="3">
        <v>100000</v>
      </c>
      <c r="V1024" s="5" t="e">
        <f t="shared" si="260"/>
        <v>#DIV/0!</v>
      </c>
    </row>
    <row r="1025" spans="1:258" ht="25.15" customHeight="1" x14ac:dyDescent="0.25">
      <c r="A1025" s="21" t="s">
        <v>1825</v>
      </c>
      <c r="B1025" s="24" t="s">
        <v>706</v>
      </c>
      <c r="C1025" s="2">
        <f t="shared" si="258"/>
        <v>3346200</v>
      </c>
      <c r="D1025" s="3">
        <f t="shared" si="259"/>
        <v>0</v>
      </c>
      <c r="E1025" s="3">
        <v>0</v>
      </c>
      <c r="F1025" s="3">
        <v>0</v>
      </c>
      <c r="G1025" s="3">
        <v>0</v>
      </c>
      <c r="H1025" s="3">
        <v>0</v>
      </c>
      <c r="I1025" s="3">
        <v>0</v>
      </c>
      <c r="J1025" s="3">
        <v>0</v>
      </c>
      <c r="K1025" s="4">
        <v>0</v>
      </c>
      <c r="L1025" s="3">
        <v>0</v>
      </c>
      <c r="M1025" s="3">
        <v>507</v>
      </c>
      <c r="N1025" s="3">
        <f>M1025*6600</f>
        <v>3346200</v>
      </c>
      <c r="O1025" s="3">
        <v>0</v>
      </c>
      <c r="P1025" s="3">
        <v>0</v>
      </c>
      <c r="Q1025" s="3">
        <v>0</v>
      </c>
      <c r="R1025" s="3">
        <f t="shared" si="263"/>
        <v>0</v>
      </c>
      <c r="S1025" s="3">
        <v>0</v>
      </c>
      <c r="T1025" s="13">
        <v>0</v>
      </c>
      <c r="U1025" s="3">
        <v>0</v>
      </c>
      <c r="V1025" s="5">
        <f t="shared" si="260"/>
        <v>6600</v>
      </c>
    </row>
    <row r="1026" spans="1:258" ht="25.15" customHeight="1" x14ac:dyDescent="0.25">
      <c r="A1026" s="21" t="s">
        <v>1826</v>
      </c>
      <c r="B1026" s="24" t="s">
        <v>776</v>
      </c>
      <c r="C1026" s="2">
        <f t="shared" si="258"/>
        <v>300000</v>
      </c>
      <c r="D1026" s="3">
        <f t="shared" si="259"/>
        <v>0</v>
      </c>
      <c r="E1026" s="3">
        <v>0</v>
      </c>
      <c r="F1026" s="3">
        <v>0</v>
      </c>
      <c r="G1026" s="3">
        <v>0</v>
      </c>
      <c r="H1026" s="3">
        <v>0</v>
      </c>
      <c r="I1026" s="3">
        <v>0</v>
      </c>
      <c r="J1026" s="3">
        <v>0</v>
      </c>
      <c r="K1026" s="4">
        <v>0</v>
      </c>
      <c r="L1026" s="3">
        <v>0</v>
      </c>
      <c r="M1026" s="13">
        <v>0</v>
      </c>
      <c r="N1026" s="3">
        <v>0</v>
      </c>
      <c r="O1026" s="3">
        <v>0</v>
      </c>
      <c r="P1026" s="3">
        <v>0</v>
      </c>
      <c r="Q1026" s="3">
        <v>0</v>
      </c>
      <c r="R1026" s="3">
        <f t="shared" si="263"/>
        <v>0</v>
      </c>
      <c r="S1026" s="3">
        <v>0</v>
      </c>
      <c r="T1026" s="13">
        <v>0</v>
      </c>
      <c r="U1026" s="3">
        <v>300000</v>
      </c>
      <c r="V1026" s="5" t="e">
        <f t="shared" si="260"/>
        <v>#DIV/0!</v>
      </c>
    </row>
    <row r="1027" spans="1:258" s="31" customFormat="1" ht="25.15" customHeight="1" x14ac:dyDescent="0.25">
      <c r="A1027" s="21" t="s">
        <v>1827</v>
      </c>
      <c r="B1027" s="24" t="s">
        <v>707</v>
      </c>
      <c r="C1027" s="2">
        <f t="shared" si="258"/>
        <v>1841400</v>
      </c>
      <c r="D1027" s="3">
        <f t="shared" si="259"/>
        <v>0</v>
      </c>
      <c r="E1027" s="3">
        <v>0</v>
      </c>
      <c r="F1027" s="3">
        <v>0</v>
      </c>
      <c r="G1027" s="3">
        <v>0</v>
      </c>
      <c r="H1027" s="3">
        <v>0</v>
      </c>
      <c r="I1027" s="3">
        <v>0</v>
      </c>
      <c r="J1027" s="3">
        <v>0</v>
      </c>
      <c r="K1027" s="4">
        <v>0</v>
      </c>
      <c r="L1027" s="3">
        <v>0</v>
      </c>
      <c r="M1027" s="13">
        <v>279</v>
      </c>
      <c r="N1027" s="3">
        <f t="shared" ref="N1027:N1038" si="264">M1027*6600</f>
        <v>1841400</v>
      </c>
      <c r="O1027" s="3">
        <v>0</v>
      </c>
      <c r="P1027" s="3">
        <v>0</v>
      </c>
      <c r="Q1027" s="3">
        <v>0</v>
      </c>
      <c r="R1027" s="3">
        <f t="shared" si="263"/>
        <v>0</v>
      </c>
      <c r="S1027" s="3">
        <v>0</v>
      </c>
      <c r="T1027" s="13">
        <v>0</v>
      </c>
      <c r="U1027" s="3">
        <v>0</v>
      </c>
      <c r="V1027" s="5">
        <f t="shared" si="260"/>
        <v>6600</v>
      </c>
      <c r="W1027" s="6"/>
      <c r="X1027" s="6"/>
      <c r="Y1027" s="6"/>
      <c r="Z1027" s="6"/>
      <c r="AA1027" s="6"/>
      <c r="AB1027" s="6"/>
      <c r="AC1027" s="6"/>
      <c r="AD1027" s="6"/>
      <c r="AE1027" s="6"/>
      <c r="AF1027" s="6"/>
      <c r="AG1027" s="6"/>
      <c r="AH1027" s="6"/>
      <c r="AI1027" s="6"/>
      <c r="AJ1027" s="6"/>
      <c r="AK1027" s="6"/>
      <c r="AL1027" s="6"/>
      <c r="AM1027" s="6"/>
      <c r="AN1027" s="6"/>
      <c r="AO1027" s="6"/>
      <c r="AP1027" s="6"/>
      <c r="AQ1027" s="6"/>
      <c r="AR1027" s="6"/>
      <c r="AS1027" s="6"/>
      <c r="AT1027" s="6"/>
      <c r="AU1027" s="6"/>
      <c r="AV1027" s="6"/>
      <c r="AW1027" s="6"/>
      <c r="AX1027" s="6"/>
      <c r="AY1027" s="6"/>
      <c r="AZ1027" s="6"/>
      <c r="BA1027" s="6"/>
      <c r="BB1027" s="6"/>
      <c r="BC1027" s="6"/>
      <c r="BD1027" s="6"/>
      <c r="BE1027" s="6"/>
      <c r="BF1027" s="6"/>
      <c r="BG1027" s="6"/>
      <c r="BH1027" s="6"/>
      <c r="BI1027" s="6"/>
      <c r="BJ1027" s="6"/>
      <c r="BK1027" s="6"/>
      <c r="BL1027" s="6"/>
      <c r="BM1027" s="6"/>
      <c r="BN1027" s="6"/>
      <c r="BO1027" s="6"/>
      <c r="BP1027" s="6"/>
      <c r="BQ1027" s="6"/>
      <c r="BR1027" s="6"/>
      <c r="BS1027" s="6"/>
      <c r="BT1027" s="6"/>
      <c r="BU1027" s="6"/>
      <c r="BV1027" s="6"/>
      <c r="BW1027" s="6"/>
      <c r="BX1027" s="6"/>
      <c r="BY1027" s="6"/>
      <c r="BZ1027" s="6"/>
      <c r="CA1027" s="6"/>
      <c r="CB1027" s="6"/>
      <c r="CC1027" s="6"/>
      <c r="CD1027" s="6"/>
      <c r="CE1027" s="6"/>
      <c r="CF1027" s="6"/>
      <c r="CG1027" s="6"/>
      <c r="CH1027" s="6"/>
      <c r="CI1027" s="6"/>
      <c r="CJ1027" s="6"/>
      <c r="CK1027" s="6"/>
      <c r="CL1027" s="6"/>
      <c r="CM1027" s="6"/>
      <c r="CN1027" s="6"/>
      <c r="CO1027" s="6"/>
      <c r="CP1027" s="6"/>
      <c r="CQ1027" s="6"/>
      <c r="CR1027" s="6"/>
      <c r="CS1027" s="6"/>
      <c r="CT1027" s="6"/>
      <c r="CU1027" s="6"/>
      <c r="CV1027" s="6"/>
      <c r="CW1027" s="6"/>
      <c r="CX1027" s="6"/>
      <c r="CY1027" s="6"/>
      <c r="CZ1027" s="6"/>
      <c r="DA1027" s="6"/>
      <c r="DB1027" s="6"/>
      <c r="DC1027" s="6"/>
      <c r="DD1027" s="6"/>
      <c r="DE1027" s="6"/>
      <c r="DF1027" s="6"/>
      <c r="DG1027" s="6"/>
      <c r="DH1027" s="6"/>
      <c r="DI1027" s="6"/>
      <c r="DJ1027" s="6"/>
      <c r="DK1027" s="6"/>
      <c r="DL1027" s="6"/>
      <c r="DM1027" s="6"/>
      <c r="DN1027" s="6"/>
      <c r="DO1027" s="6"/>
      <c r="DP1027" s="6"/>
      <c r="DQ1027" s="6"/>
      <c r="DR1027" s="6"/>
      <c r="DS1027" s="6"/>
      <c r="DT1027" s="6"/>
      <c r="DU1027" s="6"/>
      <c r="DV1027" s="6"/>
      <c r="DW1027" s="6"/>
      <c r="DX1027" s="6"/>
      <c r="DY1027" s="6"/>
      <c r="DZ1027" s="6"/>
      <c r="EA1027" s="6"/>
      <c r="EB1027" s="6"/>
      <c r="EC1027" s="6"/>
      <c r="ED1027" s="6"/>
      <c r="EE1027" s="6"/>
      <c r="EF1027" s="6"/>
      <c r="EG1027" s="6"/>
      <c r="EH1027" s="6"/>
      <c r="EI1027" s="6"/>
      <c r="EJ1027" s="6"/>
      <c r="EK1027" s="6"/>
      <c r="EL1027" s="6"/>
      <c r="EM1027" s="6"/>
      <c r="EN1027" s="6"/>
      <c r="EO1027" s="6"/>
      <c r="EP1027" s="6"/>
      <c r="EQ1027" s="6"/>
      <c r="ER1027" s="6"/>
      <c r="ES1027" s="6"/>
      <c r="ET1027" s="6"/>
      <c r="EU1027" s="6"/>
      <c r="EV1027" s="6"/>
      <c r="EW1027" s="6"/>
      <c r="EX1027" s="6"/>
      <c r="EY1027" s="6"/>
      <c r="EZ1027" s="6"/>
      <c r="FA1027" s="6"/>
      <c r="FB1027" s="6"/>
      <c r="FC1027" s="6"/>
      <c r="FD1027" s="6"/>
      <c r="FE1027" s="6"/>
      <c r="FF1027" s="6"/>
      <c r="FG1027" s="6"/>
      <c r="FH1027" s="6"/>
      <c r="FI1027" s="6"/>
      <c r="FJ1027" s="6"/>
      <c r="FK1027" s="6"/>
      <c r="FL1027" s="6"/>
      <c r="FM1027" s="6"/>
      <c r="FN1027" s="6"/>
      <c r="FO1027" s="6"/>
      <c r="FP1027" s="6"/>
      <c r="FQ1027" s="6"/>
      <c r="FR1027" s="6"/>
      <c r="FS1027" s="6"/>
      <c r="FT1027" s="6"/>
      <c r="FU1027" s="6"/>
      <c r="FV1027" s="6"/>
      <c r="FW1027" s="6"/>
      <c r="FX1027" s="6"/>
      <c r="FY1027" s="6"/>
      <c r="FZ1027" s="6"/>
      <c r="GA1027" s="6"/>
      <c r="GB1027" s="6"/>
      <c r="GC1027" s="6"/>
      <c r="GD1027" s="6"/>
      <c r="GE1027" s="6"/>
      <c r="GF1027" s="6"/>
      <c r="GG1027" s="6"/>
      <c r="GH1027" s="6"/>
      <c r="GI1027" s="6"/>
      <c r="GJ1027" s="6"/>
      <c r="GK1027" s="6"/>
      <c r="GL1027" s="6"/>
      <c r="GM1027" s="6"/>
      <c r="GN1027" s="6"/>
      <c r="GO1027" s="6"/>
      <c r="GP1027" s="6"/>
      <c r="GQ1027" s="6"/>
      <c r="GR1027" s="6"/>
      <c r="GS1027" s="6"/>
      <c r="GT1027" s="6"/>
      <c r="GU1027" s="6"/>
      <c r="GV1027" s="6"/>
      <c r="GW1027" s="6"/>
      <c r="GX1027" s="6"/>
      <c r="GY1027" s="6"/>
      <c r="GZ1027" s="6"/>
      <c r="HA1027" s="6"/>
      <c r="HB1027" s="6"/>
      <c r="HC1027" s="6"/>
      <c r="HD1027" s="6"/>
      <c r="HE1027" s="6"/>
      <c r="HF1027" s="6"/>
      <c r="HG1027" s="6"/>
      <c r="HH1027" s="6"/>
      <c r="HI1027" s="6"/>
      <c r="HJ1027" s="6"/>
      <c r="HK1027" s="6"/>
      <c r="HL1027" s="6"/>
      <c r="HM1027" s="6"/>
      <c r="HN1027" s="6"/>
      <c r="HO1027" s="6"/>
      <c r="HP1027" s="6"/>
      <c r="HQ1027" s="6"/>
      <c r="HR1027" s="6"/>
      <c r="HS1027" s="6"/>
      <c r="HT1027" s="6"/>
      <c r="HU1027" s="6"/>
      <c r="HV1027" s="6"/>
      <c r="HW1027" s="6"/>
      <c r="HX1027" s="6"/>
      <c r="HY1027" s="6"/>
      <c r="HZ1027" s="6"/>
      <c r="IA1027" s="6"/>
      <c r="IB1027" s="6"/>
      <c r="IC1027" s="6"/>
      <c r="ID1027" s="6"/>
      <c r="IE1027" s="6"/>
      <c r="IF1027" s="6"/>
      <c r="IG1027" s="6"/>
      <c r="IH1027" s="6"/>
      <c r="II1027" s="6"/>
      <c r="IJ1027" s="6"/>
      <c r="IK1027" s="6"/>
      <c r="IL1027" s="6"/>
      <c r="IM1027" s="6"/>
      <c r="IN1027" s="6"/>
      <c r="IO1027" s="6"/>
      <c r="IP1027" s="6"/>
      <c r="IQ1027" s="6"/>
      <c r="IR1027" s="6"/>
      <c r="IS1027" s="6"/>
      <c r="IT1027" s="6"/>
      <c r="IU1027" s="6"/>
      <c r="IV1027" s="6"/>
      <c r="IW1027" s="6"/>
      <c r="IX1027" s="6"/>
    </row>
    <row r="1028" spans="1:258" ht="25.15" customHeight="1" x14ac:dyDescent="0.25">
      <c r="A1028" s="21" t="s">
        <v>1828</v>
      </c>
      <c r="B1028" s="24" t="s">
        <v>708</v>
      </c>
      <c r="C1028" s="2">
        <f t="shared" si="258"/>
        <v>3633302</v>
      </c>
      <c r="D1028" s="3">
        <f t="shared" si="259"/>
        <v>437502</v>
      </c>
      <c r="E1028" s="3">
        <f>700*336.54</f>
        <v>235578</v>
      </c>
      <c r="F1028" s="3">
        <v>0</v>
      </c>
      <c r="G1028" s="3">
        <f>300*336.54</f>
        <v>100962</v>
      </c>
      <c r="H1028" s="3">
        <v>0</v>
      </c>
      <c r="I1028" s="3">
        <f>300*336.54</f>
        <v>100962</v>
      </c>
      <c r="J1028" s="3">
        <v>0</v>
      </c>
      <c r="K1028" s="4">
        <v>0</v>
      </c>
      <c r="L1028" s="3">
        <v>0</v>
      </c>
      <c r="M1028" s="13">
        <v>279</v>
      </c>
      <c r="N1028" s="3">
        <f t="shared" si="264"/>
        <v>1841400</v>
      </c>
      <c r="O1028" s="3">
        <v>0</v>
      </c>
      <c r="P1028" s="3">
        <v>0</v>
      </c>
      <c r="Q1028" s="3">
        <v>392</v>
      </c>
      <c r="R1028" s="3">
        <f t="shared" si="263"/>
        <v>1254400</v>
      </c>
      <c r="S1028" s="3">
        <v>0</v>
      </c>
      <c r="T1028" s="13">
        <v>0</v>
      </c>
      <c r="U1028" s="3">
        <v>100000</v>
      </c>
      <c r="V1028" s="5">
        <f t="shared" si="260"/>
        <v>6600</v>
      </c>
    </row>
    <row r="1029" spans="1:258" ht="25.15" customHeight="1" x14ac:dyDescent="0.25">
      <c r="A1029" s="21" t="s">
        <v>1829</v>
      </c>
      <c r="B1029" s="27" t="s">
        <v>777</v>
      </c>
      <c r="C1029" s="2">
        <f t="shared" si="258"/>
        <v>6204000</v>
      </c>
      <c r="D1029" s="3">
        <f t="shared" si="259"/>
        <v>0</v>
      </c>
      <c r="E1029" s="3">
        <v>0</v>
      </c>
      <c r="F1029" s="3">
        <v>0</v>
      </c>
      <c r="G1029" s="3">
        <v>0</v>
      </c>
      <c r="H1029" s="3">
        <v>0</v>
      </c>
      <c r="I1029" s="3">
        <v>0</v>
      </c>
      <c r="J1029" s="3">
        <v>0</v>
      </c>
      <c r="K1029" s="4">
        <v>0</v>
      </c>
      <c r="L1029" s="3">
        <v>0</v>
      </c>
      <c r="M1029" s="13">
        <v>940</v>
      </c>
      <c r="N1029" s="3">
        <f t="shared" si="264"/>
        <v>6204000</v>
      </c>
      <c r="O1029" s="3">
        <v>0</v>
      </c>
      <c r="P1029" s="3">
        <v>0</v>
      </c>
      <c r="Q1029" s="3">
        <v>0</v>
      </c>
      <c r="R1029" s="3">
        <f t="shared" si="263"/>
        <v>0</v>
      </c>
      <c r="S1029" s="3">
        <v>0</v>
      </c>
      <c r="T1029" s="13">
        <v>0</v>
      </c>
      <c r="U1029" s="3">
        <v>0</v>
      </c>
      <c r="V1029" s="5">
        <f t="shared" si="260"/>
        <v>6600</v>
      </c>
    </row>
    <row r="1030" spans="1:258" ht="25.15" customHeight="1" x14ac:dyDescent="0.25">
      <c r="A1030" s="21" t="s">
        <v>1830</v>
      </c>
      <c r="B1030" s="27" t="s">
        <v>778</v>
      </c>
      <c r="C1030" s="2">
        <f t="shared" si="258"/>
        <v>6237000</v>
      </c>
      <c r="D1030" s="3">
        <f t="shared" si="259"/>
        <v>0</v>
      </c>
      <c r="E1030" s="3">
        <v>0</v>
      </c>
      <c r="F1030" s="3">
        <v>0</v>
      </c>
      <c r="G1030" s="3">
        <v>0</v>
      </c>
      <c r="H1030" s="3">
        <v>0</v>
      </c>
      <c r="I1030" s="3">
        <v>0</v>
      </c>
      <c r="J1030" s="3">
        <v>0</v>
      </c>
      <c r="K1030" s="4">
        <v>0</v>
      </c>
      <c r="L1030" s="3">
        <v>0</v>
      </c>
      <c r="M1030" s="13">
        <v>945</v>
      </c>
      <c r="N1030" s="3">
        <f t="shared" si="264"/>
        <v>6237000</v>
      </c>
      <c r="O1030" s="3">
        <v>0</v>
      </c>
      <c r="P1030" s="3">
        <v>0</v>
      </c>
      <c r="Q1030" s="3">
        <v>0</v>
      </c>
      <c r="R1030" s="3">
        <f t="shared" si="263"/>
        <v>0</v>
      </c>
      <c r="S1030" s="3">
        <v>0</v>
      </c>
      <c r="T1030" s="13">
        <v>0</v>
      </c>
      <c r="U1030" s="3">
        <v>0</v>
      </c>
      <c r="V1030" s="5">
        <f t="shared" si="260"/>
        <v>6600</v>
      </c>
    </row>
    <row r="1031" spans="1:258" ht="25.15" customHeight="1" x14ac:dyDescent="0.25">
      <c r="A1031" s="21" t="s">
        <v>1831</v>
      </c>
      <c r="B1031" s="24" t="s">
        <v>616</v>
      </c>
      <c r="C1031" s="2">
        <f t="shared" si="258"/>
        <v>4871380</v>
      </c>
      <c r="D1031" s="3">
        <f t="shared" si="259"/>
        <v>0</v>
      </c>
      <c r="E1031" s="3">
        <v>0</v>
      </c>
      <c r="F1031" s="3">
        <v>0</v>
      </c>
      <c r="G1031" s="3">
        <v>0</v>
      </c>
      <c r="H1031" s="3">
        <v>0</v>
      </c>
      <c r="I1031" s="3">
        <v>0</v>
      </c>
      <c r="J1031" s="3">
        <v>0</v>
      </c>
      <c r="K1031" s="14">
        <v>0</v>
      </c>
      <c r="L1031" s="13">
        <v>0</v>
      </c>
      <c r="M1031" s="13">
        <v>609.29999999999995</v>
      </c>
      <c r="N1031" s="3">
        <f t="shared" si="264"/>
        <v>4021379.9999999995</v>
      </c>
      <c r="O1031" s="13">
        <v>0</v>
      </c>
      <c r="P1031" s="13">
        <v>0</v>
      </c>
      <c r="Q1031" s="13">
        <v>0</v>
      </c>
      <c r="R1031" s="3">
        <f>Q1031*3000</f>
        <v>0</v>
      </c>
      <c r="S1031" s="13">
        <v>0</v>
      </c>
      <c r="T1031" s="13">
        <v>0</v>
      </c>
      <c r="U1031" s="13">
        <v>850000</v>
      </c>
      <c r="V1031" s="5">
        <f t="shared" si="260"/>
        <v>6600</v>
      </c>
    </row>
    <row r="1032" spans="1:258" ht="25.15" customHeight="1" x14ac:dyDescent="0.25">
      <c r="A1032" s="21" t="s">
        <v>1832</v>
      </c>
      <c r="B1032" s="28" t="s">
        <v>853</v>
      </c>
      <c r="C1032" s="2">
        <f t="shared" si="258"/>
        <v>2060454</v>
      </c>
      <c r="D1032" s="3">
        <f t="shared" si="259"/>
        <v>0</v>
      </c>
      <c r="E1032" s="3">
        <v>0</v>
      </c>
      <c r="F1032" s="3">
        <v>0</v>
      </c>
      <c r="G1032" s="3">
        <v>0</v>
      </c>
      <c r="H1032" s="3">
        <v>0</v>
      </c>
      <c r="I1032" s="3">
        <v>0</v>
      </c>
      <c r="J1032" s="3">
        <v>0</v>
      </c>
      <c r="K1032" s="4">
        <v>0</v>
      </c>
      <c r="L1032" s="3">
        <v>0</v>
      </c>
      <c r="M1032" s="3">
        <v>312.19</v>
      </c>
      <c r="N1032" s="3">
        <f t="shared" si="264"/>
        <v>2060454</v>
      </c>
      <c r="O1032" s="3">
        <v>0</v>
      </c>
      <c r="P1032" s="3">
        <v>0</v>
      </c>
      <c r="Q1032" s="3">
        <v>0</v>
      </c>
      <c r="R1032" s="3">
        <v>0</v>
      </c>
      <c r="S1032" s="3">
        <v>0</v>
      </c>
      <c r="T1032" s="3">
        <v>0</v>
      </c>
      <c r="U1032" s="3">
        <v>0</v>
      </c>
      <c r="V1032" s="5">
        <f t="shared" si="260"/>
        <v>6600</v>
      </c>
    </row>
    <row r="1033" spans="1:258" ht="25.15" customHeight="1" x14ac:dyDescent="0.25">
      <c r="A1033" s="21" t="s">
        <v>1833</v>
      </c>
      <c r="B1033" s="24" t="s">
        <v>779</v>
      </c>
      <c r="C1033" s="2">
        <f t="shared" si="258"/>
        <v>1993200</v>
      </c>
      <c r="D1033" s="3">
        <f t="shared" si="259"/>
        <v>0</v>
      </c>
      <c r="E1033" s="3">
        <v>0</v>
      </c>
      <c r="F1033" s="3">
        <v>0</v>
      </c>
      <c r="G1033" s="3">
        <v>0</v>
      </c>
      <c r="H1033" s="3">
        <v>0</v>
      </c>
      <c r="I1033" s="3">
        <v>0</v>
      </c>
      <c r="J1033" s="3">
        <v>0</v>
      </c>
      <c r="K1033" s="4">
        <v>0</v>
      </c>
      <c r="L1033" s="3">
        <v>0</v>
      </c>
      <c r="M1033" s="13">
        <v>302</v>
      </c>
      <c r="N1033" s="3">
        <f t="shared" si="264"/>
        <v>1993200</v>
      </c>
      <c r="O1033" s="3">
        <v>0</v>
      </c>
      <c r="P1033" s="3">
        <v>0</v>
      </c>
      <c r="Q1033" s="3">
        <v>0</v>
      </c>
      <c r="R1033" s="3">
        <f>Q1033*3200</f>
        <v>0</v>
      </c>
      <c r="S1033" s="3">
        <v>0</v>
      </c>
      <c r="T1033" s="13">
        <v>0</v>
      </c>
      <c r="U1033" s="3">
        <v>0</v>
      </c>
      <c r="V1033" s="5">
        <f t="shared" si="260"/>
        <v>6600</v>
      </c>
    </row>
    <row r="1034" spans="1:258" ht="25.15" customHeight="1" x14ac:dyDescent="0.25">
      <c r="A1034" s="21" t="s">
        <v>1834</v>
      </c>
      <c r="B1034" s="24" t="s">
        <v>709</v>
      </c>
      <c r="C1034" s="2">
        <f t="shared" si="258"/>
        <v>1907400</v>
      </c>
      <c r="D1034" s="3">
        <f t="shared" si="259"/>
        <v>0</v>
      </c>
      <c r="E1034" s="3">
        <v>0</v>
      </c>
      <c r="F1034" s="3">
        <v>0</v>
      </c>
      <c r="G1034" s="3">
        <v>0</v>
      </c>
      <c r="H1034" s="3">
        <v>0</v>
      </c>
      <c r="I1034" s="3">
        <v>0</v>
      </c>
      <c r="J1034" s="3">
        <v>0</v>
      </c>
      <c r="K1034" s="4">
        <v>0</v>
      </c>
      <c r="L1034" s="3">
        <v>0</v>
      </c>
      <c r="M1034" s="13">
        <v>289</v>
      </c>
      <c r="N1034" s="3">
        <f t="shared" si="264"/>
        <v>1907400</v>
      </c>
      <c r="O1034" s="3">
        <v>0</v>
      </c>
      <c r="P1034" s="3">
        <v>0</v>
      </c>
      <c r="Q1034" s="3">
        <v>0</v>
      </c>
      <c r="R1034" s="3">
        <f>Q1034*3200</f>
        <v>0</v>
      </c>
      <c r="S1034" s="3">
        <v>0</v>
      </c>
      <c r="T1034" s="13">
        <v>0</v>
      </c>
      <c r="U1034" s="3">
        <v>0</v>
      </c>
      <c r="V1034" s="5">
        <f t="shared" si="260"/>
        <v>6600</v>
      </c>
    </row>
    <row r="1035" spans="1:258" ht="25.15" customHeight="1" x14ac:dyDescent="0.25">
      <c r="A1035" s="21" t="s">
        <v>1835</v>
      </c>
      <c r="B1035" s="24" t="s">
        <v>780</v>
      </c>
      <c r="C1035" s="2">
        <f t="shared" si="258"/>
        <v>1907400</v>
      </c>
      <c r="D1035" s="3">
        <f t="shared" si="259"/>
        <v>0</v>
      </c>
      <c r="E1035" s="3">
        <v>0</v>
      </c>
      <c r="F1035" s="3">
        <v>0</v>
      </c>
      <c r="G1035" s="3">
        <v>0</v>
      </c>
      <c r="H1035" s="3">
        <v>0</v>
      </c>
      <c r="I1035" s="3">
        <v>0</v>
      </c>
      <c r="J1035" s="3">
        <v>0</v>
      </c>
      <c r="K1035" s="4">
        <v>0</v>
      </c>
      <c r="L1035" s="3">
        <v>0</v>
      </c>
      <c r="M1035" s="13">
        <v>289</v>
      </c>
      <c r="N1035" s="3">
        <f t="shared" si="264"/>
        <v>1907400</v>
      </c>
      <c r="O1035" s="3">
        <v>0</v>
      </c>
      <c r="P1035" s="3">
        <v>0</v>
      </c>
      <c r="Q1035" s="3">
        <v>0</v>
      </c>
      <c r="R1035" s="3">
        <f>Q1035*3200</f>
        <v>0</v>
      </c>
      <c r="S1035" s="3">
        <v>0</v>
      </c>
      <c r="T1035" s="13">
        <v>0</v>
      </c>
      <c r="U1035" s="3">
        <v>0</v>
      </c>
      <c r="V1035" s="5">
        <f t="shared" si="260"/>
        <v>6600</v>
      </c>
    </row>
    <row r="1036" spans="1:258" ht="25.15" customHeight="1" x14ac:dyDescent="0.25">
      <c r="A1036" s="21" t="s">
        <v>1979</v>
      </c>
      <c r="B1036" s="24" t="s">
        <v>781</v>
      </c>
      <c r="C1036" s="2">
        <f t="shared" si="258"/>
        <v>1907400</v>
      </c>
      <c r="D1036" s="3">
        <f t="shared" si="259"/>
        <v>0</v>
      </c>
      <c r="E1036" s="3">
        <v>0</v>
      </c>
      <c r="F1036" s="3">
        <v>0</v>
      </c>
      <c r="G1036" s="3">
        <v>0</v>
      </c>
      <c r="H1036" s="3">
        <v>0</v>
      </c>
      <c r="I1036" s="3">
        <v>0</v>
      </c>
      <c r="J1036" s="3">
        <v>0</v>
      </c>
      <c r="K1036" s="4">
        <v>0</v>
      </c>
      <c r="L1036" s="3">
        <v>0</v>
      </c>
      <c r="M1036" s="13">
        <v>289</v>
      </c>
      <c r="N1036" s="3">
        <f t="shared" si="264"/>
        <v>1907400</v>
      </c>
      <c r="O1036" s="3">
        <v>0</v>
      </c>
      <c r="P1036" s="3">
        <v>0</v>
      </c>
      <c r="Q1036" s="3">
        <v>0</v>
      </c>
      <c r="R1036" s="3">
        <f>Q1036*3200</f>
        <v>0</v>
      </c>
      <c r="S1036" s="3">
        <v>0</v>
      </c>
      <c r="T1036" s="13">
        <v>0</v>
      </c>
      <c r="U1036" s="3">
        <v>0</v>
      </c>
      <c r="V1036" s="5">
        <f t="shared" si="260"/>
        <v>6600</v>
      </c>
    </row>
    <row r="1037" spans="1:258" ht="25.15" customHeight="1" x14ac:dyDescent="0.25">
      <c r="A1037" s="21" t="s">
        <v>1836</v>
      </c>
      <c r="B1037" s="24" t="s">
        <v>710</v>
      </c>
      <c r="C1037" s="2">
        <f t="shared" si="258"/>
        <v>2590500</v>
      </c>
      <c r="D1037" s="3">
        <f t="shared" si="259"/>
        <v>0</v>
      </c>
      <c r="E1037" s="3">
        <v>0</v>
      </c>
      <c r="F1037" s="3">
        <v>0</v>
      </c>
      <c r="G1037" s="3">
        <v>0</v>
      </c>
      <c r="H1037" s="3">
        <v>0</v>
      </c>
      <c r="I1037" s="3">
        <v>0</v>
      </c>
      <c r="J1037" s="3">
        <v>0</v>
      </c>
      <c r="K1037" s="4">
        <v>0</v>
      </c>
      <c r="L1037" s="3">
        <v>0</v>
      </c>
      <c r="M1037" s="3">
        <v>392.5</v>
      </c>
      <c r="N1037" s="3">
        <f t="shared" si="264"/>
        <v>2590500</v>
      </c>
      <c r="O1037" s="3">
        <v>0</v>
      </c>
      <c r="P1037" s="3">
        <v>0</v>
      </c>
      <c r="Q1037" s="3">
        <v>0</v>
      </c>
      <c r="R1037" s="3">
        <f>Q1037*3200</f>
        <v>0</v>
      </c>
      <c r="S1037" s="3">
        <v>0</v>
      </c>
      <c r="T1037" s="13">
        <v>0</v>
      </c>
      <c r="U1037" s="3">
        <v>0</v>
      </c>
      <c r="V1037" s="5">
        <f t="shared" si="260"/>
        <v>6600</v>
      </c>
    </row>
    <row r="1038" spans="1:258" ht="25.15" customHeight="1" x14ac:dyDescent="0.25">
      <c r="A1038" s="21" t="s">
        <v>1837</v>
      </c>
      <c r="B1038" s="28" t="s">
        <v>1201</v>
      </c>
      <c r="C1038" s="2">
        <f t="shared" si="258"/>
        <v>4554000</v>
      </c>
      <c r="D1038" s="3">
        <f t="shared" si="259"/>
        <v>0</v>
      </c>
      <c r="E1038" s="3">
        <v>0</v>
      </c>
      <c r="F1038" s="3">
        <v>0</v>
      </c>
      <c r="G1038" s="3">
        <v>0</v>
      </c>
      <c r="H1038" s="3">
        <v>0</v>
      </c>
      <c r="I1038" s="3">
        <v>0</v>
      </c>
      <c r="J1038" s="3">
        <v>0</v>
      </c>
      <c r="K1038" s="4">
        <v>0</v>
      </c>
      <c r="L1038" s="3">
        <v>0</v>
      </c>
      <c r="M1038" s="3">
        <v>690</v>
      </c>
      <c r="N1038" s="3">
        <f t="shared" si="264"/>
        <v>4554000</v>
      </c>
      <c r="O1038" s="3">
        <v>0</v>
      </c>
      <c r="P1038" s="3">
        <v>0</v>
      </c>
      <c r="Q1038" s="3">
        <v>0</v>
      </c>
      <c r="R1038" s="3">
        <v>0</v>
      </c>
      <c r="S1038" s="3">
        <v>0</v>
      </c>
      <c r="T1038" s="3">
        <v>0</v>
      </c>
      <c r="U1038" s="3">
        <v>0</v>
      </c>
      <c r="V1038" s="5">
        <f t="shared" si="260"/>
        <v>6600</v>
      </c>
    </row>
    <row r="1039" spans="1:258" ht="25.15" customHeight="1" x14ac:dyDescent="0.25">
      <c r="A1039" s="21" t="s">
        <v>1980</v>
      </c>
      <c r="B1039" s="24" t="s">
        <v>782</v>
      </c>
      <c r="C1039" s="2">
        <f t="shared" si="258"/>
        <v>3026000</v>
      </c>
      <c r="D1039" s="3">
        <f t="shared" si="259"/>
        <v>0</v>
      </c>
      <c r="E1039" s="3">
        <v>0</v>
      </c>
      <c r="F1039" s="3">
        <v>0</v>
      </c>
      <c r="G1039" s="3">
        <v>0</v>
      </c>
      <c r="H1039" s="3">
        <v>0</v>
      </c>
      <c r="I1039" s="3">
        <v>0</v>
      </c>
      <c r="J1039" s="3">
        <v>0</v>
      </c>
      <c r="K1039" s="4">
        <v>0</v>
      </c>
      <c r="L1039" s="3">
        <v>0</v>
      </c>
      <c r="M1039" s="13">
        <v>680</v>
      </c>
      <c r="N1039" s="3">
        <f>M1039*4450</f>
        <v>3026000</v>
      </c>
      <c r="O1039" s="3">
        <v>0</v>
      </c>
      <c r="P1039" s="3">
        <v>0</v>
      </c>
      <c r="Q1039" s="3">
        <v>0</v>
      </c>
      <c r="R1039" s="3">
        <f t="shared" ref="R1039:R1050" si="265">Q1039*3200</f>
        <v>0</v>
      </c>
      <c r="S1039" s="3">
        <v>0</v>
      </c>
      <c r="T1039" s="13">
        <v>0</v>
      </c>
      <c r="U1039" s="3">
        <v>0</v>
      </c>
      <c r="V1039" s="5">
        <f t="shared" si="260"/>
        <v>4450</v>
      </c>
    </row>
    <row r="1040" spans="1:258" ht="25.15" customHeight="1" x14ac:dyDescent="0.25">
      <c r="A1040" s="21" t="s">
        <v>1838</v>
      </c>
      <c r="B1040" s="24" t="s">
        <v>715</v>
      </c>
      <c r="C1040" s="2">
        <f t="shared" si="258"/>
        <v>6108960</v>
      </c>
      <c r="D1040" s="3">
        <f t="shared" si="259"/>
        <v>0</v>
      </c>
      <c r="E1040" s="3">
        <v>0</v>
      </c>
      <c r="F1040" s="3">
        <v>0</v>
      </c>
      <c r="G1040" s="3">
        <v>0</v>
      </c>
      <c r="H1040" s="3">
        <v>0</v>
      </c>
      <c r="I1040" s="3">
        <v>0</v>
      </c>
      <c r="J1040" s="3">
        <v>0</v>
      </c>
      <c r="K1040" s="4">
        <v>0</v>
      </c>
      <c r="L1040" s="3">
        <v>0</v>
      </c>
      <c r="M1040" s="13">
        <v>1372.8</v>
      </c>
      <c r="N1040" s="3">
        <f>M1040*4450</f>
        <v>6108960</v>
      </c>
      <c r="O1040" s="3">
        <v>0</v>
      </c>
      <c r="P1040" s="3">
        <v>0</v>
      </c>
      <c r="Q1040" s="3">
        <v>0</v>
      </c>
      <c r="R1040" s="3">
        <f t="shared" si="265"/>
        <v>0</v>
      </c>
      <c r="S1040" s="3">
        <v>0</v>
      </c>
      <c r="T1040" s="13">
        <v>0</v>
      </c>
      <c r="U1040" s="3">
        <v>0</v>
      </c>
      <c r="V1040" s="5">
        <f t="shared" si="260"/>
        <v>4450</v>
      </c>
    </row>
    <row r="1041" spans="1:258" ht="25.15" customHeight="1" x14ac:dyDescent="0.25">
      <c r="A1041" s="21" t="s">
        <v>1839</v>
      </c>
      <c r="B1041" s="24" t="s">
        <v>711</v>
      </c>
      <c r="C1041" s="2">
        <f t="shared" si="258"/>
        <v>4125000</v>
      </c>
      <c r="D1041" s="3">
        <f t="shared" si="259"/>
        <v>0</v>
      </c>
      <c r="E1041" s="3">
        <v>0</v>
      </c>
      <c r="F1041" s="3">
        <v>0</v>
      </c>
      <c r="G1041" s="3">
        <v>0</v>
      </c>
      <c r="H1041" s="3">
        <v>0</v>
      </c>
      <c r="I1041" s="3">
        <v>0</v>
      </c>
      <c r="J1041" s="3">
        <v>0</v>
      </c>
      <c r="K1041" s="4">
        <v>0</v>
      </c>
      <c r="L1041" s="3">
        <v>0</v>
      </c>
      <c r="M1041" s="13">
        <v>625</v>
      </c>
      <c r="N1041" s="3">
        <f t="shared" ref="N1041:N1050" si="266">M1041*6600</f>
        <v>4125000</v>
      </c>
      <c r="O1041" s="3">
        <v>0</v>
      </c>
      <c r="P1041" s="3">
        <v>0</v>
      </c>
      <c r="Q1041" s="3">
        <v>0</v>
      </c>
      <c r="R1041" s="3">
        <f t="shared" si="265"/>
        <v>0</v>
      </c>
      <c r="S1041" s="3">
        <v>0</v>
      </c>
      <c r="T1041" s="13">
        <v>0</v>
      </c>
      <c r="U1041" s="3">
        <v>0</v>
      </c>
      <c r="V1041" s="5">
        <f t="shared" si="260"/>
        <v>6600</v>
      </c>
    </row>
    <row r="1042" spans="1:258" ht="25.15" customHeight="1" x14ac:dyDescent="0.25">
      <c r="A1042" s="21" t="s">
        <v>1840</v>
      </c>
      <c r="B1042" s="24" t="s">
        <v>712</v>
      </c>
      <c r="C1042" s="2">
        <f t="shared" si="258"/>
        <v>300000</v>
      </c>
      <c r="D1042" s="3">
        <f t="shared" si="259"/>
        <v>0</v>
      </c>
      <c r="E1042" s="3">
        <v>0</v>
      </c>
      <c r="F1042" s="3">
        <v>0</v>
      </c>
      <c r="G1042" s="3">
        <v>0</v>
      </c>
      <c r="H1042" s="3">
        <v>0</v>
      </c>
      <c r="I1042" s="3">
        <v>0</v>
      </c>
      <c r="J1042" s="3">
        <v>0</v>
      </c>
      <c r="K1042" s="4">
        <v>0</v>
      </c>
      <c r="L1042" s="3">
        <v>0</v>
      </c>
      <c r="M1042" s="3">
        <v>0</v>
      </c>
      <c r="N1042" s="3">
        <f t="shared" si="266"/>
        <v>0</v>
      </c>
      <c r="O1042" s="3">
        <v>0</v>
      </c>
      <c r="P1042" s="3">
        <v>0</v>
      </c>
      <c r="Q1042" s="3">
        <v>0</v>
      </c>
      <c r="R1042" s="3">
        <f t="shared" si="265"/>
        <v>0</v>
      </c>
      <c r="S1042" s="3">
        <v>0</v>
      </c>
      <c r="T1042" s="13">
        <v>0</v>
      </c>
      <c r="U1042" s="3">
        <v>300000</v>
      </c>
      <c r="V1042" s="5" t="e">
        <f t="shared" si="260"/>
        <v>#DIV/0!</v>
      </c>
    </row>
    <row r="1043" spans="1:258" ht="25.15" customHeight="1" x14ac:dyDescent="0.25">
      <c r="A1043" s="21" t="s">
        <v>1841</v>
      </c>
      <c r="B1043" s="24" t="s">
        <v>713</v>
      </c>
      <c r="C1043" s="2">
        <f t="shared" si="258"/>
        <v>1750320</v>
      </c>
      <c r="D1043" s="3">
        <f t="shared" si="259"/>
        <v>0</v>
      </c>
      <c r="E1043" s="3">
        <v>0</v>
      </c>
      <c r="F1043" s="3">
        <v>0</v>
      </c>
      <c r="G1043" s="3">
        <v>0</v>
      </c>
      <c r="H1043" s="3">
        <v>0</v>
      </c>
      <c r="I1043" s="3">
        <v>0</v>
      </c>
      <c r="J1043" s="3">
        <v>0</v>
      </c>
      <c r="K1043" s="4">
        <v>0</v>
      </c>
      <c r="L1043" s="3">
        <v>0</v>
      </c>
      <c r="M1043" s="13">
        <v>265.2</v>
      </c>
      <c r="N1043" s="3">
        <f t="shared" si="266"/>
        <v>1750320</v>
      </c>
      <c r="O1043" s="3">
        <v>0</v>
      </c>
      <c r="P1043" s="3">
        <v>0</v>
      </c>
      <c r="Q1043" s="3">
        <v>0</v>
      </c>
      <c r="R1043" s="3">
        <f t="shared" si="265"/>
        <v>0</v>
      </c>
      <c r="S1043" s="3">
        <v>0</v>
      </c>
      <c r="T1043" s="13">
        <v>0</v>
      </c>
      <c r="U1043" s="3">
        <v>0</v>
      </c>
      <c r="V1043" s="5">
        <f t="shared" si="260"/>
        <v>6600</v>
      </c>
      <c r="W1043" s="5"/>
      <c r="X1043" s="5"/>
      <c r="Y1043" s="5"/>
      <c r="Z1043" s="5"/>
      <c r="AA1043" s="5"/>
      <c r="AB1043" s="5"/>
      <c r="AC1043" s="5"/>
      <c r="AD1043" s="5"/>
      <c r="AE1043" s="5"/>
      <c r="AF1043" s="5"/>
      <c r="AG1043" s="5"/>
      <c r="AH1043" s="5"/>
      <c r="AI1043" s="5"/>
      <c r="AJ1043" s="5"/>
      <c r="AK1043" s="5"/>
      <c r="AL1043" s="5"/>
      <c r="AM1043" s="5"/>
      <c r="AN1043" s="5"/>
      <c r="AO1043" s="5"/>
      <c r="AP1043" s="5"/>
      <c r="AQ1043" s="5"/>
      <c r="AR1043" s="5"/>
      <c r="AS1043" s="5"/>
      <c r="AT1043" s="5"/>
      <c r="AU1043" s="5"/>
      <c r="AV1043" s="5"/>
      <c r="AW1043" s="5"/>
      <c r="AX1043" s="5"/>
      <c r="AY1043" s="5"/>
      <c r="AZ1043" s="5"/>
      <c r="BA1043" s="5"/>
      <c r="BB1043" s="5"/>
      <c r="BC1043" s="5"/>
      <c r="BD1043" s="5"/>
      <c r="BE1043" s="5"/>
      <c r="BF1043" s="5"/>
      <c r="BG1043" s="5"/>
      <c r="BH1043" s="5"/>
      <c r="BI1043" s="5"/>
      <c r="BJ1043" s="5"/>
      <c r="BK1043" s="5"/>
      <c r="BL1043" s="5"/>
      <c r="BM1043" s="5"/>
      <c r="BN1043" s="5"/>
      <c r="BO1043" s="5"/>
      <c r="BP1043" s="5"/>
      <c r="BQ1043" s="5"/>
      <c r="BR1043" s="5"/>
      <c r="BS1043" s="5"/>
      <c r="BT1043" s="5"/>
      <c r="BU1043" s="5"/>
      <c r="BV1043" s="5"/>
      <c r="BW1043" s="5"/>
      <c r="BX1043" s="5"/>
      <c r="BY1043" s="5"/>
      <c r="BZ1043" s="5"/>
      <c r="CA1043" s="5"/>
      <c r="CB1043" s="5"/>
      <c r="CC1043" s="5"/>
      <c r="CD1043" s="5"/>
      <c r="CE1043" s="5"/>
      <c r="CF1043" s="5"/>
      <c r="CG1043" s="5"/>
      <c r="CH1043" s="5"/>
      <c r="CI1043" s="5"/>
      <c r="CJ1043" s="5"/>
      <c r="CK1043" s="5"/>
      <c r="CL1043" s="5"/>
      <c r="CM1043" s="5"/>
      <c r="CN1043" s="5"/>
      <c r="CO1043" s="5"/>
      <c r="CP1043" s="5"/>
      <c r="CQ1043" s="5"/>
      <c r="CR1043" s="5"/>
      <c r="CS1043" s="5"/>
      <c r="CT1043" s="5"/>
      <c r="CU1043" s="5"/>
      <c r="CV1043" s="5"/>
      <c r="CW1043" s="5"/>
      <c r="CX1043" s="5"/>
      <c r="CY1043" s="5"/>
      <c r="CZ1043" s="5"/>
      <c r="DA1043" s="5"/>
      <c r="DB1043" s="5"/>
      <c r="DC1043" s="5"/>
      <c r="DD1043" s="5"/>
      <c r="DE1043" s="5"/>
      <c r="DF1043" s="5"/>
      <c r="DG1043" s="5"/>
      <c r="DH1043" s="5"/>
      <c r="DI1043" s="5"/>
      <c r="DJ1043" s="5"/>
      <c r="DK1043" s="5"/>
      <c r="DL1043" s="5"/>
      <c r="DM1043" s="5"/>
      <c r="DN1043" s="5"/>
      <c r="DO1043" s="5"/>
      <c r="DP1043" s="5"/>
      <c r="DQ1043" s="5"/>
      <c r="DR1043" s="5"/>
      <c r="DS1043" s="5"/>
      <c r="DT1043" s="5"/>
      <c r="DU1043" s="5"/>
      <c r="DV1043" s="5"/>
      <c r="DW1043" s="5"/>
      <c r="DX1043" s="5"/>
      <c r="DY1043" s="5"/>
      <c r="DZ1043" s="5"/>
      <c r="EA1043" s="5"/>
      <c r="EB1043" s="5"/>
      <c r="EC1043" s="5"/>
      <c r="ED1043" s="5"/>
      <c r="EE1043" s="5"/>
      <c r="EF1043" s="5"/>
      <c r="EG1043" s="5"/>
      <c r="EH1043" s="5"/>
      <c r="EI1043" s="5"/>
      <c r="EJ1043" s="5"/>
      <c r="EK1043" s="5"/>
      <c r="EL1043" s="5"/>
      <c r="EM1043" s="5"/>
      <c r="EN1043" s="5"/>
      <c r="EO1043" s="5"/>
      <c r="EP1043" s="5"/>
      <c r="EQ1043" s="5"/>
      <c r="ER1043" s="5"/>
      <c r="ES1043" s="5"/>
      <c r="ET1043" s="5"/>
      <c r="EU1043" s="5"/>
      <c r="EV1043" s="5"/>
      <c r="EW1043" s="5"/>
      <c r="EX1043" s="5"/>
      <c r="EY1043" s="5"/>
      <c r="EZ1043" s="5"/>
      <c r="FA1043" s="5"/>
      <c r="FB1043" s="5"/>
      <c r="FC1043" s="5"/>
      <c r="FD1043" s="5"/>
      <c r="FE1043" s="5"/>
      <c r="FF1043" s="5"/>
      <c r="FG1043" s="5"/>
      <c r="FH1043" s="5"/>
      <c r="FI1043" s="5"/>
      <c r="FJ1043" s="5"/>
      <c r="FK1043" s="5"/>
      <c r="FL1043" s="5"/>
      <c r="FM1043" s="5"/>
      <c r="FN1043" s="5"/>
      <c r="FO1043" s="5"/>
      <c r="FP1043" s="5"/>
      <c r="FQ1043" s="5"/>
      <c r="FR1043" s="5"/>
      <c r="FS1043" s="5"/>
      <c r="FT1043" s="5"/>
      <c r="FU1043" s="5"/>
      <c r="FV1043" s="5"/>
      <c r="FW1043" s="5"/>
      <c r="FX1043" s="5"/>
      <c r="FY1043" s="5"/>
      <c r="FZ1043" s="5"/>
      <c r="GA1043" s="5"/>
      <c r="GB1043" s="5"/>
      <c r="GC1043" s="5"/>
      <c r="GD1043" s="5"/>
      <c r="GE1043" s="5"/>
      <c r="GF1043" s="5"/>
      <c r="GG1043" s="5"/>
      <c r="GH1043" s="5"/>
      <c r="GI1043" s="5"/>
      <c r="GJ1043" s="5"/>
      <c r="GK1043" s="5"/>
      <c r="GL1043" s="5"/>
      <c r="GM1043" s="5"/>
      <c r="GN1043" s="5"/>
      <c r="GO1043" s="5"/>
      <c r="GP1043" s="5"/>
      <c r="GQ1043" s="5"/>
      <c r="GR1043" s="5"/>
      <c r="GS1043" s="5"/>
      <c r="GT1043" s="5"/>
      <c r="GU1043" s="5"/>
      <c r="GV1043" s="5"/>
      <c r="GW1043" s="5"/>
      <c r="GX1043" s="5"/>
      <c r="GY1043" s="5"/>
      <c r="GZ1043" s="5"/>
      <c r="HA1043" s="5"/>
      <c r="HB1043" s="5"/>
      <c r="HC1043" s="5"/>
      <c r="HD1043" s="5"/>
      <c r="HE1043" s="5"/>
      <c r="HF1043" s="5"/>
      <c r="HG1043" s="5"/>
      <c r="HH1043" s="5"/>
      <c r="HI1043" s="5"/>
      <c r="HJ1043" s="5"/>
      <c r="HK1043" s="5"/>
      <c r="HL1043" s="5"/>
      <c r="HM1043" s="5"/>
      <c r="HN1043" s="5"/>
      <c r="HO1043" s="5"/>
      <c r="HP1043" s="5"/>
      <c r="HQ1043" s="5"/>
      <c r="HR1043" s="5"/>
      <c r="HS1043" s="5"/>
      <c r="HT1043" s="5"/>
      <c r="HU1043" s="5"/>
      <c r="HV1043" s="5"/>
      <c r="HW1043" s="5"/>
      <c r="HX1043" s="5"/>
      <c r="HY1043" s="5"/>
      <c r="HZ1043" s="5"/>
      <c r="IA1043" s="5"/>
      <c r="IB1043" s="5"/>
      <c r="IC1043" s="5"/>
      <c r="ID1043" s="5"/>
      <c r="IE1043" s="5"/>
      <c r="IF1043" s="5"/>
      <c r="IG1043" s="5"/>
      <c r="IH1043" s="5"/>
      <c r="II1043" s="5"/>
      <c r="IJ1043" s="5"/>
      <c r="IK1043" s="5"/>
      <c r="IL1043" s="5"/>
      <c r="IM1043" s="5"/>
      <c r="IN1043" s="5"/>
      <c r="IO1043" s="5"/>
      <c r="IP1043" s="5"/>
      <c r="IQ1043" s="5"/>
      <c r="IR1043" s="5"/>
      <c r="IS1043" s="5"/>
      <c r="IT1043" s="5"/>
      <c r="IU1043" s="5"/>
      <c r="IV1043" s="5"/>
      <c r="IW1043" s="5"/>
      <c r="IX1043" s="5"/>
    </row>
    <row r="1044" spans="1:258" ht="24.6" customHeight="1" x14ac:dyDescent="0.25">
      <c r="A1044" s="21" t="s">
        <v>1842</v>
      </c>
      <c r="B1044" s="24" t="s">
        <v>714</v>
      </c>
      <c r="C1044" s="2">
        <f t="shared" si="258"/>
        <v>1747680</v>
      </c>
      <c r="D1044" s="3">
        <f t="shared" si="259"/>
        <v>0</v>
      </c>
      <c r="E1044" s="3">
        <v>0</v>
      </c>
      <c r="F1044" s="3">
        <v>0</v>
      </c>
      <c r="G1044" s="3">
        <v>0</v>
      </c>
      <c r="H1044" s="3">
        <v>0</v>
      </c>
      <c r="I1044" s="3">
        <v>0</v>
      </c>
      <c r="J1044" s="3">
        <v>0</v>
      </c>
      <c r="K1044" s="4">
        <v>0</v>
      </c>
      <c r="L1044" s="3">
        <v>0</v>
      </c>
      <c r="M1044" s="13">
        <v>264.8</v>
      </c>
      <c r="N1044" s="3">
        <f t="shared" si="266"/>
        <v>1747680</v>
      </c>
      <c r="O1044" s="3">
        <v>0</v>
      </c>
      <c r="P1044" s="3">
        <v>0</v>
      </c>
      <c r="Q1044" s="3">
        <v>0</v>
      </c>
      <c r="R1044" s="3">
        <f t="shared" si="265"/>
        <v>0</v>
      </c>
      <c r="S1044" s="3">
        <v>0</v>
      </c>
      <c r="T1044" s="13">
        <v>0</v>
      </c>
      <c r="U1044" s="3">
        <v>0</v>
      </c>
      <c r="V1044" s="5">
        <f t="shared" si="260"/>
        <v>6600</v>
      </c>
    </row>
    <row r="1045" spans="1:258" ht="25.15" customHeight="1" x14ac:dyDescent="0.25">
      <c r="A1045" s="21" t="s">
        <v>1843</v>
      </c>
      <c r="B1045" s="24" t="s">
        <v>783</v>
      </c>
      <c r="C1045" s="2">
        <f t="shared" si="258"/>
        <v>2504400</v>
      </c>
      <c r="D1045" s="3">
        <f t="shared" si="259"/>
        <v>0</v>
      </c>
      <c r="E1045" s="3">
        <v>0</v>
      </c>
      <c r="F1045" s="3">
        <v>0</v>
      </c>
      <c r="G1045" s="3">
        <v>0</v>
      </c>
      <c r="H1045" s="3">
        <v>0</v>
      </c>
      <c r="I1045" s="3">
        <v>0</v>
      </c>
      <c r="J1045" s="3">
        <v>0</v>
      </c>
      <c r="K1045" s="4">
        <v>0</v>
      </c>
      <c r="L1045" s="3">
        <v>0</v>
      </c>
      <c r="M1045" s="3">
        <v>334</v>
      </c>
      <c r="N1045" s="3">
        <f t="shared" si="266"/>
        <v>2204400</v>
      </c>
      <c r="O1045" s="3">
        <v>0</v>
      </c>
      <c r="P1045" s="3">
        <v>0</v>
      </c>
      <c r="Q1045" s="3">
        <v>0</v>
      </c>
      <c r="R1045" s="3">
        <f t="shared" si="265"/>
        <v>0</v>
      </c>
      <c r="S1045" s="3">
        <v>0</v>
      </c>
      <c r="T1045" s="13">
        <v>0</v>
      </c>
      <c r="U1045" s="3">
        <v>300000</v>
      </c>
      <c r="V1045" s="5">
        <f t="shared" si="260"/>
        <v>6600</v>
      </c>
    </row>
    <row r="1046" spans="1:258" ht="25.15" customHeight="1" x14ac:dyDescent="0.25">
      <c r="A1046" s="21" t="s">
        <v>1844</v>
      </c>
      <c r="B1046" s="24" t="s">
        <v>624</v>
      </c>
      <c r="C1046" s="2">
        <f t="shared" si="258"/>
        <v>3339600</v>
      </c>
      <c r="D1046" s="3">
        <f t="shared" si="259"/>
        <v>0</v>
      </c>
      <c r="E1046" s="3">
        <v>0</v>
      </c>
      <c r="F1046" s="3">
        <v>0</v>
      </c>
      <c r="G1046" s="3">
        <v>0</v>
      </c>
      <c r="H1046" s="3">
        <v>0</v>
      </c>
      <c r="I1046" s="3">
        <v>0</v>
      </c>
      <c r="J1046" s="3">
        <v>0</v>
      </c>
      <c r="K1046" s="14">
        <v>0</v>
      </c>
      <c r="L1046" s="13">
        <v>0</v>
      </c>
      <c r="M1046" s="13">
        <v>506</v>
      </c>
      <c r="N1046" s="3">
        <f t="shared" si="266"/>
        <v>3339600</v>
      </c>
      <c r="O1046" s="13">
        <v>0</v>
      </c>
      <c r="P1046" s="13">
        <v>0</v>
      </c>
      <c r="Q1046" s="13">
        <v>0</v>
      </c>
      <c r="R1046" s="3">
        <f t="shared" si="265"/>
        <v>0</v>
      </c>
      <c r="S1046" s="13">
        <v>0</v>
      </c>
      <c r="T1046" s="13">
        <v>0</v>
      </c>
      <c r="U1046" s="13">
        <v>0</v>
      </c>
      <c r="V1046" s="5">
        <f t="shared" si="260"/>
        <v>6600</v>
      </c>
    </row>
    <row r="1047" spans="1:258" ht="25.15" customHeight="1" x14ac:dyDescent="0.25">
      <c r="A1047" s="21" t="s">
        <v>1845</v>
      </c>
      <c r="B1047" s="27" t="s">
        <v>716</v>
      </c>
      <c r="C1047" s="2">
        <f t="shared" si="258"/>
        <v>10709820</v>
      </c>
      <c r="D1047" s="3">
        <f t="shared" si="259"/>
        <v>0</v>
      </c>
      <c r="E1047" s="3">
        <v>0</v>
      </c>
      <c r="F1047" s="3">
        <v>0</v>
      </c>
      <c r="G1047" s="3">
        <v>0</v>
      </c>
      <c r="H1047" s="3">
        <v>0</v>
      </c>
      <c r="I1047" s="3">
        <v>0</v>
      </c>
      <c r="J1047" s="3">
        <v>0</v>
      </c>
      <c r="K1047" s="4">
        <v>0</v>
      </c>
      <c r="L1047" s="3">
        <v>0</v>
      </c>
      <c r="M1047" s="3">
        <v>1622.7</v>
      </c>
      <c r="N1047" s="3">
        <f t="shared" si="266"/>
        <v>10709820</v>
      </c>
      <c r="O1047" s="3">
        <v>0</v>
      </c>
      <c r="P1047" s="3">
        <v>0</v>
      </c>
      <c r="Q1047" s="3">
        <v>0</v>
      </c>
      <c r="R1047" s="3">
        <f t="shared" si="265"/>
        <v>0</v>
      </c>
      <c r="S1047" s="3">
        <v>0</v>
      </c>
      <c r="T1047" s="13">
        <v>0</v>
      </c>
      <c r="U1047" s="3">
        <v>0</v>
      </c>
      <c r="V1047" s="5">
        <f t="shared" si="260"/>
        <v>6600</v>
      </c>
    </row>
    <row r="1048" spans="1:258" ht="25.15" customHeight="1" x14ac:dyDescent="0.25">
      <c r="A1048" s="21" t="s">
        <v>1846</v>
      </c>
      <c r="B1048" s="28" t="s">
        <v>862</v>
      </c>
      <c r="C1048" s="2">
        <f t="shared" si="258"/>
        <v>17105800</v>
      </c>
      <c r="D1048" s="3">
        <f t="shared" si="259"/>
        <v>0</v>
      </c>
      <c r="E1048" s="3">
        <v>0</v>
      </c>
      <c r="F1048" s="3">
        <v>0</v>
      </c>
      <c r="G1048" s="3">
        <v>0</v>
      </c>
      <c r="H1048" s="3">
        <v>0</v>
      </c>
      <c r="I1048" s="3">
        <v>0</v>
      </c>
      <c r="J1048" s="3">
        <v>0</v>
      </c>
      <c r="K1048" s="4">
        <v>0</v>
      </c>
      <c r="L1048" s="3">
        <v>0</v>
      </c>
      <c r="M1048" s="3">
        <v>1081</v>
      </c>
      <c r="N1048" s="3">
        <f t="shared" si="266"/>
        <v>7134600</v>
      </c>
      <c r="O1048" s="3">
        <v>0</v>
      </c>
      <c r="P1048" s="3">
        <v>0</v>
      </c>
      <c r="Q1048" s="3">
        <v>3116</v>
      </c>
      <c r="R1048" s="3">
        <f t="shared" si="265"/>
        <v>9971200</v>
      </c>
      <c r="S1048" s="3">
        <v>0</v>
      </c>
      <c r="T1048" s="3">
        <v>0</v>
      </c>
      <c r="U1048" s="3">
        <v>0</v>
      </c>
      <c r="V1048" s="5">
        <f t="shared" si="260"/>
        <v>6600</v>
      </c>
    </row>
    <row r="1049" spans="1:258" ht="25.15" customHeight="1" x14ac:dyDescent="0.25">
      <c r="A1049" s="21" t="s">
        <v>1847</v>
      </c>
      <c r="B1049" s="24" t="s">
        <v>365</v>
      </c>
      <c r="C1049" s="2">
        <f t="shared" si="258"/>
        <v>24538710</v>
      </c>
      <c r="D1049" s="3">
        <f t="shared" si="259"/>
        <v>6321110</v>
      </c>
      <c r="E1049" s="3">
        <f>700*3718.3</f>
        <v>2602810</v>
      </c>
      <c r="F1049" s="3">
        <v>0</v>
      </c>
      <c r="G1049" s="3">
        <f>300*3718.3</f>
        <v>1115490</v>
      </c>
      <c r="H1049" s="3">
        <f>400*3718.3</f>
        <v>1487320</v>
      </c>
      <c r="I1049" s="3">
        <f>300*3718.3</f>
        <v>1115490</v>
      </c>
      <c r="J1049" s="3">
        <f>350*0</f>
        <v>0</v>
      </c>
      <c r="K1049" s="4">
        <v>0</v>
      </c>
      <c r="L1049" s="3">
        <v>0</v>
      </c>
      <c r="M1049" s="3">
        <v>1296</v>
      </c>
      <c r="N1049" s="3">
        <f t="shared" si="266"/>
        <v>8553600</v>
      </c>
      <c r="O1049" s="3">
        <v>0</v>
      </c>
      <c r="P1049" s="3">
        <v>0</v>
      </c>
      <c r="Q1049" s="3">
        <v>3020</v>
      </c>
      <c r="R1049" s="3">
        <f t="shared" si="265"/>
        <v>9664000</v>
      </c>
      <c r="S1049" s="3">
        <v>0</v>
      </c>
      <c r="T1049" s="3">
        <v>0</v>
      </c>
      <c r="U1049" s="3">
        <v>0</v>
      </c>
      <c r="V1049" s="5">
        <f t="shared" si="260"/>
        <v>6600</v>
      </c>
    </row>
    <row r="1050" spans="1:258" ht="25.15" customHeight="1" x14ac:dyDescent="0.25">
      <c r="A1050" s="21" t="s">
        <v>1848</v>
      </c>
      <c r="B1050" s="28" t="s">
        <v>1202</v>
      </c>
      <c r="C1050" s="2">
        <f t="shared" si="258"/>
        <v>12671120</v>
      </c>
      <c r="D1050" s="3">
        <f t="shared" si="259"/>
        <v>0</v>
      </c>
      <c r="E1050" s="3">
        <v>0</v>
      </c>
      <c r="F1050" s="3">
        <v>0</v>
      </c>
      <c r="G1050" s="3">
        <v>0</v>
      </c>
      <c r="H1050" s="3">
        <v>0</v>
      </c>
      <c r="I1050" s="3">
        <v>0</v>
      </c>
      <c r="J1050" s="3">
        <v>0</v>
      </c>
      <c r="K1050" s="4">
        <v>0</v>
      </c>
      <c r="L1050" s="3">
        <v>0</v>
      </c>
      <c r="M1050" s="3">
        <v>853.2</v>
      </c>
      <c r="N1050" s="3">
        <f t="shared" si="266"/>
        <v>5631120</v>
      </c>
      <c r="O1050" s="3">
        <v>0</v>
      </c>
      <c r="P1050" s="3">
        <v>0</v>
      </c>
      <c r="Q1050" s="3">
        <v>2200</v>
      </c>
      <c r="R1050" s="3">
        <f t="shared" si="265"/>
        <v>7040000</v>
      </c>
      <c r="S1050" s="3">
        <v>0</v>
      </c>
      <c r="T1050" s="3">
        <v>0</v>
      </c>
      <c r="U1050" s="3">
        <v>0</v>
      </c>
      <c r="V1050" s="5">
        <f t="shared" si="260"/>
        <v>6600</v>
      </c>
    </row>
    <row r="1051" spans="1:258" ht="25.15" customHeight="1" x14ac:dyDescent="0.25">
      <c r="A1051" s="21" t="s">
        <v>1849</v>
      </c>
      <c r="B1051" s="24" t="s">
        <v>372</v>
      </c>
      <c r="C1051" s="2">
        <f t="shared" si="258"/>
        <v>9328900</v>
      </c>
      <c r="D1051" s="3">
        <f t="shared" si="259"/>
        <v>8478900</v>
      </c>
      <c r="E1051" s="3">
        <f>700*2826.3</f>
        <v>1978410.0000000002</v>
      </c>
      <c r="F1051" s="3">
        <f>1300*2826.3</f>
        <v>3674190.0000000005</v>
      </c>
      <c r="G1051" s="3">
        <f>300*2826.3</f>
        <v>847890</v>
      </c>
      <c r="H1051" s="3">
        <f>400*2826.3</f>
        <v>1130520</v>
      </c>
      <c r="I1051" s="3">
        <f>300*2826.3</f>
        <v>847890</v>
      </c>
      <c r="J1051" s="3">
        <f>350*0</f>
        <v>0</v>
      </c>
      <c r="K1051" s="4">
        <v>0</v>
      </c>
      <c r="L1051" s="3">
        <v>0</v>
      </c>
      <c r="M1051" s="3">
        <v>0</v>
      </c>
      <c r="N1051" s="3">
        <v>0</v>
      </c>
      <c r="O1051" s="3">
        <v>0</v>
      </c>
      <c r="P1051" s="3">
        <v>0</v>
      </c>
      <c r="Q1051" s="3">
        <v>0</v>
      </c>
      <c r="R1051" s="3">
        <v>0</v>
      </c>
      <c r="S1051" s="3">
        <v>0</v>
      </c>
      <c r="T1051" s="3">
        <v>0</v>
      </c>
      <c r="U1051" s="3">
        <v>850000</v>
      </c>
      <c r="V1051" s="5" t="e">
        <f t="shared" si="260"/>
        <v>#DIV/0!</v>
      </c>
    </row>
    <row r="1052" spans="1:258" ht="25.15" customHeight="1" x14ac:dyDescent="0.25">
      <c r="A1052" s="21" t="s">
        <v>1850</v>
      </c>
      <c r="B1052" s="24" t="s">
        <v>435</v>
      </c>
      <c r="C1052" s="2">
        <f t="shared" ref="C1052:C1102" si="267">D1052+L1052+N1052+P1052+R1052+S1052+T1052+U1052</f>
        <v>16148800.000000002</v>
      </c>
      <c r="D1052" s="3">
        <f t="shared" ref="D1052:D1102" si="268">SUM(E1052:J1052)</f>
        <v>15298800.000000002</v>
      </c>
      <c r="E1052" s="3">
        <f>700*5099.6</f>
        <v>3569720.0000000005</v>
      </c>
      <c r="F1052" s="3">
        <f>1300*5099.6</f>
        <v>6629480.0000000009</v>
      </c>
      <c r="G1052" s="3">
        <f>300*5099.6</f>
        <v>1529880</v>
      </c>
      <c r="H1052" s="3">
        <f>400*5099.6</f>
        <v>2039840.0000000002</v>
      </c>
      <c r="I1052" s="3">
        <f>300*5099.6</f>
        <v>1529880</v>
      </c>
      <c r="J1052" s="3">
        <f>350*0</f>
        <v>0</v>
      </c>
      <c r="K1052" s="4">
        <v>0</v>
      </c>
      <c r="L1052" s="3">
        <v>0</v>
      </c>
      <c r="M1052" s="3">
        <v>0</v>
      </c>
      <c r="N1052" s="3">
        <v>0</v>
      </c>
      <c r="O1052" s="3">
        <v>0</v>
      </c>
      <c r="P1052" s="3">
        <v>0</v>
      </c>
      <c r="Q1052" s="3">
        <v>0</v>
      </c>
      <c r="R1052" s="3">
        <v>0</v>
      </c>
      <c r="S1052" s="3">
        <v>0</v>
      </c>
      <c r="T1052" s="3">
        <v>0</v>
      </c>
      <c r="U1052" s="3">
        <v>850000</v>
      </c>
      <c r="V1052" s="5" t="e">
        <f t="shared" ref="V1052:V1102" si="269">N1052/M1052</f>
        <v>#DIV/0!</v>
      </c>
    </row>
    <row r="1053" spans="1:258" ht="25.15" customHeight="1" x14ac:dyDescent="0.25">
      <c r="A1053" s="21" t="s">
        <v>1851</v>
      </c>
      <c r="B1053" s="24" t="s">
        <v>532</v>
      </c>
      <c r="C1053" s="2">
        <f t="shared" si="267"/>
        <v>12693000</v>
      </c>
      <c r="D1053" s="3">
        <f t="shared" si="268"/>
        <v>12693000</v>
      </c>
      <c r="E1053" s="3">
        <f>700*4231</f>
        <v>2961700</v>
      </c>
      <c r="F1053" s="3">
        <f>1300*4231</f>
        <v>5500300</v>
      </c>
      <c r="G1053" s="3">
        <f>300*4231</f>
        <v>1269300</v>
      </c>
      <c r="H1053" s="3">
        <f>400*4231</f>
        <v>1692400</v>
      </c>
      <c r="I1053" s="3">
        <f>300*4231</f>
        <v>1269300</v>
      </c>
      <c r="J1053" s="3">
        <v>0</v>
      </c>
      <c r="K1053" s="14">
        <v>0</v>
      </c>
      <c r="L1053" s="13">
        <v>0</v>
      </c>
      <c r="M1053" s="13">
        <v>0</v>
      </c>
      <c r="N1053" s="13">
        <v>0</v>
      </c>
      <c r="O1053" s="13">
        <v>0</v>
      </c>
      <c r="P1053" s="13">
        <v>0</v>
      </c>
      <c r="Q1053" s="13">
        <v>0</v>
      </c>
      <c r="R1053" s="3">
        <v>0</v>
      </c>
      <c r="S1053" s="13">
        <v>0</v>
      </c>
      <c r="T1053" s="13">
        <v>0</v>
      </c>
      <c r="U1053" s="13">
        <v>0</v>
      </c>
      <c r="V1053" s="5" t="e">
        <f t="shared" si="269"/>
        <v>#DIV/0!</v>
      </c>
    </row>
    <row r="1054" spans="1:258" ht="25.15" customHeight="1" x14ac:dyDescent="0.25">
      <c r="A1054" s="21" t="s">
        <v>1852</v>
      </c>
      <c r="B1054" s="24" t="s">
        <v>359</v>
      </c>
      <c r="C1054" s="2">
        <f t="shared" si="267"/>
        <v>4108500</v>
      </c>
      <c r="D1054" s="3">
        <f t="shared" si="268"/>
        <v>0</v>
      </c>
      <c r="E1054" s="3">
        <v>0</v>
      </c>
      <c r="F1054" s="3">
        <v>0</v>
      </c>
      <c r="G1054" s="3">
        <v>0</v>
      </c>
      <c r="H1054" s="3">
        <v>0</v>
      </c>
      <c r="I1054" s="3">
        <v>0</v>
      </c>
      <c r="J1054" s="3">
        <v>0</v>
      </c>
      <c r="K1054" s="4">
        <v>0</v>
      </c>
      <c r="L1054" s="3">
        <v>0</v>
      </c>
      <c r="M1054" s="3">
        <v>622.5</v>
      </c>
      <c r="N1054" s="3">
        <f>M1054*6600</f>
        <v>4108500</v>
      </c>
      <c r="O1054" s="3">
        <v>0</v>
      </c>
      <c r="P1054" s="3">
        <v>0</v>
      </c>
      <c r="Q1054" s="3">
        <v>0</v>
      </c>
      <c r="R1054" s="3">
        <v>0</v>
      </c>
      <c r="S1054" s="3">
        <v>0</v>
      </c>
      <c r="T1054" s="3">
        <v>0</v>
      </c>
      <c r="U1054" s="3">
        <v>0</v>
      </c>
      <c r="V1054" s="5">
        <f t="shared" si="269"/>
        <v>6600</v>
      </c>
    </row>
    <row r="1055" spans="1:258" ht="25.15" customHeight="1" x14ac:dyDescent="0.25">
      <c r="A1055" s="21" t="s">
        <v>1853</v>
      </c>
      <c r="B1055" s="27" t="s">
        <v>626</v>
      </c>
      <c r="C1055" s="2">
        <f t="shared" si="267"/>
        <v>6098400</v>
      </c>
      <c r="D1055" s="3">
        <f t="shared" si="268"/>
        <v>0</v>
      </c>
      <c r="E1055" s="3">
        <v>0</v>
      </c>
      <c r="F1055" s="3">
        <v>0</v>
      </c>
      <c r="G1055" s="3">
        <v>0</v>
      </c>
      <c r="H1055" s="3">
        <v>0</v>
      </c>
      <c r="I1055" s="3">
        <v>0</v>
      </c>
      <c r="J1055" s="3">
        <v>0</v>
      </c>
      <c r="K1055" s="14">
        <v>0</v>
      </c>
      <c r="L1055" s="13">
        <v>0</v>
      </c>
      <c r="M1055" s="13">
        <v>924</v>
      </c>
      <c r="N1055" s="3">
        <f>M1055*6600</f>
        <v>6098400</v>
      </c>
      <c r="O1055" s="13">
        <v>0</v>
      </c>
      <c r="P1055" s="13">
        <v>0</v>
      </c>
      <c r="Q1055" s="13">
        <v>0</v>
      </c>
      <c r="R1055" s="3">
        <f>Q1055*3000</f>
        <v>0</v>
      </c>
      <c r="S1055" s="13">
        <v>0</v>
      </c>
      <c r="T1055" s="13">
        <v>0</v>
      </c>
      <c r="U1055" s="13">
        <v>0</v>
      </c>
      <c r="V1055" s="5">
        <f t="shared" si="269"/>
        <v>6600</v>
      </c>
    </row>
    <row r="1056" spans="1:258" ht="25.15" customHeight="1" x14ac:dyDescent="0.25">
      <c r="A1056" s="21" t="s">
        <v>1854</v>
      </c>
      <c r="B1056" s="27" t="s">
        <v>718</v>
      </c>
      <c r="C1056" s="2">
        <f t="shared" si="267"/>
        <v>7854000</v>
      </c>
      <c r="D1056" s="3">
        <f t="shared" si="268"/>
        <v>0</v>
      </c>
      <c r="E1056" s="3">
        <v>0</v>
      </c>
      <c r="F1056" s="3">
        <v>0</v>
      </c>
      <c r="G1056" s="3">
        <v>0</v>
      </c>
      <c r="H1056" s="3">
        <v>0</v>
      </c>
      <c r="I1056" s="3">
        <v>0</v>
      </c>
      <c r="J1056" s="3">
        <v>0</v>
      </c>
      <c r="K1056" s="4">
        <v>0</v>
      </c>
      <c r="L1056" s="3">
        <v>0</v>
      </c>
      <c r="M1056" s="3">
        <v>1190</v>
      </c>
      <c r="N1056" s="3">
        <f>M1056*6600</f>
        <v>7854000</v>
      </c>
      <c r="O1056" s="3">
        <v>0</v>
      </c>
      <c r="P1056" s="3">
        <v>0</v>
      </c>
      <c r="Q1056" s="3">
        <v>0</v>
      </c>
      <c r="R1056" s="3">
        <f>Q1056*3200</f>
        <v>0</v>
      </c>
      <c r="S1056" s="3">
        <v>0</v>
      </c>
      <c r="T1056" s="13">
        <v>0</v>
      </c>
      <c r="U1056" s="3">
        <v>0</v>
      </c>
      <c r="V1056" s="5">
        <f t="shared" si="269"/>
        <v>6600</v>
      </c>
    </row>
    <row r="1057" spans="1:258" ht="25.15" customHeight="1" x14ac:dyDescent="0.25">
      <c r="A1057" s="21" t="s">
        <v>1855</v>
      </c>
      <c r="B1057" s="27" t="s">
        <v>719</v>
      </c>
      <c r="C1057" s="2">
        <f t="shared" si="267"/>
        <v>7854000</v>
      </c>
      <c r="D1057" s="3">
        <f t="shared" si="268"/>
        <v>0</v>
      </c>
      <c r="E1057" s="3">
        <v>0</v>
      </c>
      <c r="F1057" s="3">
        <v>0</v>
      </c>
      <c r="G1057" s="3">
        <v>0</v>
      </c>
      <c r="H1057" s="3">
        <v>0</v>
      </c>
      <c r="I1057" s="3">
        <v>0</v>
      </c>
      <c r="J1057" s="3">
        <v>0</v>
      </c>
      <c r="K1057" s="4">
        <v>0</v>
      </c>
      <c r="L1057" s="3">
        <v>0</v>
      </c>
      <c r="M1057" s="3">
        <v>1190</v>
      </c>
      <c r="N1057" s="3">
        <f>M1057*6600</f>
        <v>7854000</v>
      </c>
      <c r="O1057" s="3">
        <v>0</v>
      </c>
      <c r="P1057" s="3">
        <v>0</v>
      </c>
      <c r="Q1057" s="3">
        <v>0</v>
      </c>
      <c r="R1057" s="3">
        <f>Q1057*3200</f>
        <v>0</v>
      </c>
      <c r="S1057" s="3">
        <v>0</v>
      </c>
      <c r="T1057" s="13">
        <v>0</v>
      </c>
      <c r="U1057" s="3">
        <v>0</v>
      </c>
      <c r="V1057" s="5">
        <f t="shared" si="269"/>
        <v>6600</v>
      </c>
      <c r="W1057" s="32"/>
      <c r="X1057" s="32"/>
      <c r="Y1057" s="32"/>
      <c r="Z1057" s="32"/>
      <c r="AA1057" s="32"/>
      <c r="AB1057" s="32"/>
      <c r="AC1057" s="32"/>
      <c r="AD1057" s="32"/>
      <c r="AE1057" s="32"/>
      <c r="AF1057" s="32"/>
      <c r="AG1057" s="32"/>
      <c r="AH1057" s="32"/>
      <c r="AI1057" s="32"/>
      <c r="AJ1057" s="32"/>
      <c r="AK1057" s="32"/>
      <c r="AL1057" s="32"/>
      <c r="AM1057" s="32"/>
      <c r="AN1057" s="32"/>
      <c r="AO1057" s="32"/>
      <c r="AP1057" s="32"/>
      <c r="AQ1057" s="32"/>
      <c r="AR1057" s="32"/>
      <c r="AS1057" s="32"/>
      <c r="AT1057" s="32"/>
      <c r="AU1057" s="32"/>
      <c r="AV1057" s="32"/>
      <c r="AW1057" s="32"/>
      <c r="AX1057" s="32"/>
      <c r="AY1057" s="32"/>
      <c r="AZ1057" s="32"/>
      <c r="BA1057" s="32"/>
      <c r="BB1057" s="32"/>
      <c r="BC1057" s="32"/>
      <c r="BD1057" s="32"/>
      <c r="BE1057" s="32"/>
      <c r="BF1057" s="32"/>
      <c r="BG1057" s="32"/>
      <c r="BH1057" s="32"/>
      <c r="BI1057" s="32"/>
      <c r="BJ1057" s="32"/>
      <c r="BK1057" s="32"/>
      <c r="BL1057" s="32"/>
      <c r="BM1057" s="32"/>
      <c r="BN1057" s="32"/>
      <c r="BO1057" s="32"/>
      <c r="BP1057" s="32"/>
      <c r="BQ1057" s="32"/>
      <c r="BR1057" s="32"/>
      <c r="BS1057" s="32"/>
      <c r="BT1057" s="32"/>
      <c r="BU1057" s="32"/>
      <c r="BV1057" s="32"/>
      <c r="BW1057" s="32"/>
      <c r="BX1057" s="32"/>
      <c r="BY1057" s="32"/>
      <c r="BZ1057" s="32"/>
      <c r="CA1057" s="32"/>
      <c r="CB1057" s="32"/>
      <c r="CC1057" s="32"/>
      <c r="CD1057" s="32"/>
      <c r="CE1057" s="32"/>
      <c r="CF1057" s="32"/>
      <c r="CG1057" s="32"/>
      <c r="CH1057" s="32"/>
      <c r="CI1057" s="32"/>
      <c r="CJ1057" s="32"/>
      <c r="CK1057" s="32"/>
      <c r="CL1057" s="32"/>
      <c r="CM1057" s="32"/>
      <c r="CN1057" s="32"/>
      <c r="CO1057" s="32"/>
      <c r="CP1057" s="32"/>
      <c r="CQ1057" s="32"/>
      <c r="CR1057" s="32"/>
      <c r="CS1057" s="32"/>
      <c r="CT1057" s="32"/>
      <c r="CU1057" s="32"/>
      <c r="CV1057" s="32"/>
      <c r="CW1057" s="32"/>
      <c r="CX1057" s="32"/>
      <c r="CY1057" s="32"/>
      <c r="CZ1057" s="32"/>
      <c r="DA1057" s="32"/>
      <c r="DB1057" s="32"/>
      <c r="DC1057" s="32"/>
      <c r="DD1057" s="32"/>
      <c r="DE1057" s="32"/>
      <c r="DF1057" s="32"/>
      <c r="DG1057" s="32"/>
      <c r="DH1057" s="32"/>
      <c r="DI1057" s="32"/>
      <c r="DJ1057" s="32"/>
      <c r="DK1057" s="32"/>
      <c r="DL1057" s="32"/>
      <c r="DM1057" s="32"/>
      <c r="DN1057" s="32"/>
      <c r="DO1057" s="32"/>
      <c r="DP1057" s="32"/>
      <c r="DQ1057" s="32"/>
      <c r="DR1057" s="32"/>
      <c r="DS1057" s="32"/>
      <c r="DT1057" s="32"/>
      <c r="DU1057" s="32"/>
      <c r="DV1057" s="32"/>
      <c r="DW1057" s="32"/>
      <c r="DX1057" s="32"/>
      <c r="DY1057" s="32"/>
      <c r="DZ1057" s="32"/>
      <c r="EA1057" s="32"/>
      <c r="EB1057" s="32"/>
      <c r="EC1057" s="32"/>
      <c r="ED1057" s="32"/>
      <c r="EE1057" s="32"/>
      <c r="EF1057" s="32"/>
      <c r="EG1057" s="32"/>
      <c r="EH1057" s="32"/>
      <c r="EI1057" s="32"/>
      <c r="EJ1057" s="32"/>
      <c r="EK1057" s="32"/>
      <c r="EL1057" s="32"/>
      <c r="EM1057" s="32"/>
      <c r="EN1057" s="32"/>
      <c r="EO1057" s="32"/>
      <c r="EP1057" s="32"/>
      <c r="EQ1057" s="32"/>
      <c r="ER1057" s="32"/>
      <c r="ES1057" s="32"/>
      <c r="ET1057" s="32"/>
      <c r="EU1057" s="32"/>
      <c r="EV1057" s="32"/>
      <c r="EW1057" s="32"/>
      <c r="EX1057" s="32"/>
      <c r="EY1057" s="32"/>
      <c r="EZ1057" s="32"/>
      <c r="FA1057" s="32"/>
      <c r="FB1057" s="32"/>
      <c r="FC1057" s="32"/>
      <c r="FD1057" s="32"/>
      <c r="FE1057" s="32"/>
      <c r="FF1057" s="32"/>
      <c r="FG1057" s="32"/>
      <c r="FH1057" s="32"/>
      <c r="FI1057" s="32"/>
      <c r="FJ1057" s="32"/>
      <c r="FK1057" s="32"/>
      <c r="FL1057" s="32"/>
      <c r="FM1057" s="32"/>
      <c r="FN1057" s="32"/>
      <c r="FO1057" s="32"/>
      <c r="FP1057" s="32"/>
      <c r="FQ1057" s="32"/>
      <c r="FR1057" s="32"/>
      <c r="FS1057" s="32"/>
      <c r="FT1057" s="32"/>
      <c r="FU1057" s="32"/>
      <c r="FV1057" s="32"/>
      <c r="FW1057" s="32"/>
      <c r="FX1057" s="32"/>
      <c r="FY1057" s="32"/>
      <c r="FZ1057" s="32"/>
      <c r="GA1057" s="32"/>
      <c r="GB1057" s="32"/>
      <c r="GC1057" s="32"/>
      <c r="GD1057" s="32"/>
      <c r="GE1057" s="32"/>
      <c r="GF1057" s="32"/>
      <c r="GG1057" s="32"/>
      <c r="GH1057" s="32"/>
      <c r="GI1057" s="32"/>
      <c r="GJ1057" s="32"/>
      <c r="GK1057" s="32"/>
      <c r="GL1057" s="32"/>
      <c r="GM1057" s="32"/>
      <c r="GN1057" s="32"/>
      <c r="GO1057" s="32"/>
      <c r="GP1057" s="32"/>
      <c r="GQ1057" s="32"/>
      <c r="GR1057" s="32"/>
      <c r="GS1057" s="32"/>
      <c r="GT1057" s="32"/>
      <c r="GU1057" s="32"/>
      <c r="GV1057" s="32"/>
      <c r="GW1057" s="32"/>
      <c r="GX1057" s="32"/>
      <c r="GY1057" s="32"/>
      <c r="GZ1057" s="32"/>
      <c r="HA1057" s="32"/>
      <c r="HB1057" s="32"/>
      <c r="HC1057" s="32"/>
      <c r="HD1057" s="32"/>
      <c r="HE1057" s="32"/>
      <c r="HF1057" s="32"/>
      <c r="HG1057" s="32"/>
      <c r="HH1057" s="32"/>
      <c r="HI1057" s="32"/>
      <c r="HJ1057" s="32"/>
      <c r="HK1057" s="32"/>
      <c r="HL1057" s="32"/>
      <c r="HM1057" s="32"/>
      <c r="HN1057" s="32"/>
      <c r="HO1057" s="32"/>
      <c r="HP1057" s="32"/>
      <c r="HQ1057" s="32"/>
      <c r="HR1057" s="32"/>
      <c r="HS1057" s="32"/>
      <c r="HT1057" s="32"/>
      <c r="HU1057" s="32"/>
      <c r="HV1057" s="32"/>
      <c r="HW1057" s="32"/>
      <c r="HX1057" s="32"/>
      <c r="HY1057" s="32"/>
      <c r="HZ1057" s="32"/>
      <c r="IA1057" s="32"/>
      <c r="IB1057" s="32"/>
      <c r="IC1057" s="32"/>
      <c r="ID1057" s="32"/>
      <c r="IE1057" s="32"/>
      <c r="IF1057" s="32"/>
      <c r="IG1057" s="32"/>
      <c r="IH1057" s="32"/>
      <c r="II1057" s="32"/>
      <c r="IJ1057" s="32"/>
      <c r="IK1057" s="32"/>
      <c r="IL1057" s="32"/>
      <c r="IM1057" s="32"/>
      <c r="IN1057" s="32"/>
      <c r="IO1057" s="32"/>
      <c r="IP1057" s="32"/>
      <c r="IQ1057" s="32"/>
      <c r="IR1057" s="32"/>
      <c r="IS1057" s="32"/>
      <c r="IT1057" s="32"/>
      <c r="IU1057" s="32"/>
      <c r="IV1057" s="32"/>
      <c r="IW1057" s="32"/>
      <c r="IX1057" s="32"/>
    </row>
    <row r="1058" spans="1:258" ht="25.15" customHeight="1" x14ac:dyDescent="0.25">
      <c r="A1058" s="21" t="s">
        <v>1856</v>
      </c>
      <c r="B1058" s="27" t="s">
        <v>717</v>
      </c>
      <c r="C1058" s="2">
        <f t="shared" si="267"/>
        <v>6156206.4000000004</v>
      </c>
      <c r="D1058" s="3">
        <f t="shared" si="268"/>
        <v>0</v>
      </c>
      <c r="E1058" s="3">
        <v>0</v>
      </c>
      <c r="F1058" s="3">
        <v>0</v>
      </c>
      <c r="G1058" s="3">
        <v>0</v>
      </c>
      <c r="H1058" s="3">
        <v>0</v>
      </c>
      <c r="I1058" s="3">
        <v>0</v>
      </c>
      <c r="J1058" s="3">
        <v>0</v>
      </c>
      <c r="K1058" s="4">
        <v>0</v>
      </c>
      <c r="L1058" s="3">
        <v>0</v>
      </c>
      <c r="M1058" s="3">
        <v>957.2</v>
      </c>
      <c r="N1058" s="3">
        <v>6156206.4000000004</v>
      </c>
      <c r="O1058" s="3">
        <v>0</v>
      </c>
      <c r="P1058" s="3">
        <v>0</v>
      </c>
      <c r="Q1058" s="3">
        <v>0</v>
      </c>
      <c r="R1058" s="3">
        <f>Q1058*3200</f>
        <v>0</v>
      </c>
      <c r="S1058" s="3">
        <v>0</v>
      </c>
      <c r="T1058" s="13">
        <v>0</v>
      </c>
      <c r="U1058" s="3">
        <v>0</v>
      </c>
      <c r="V1058" s="5">
        <f t="shared" si="269"/>
        <v>6431.4734642707899</v>
      </c>
    </row>
    <row r="1059" spans="1:258" ht="24.6" customHeight="1" x14ac:dyDescent="0.25">
      <c r="A1059" s="21" t="s">
        <v>1857</v>
      </c>
      <c r="B1059" s="24" t="s">
        <v>627</v>
      </c>
      <c r="C1059" s="2">
        <f t="shared" si="267"/>
        <v>3182510</v>
      </c>
      <c r="D1059" s="3">
        <f t="shared" si="268"/>
        <v>3182510</v>
      </c>
      <c r="E1059" s="3">
        <v>0</v>
      </c>
      <c r="F1059" s="3">
        <f>1300*1383.7</f>
        <v>1798810</v>
      </c>
      <c r="G1059" s="3">
        <f>300*1383.7</f>
        <v>415110</v>
      </c>
      <c r="H1059" s="3">
        <f>400*1383.7</f>
        <v>553480</v>
      </c>
      <c r="I1059" s="3">
        <f>300*1383.7</f>
        <v>415110</v>
      </c>
      <c r="J1059" s="3">
        <v>0</v>
      </c>
      <c r="K1059" s="14">
        <v>0</v>
      </c>
      <c r="L1059" s="13">
        <v>0</v>
      </c>
      <c r="M1059" s="13">
        <v>0</v>
      </c>
      <c r="N1059" s="13">
        <v>0</v>
      </c>
      <c r="O1059" s="13">
        <v>0</v>
      </c>
      <c r="P1059" s="13">
        <v>0</v>
      </c>
      <c r="Q1059" s="13">
        <v>0</v>
      </c>
      <c r="R1059" s="3">
        <f>Q1059*3000</f>
        <v>0</v>
      </c>
      <c r="S1059" s="13">
        <v>0</v>
      </c>
      <c r="T1059" s="13">
        <v>0</v>
      </c>
      <c r="U1059" s="13">
        <v>0</v>
      </c>
      <c r="V1059" s="5" t="e">
        <f t="shared" si="269"/>
        <v>#DIV/0!</v>
      </c>
    </row>
    <row r="1060" spans="1:258" ht="25.15" customHeight="1" x14ac:dyDescent="0.25">
      <c r="A1060" s="21" t="s">
        <v>1858</v>
      </c>
      <c r="B1060" s="24" t="s">
        <v>533</v>
      </c>
      <c r="C1060" s="2">
        <f t="shared" si="267"/>
        <v>5703355.9999999991</v>
      </c>
      <c r="D1060" s="3">
        <f t="shared" si="268"/>
        <v>5703355.9999999991</v>
      </c>
      <c r="E1060" s="3">
        <v>0</v>
      </c>
      <c r="F1060" s="3">
        <f>1300*2479.72</f>
        <v>3223635.9999999995</v>
      </c>
      <c r="G1060" s="3">
        <f>300*2479.72</f>
        <v>743915.99999999988</v>
      </c>
      <c r="H1060" s="3">
        <f>400*2479.72</f>
        <v>991887.99999999988</v>
      </c>
      <c r="I1060" s="3">
        <f>300*2479.72</f>
        <v>743915.99999999988</v>
      </c>
      <c r="J1060" s="3">
        <v>0</v>
      </c>
      <c r="K1060" s="14">
        <v>0</v>
      </c>
      <c r="L1060" s="13">
        <v>0</v>
      </c>
      <c r="M1060" s="13">
        <v>0</v>
      </c>
      <c r="N1060" s="13">
        <v>0</v>
      </c>
      <c r="O1060" s="13">
        <v>0</v>
      </c>
      <c r="P1060" s="13">
        <v>0</v>
      </c>
      <c r="Q1060" s="13">
        <v>0</v>
      </c>
      <c r="R1060" s="3">
        <f>Q1060*3000</f>
        <v>0</v>
      </c>
      <c r="S1060" s="13">
        <v>0</v>
      </c>
      <c r="T1060" s="13">
        <v>0</v>
      </c>
      <c r="U1060" s="13">
        <v>0</v>
      </c>
      <c r="V1060" s="5" t="e">
        <f t="shared" si="269"/>
        <v>#DIV/0!</v>
      </c>
    </row>
    <row r="1061" spans="1:258" ht="25.15" customHeight="1" x14ac:dyDescent="0.25">
      <c r="A1061" s="21" t="s">
        <v>1859</v>
      </c>
      <c r="B1061" s="24" t="s">
        <v>628</v>
      </c>
      <c r="C1061" s="2">
        <f t="shared" si="267"/>
        <v>2648790</v>
      </c>
      <c r="D1061" s="3">
        <f t="shared" si="268"/>
        <v>2648790</v>
      </c>
      <c r="E1061" s="3">
        <v>0</v>
      </c>
      <c r="F1061" s="3">
        <f>1300*1394.1</f>
        <v>1812329.9999999998</v>
      </c>
      <c r="G1061" s="3">
        <f>300*1394.1</f>
        <v>418230</v>
      </c>
      <c r="H1061" s="3">
        <v>0</v>
      </c>
      <c r="I1061" s="3">
        <f>300*1394.1</f>
        <v>418230</v>
      </c>
      <c r="J1061" s="3">
        <v>0</v>
      </c>
      <c r="K1061" s="14">
        <v>0</v>
      </c>
      <c r="L1061" s="13">
        <v>0</v>
      </c>
      <c r="M1061" s="13">
        <v>0</v>
      </c>
      <c r="N1061" s="13">
        <v>0</v>
      </c>
      <c r="O1061" s="13">
        <v>0</v>
      </c>
      <c r="P1061" s="13">
        <v>0</v>
      </c>
      <c r="Q1061" s="13">
        <v>0</v>
      </c>
      <c r="R1061" s="3">
        <f>Q1061*3000</f>
        <v>0</v>
      </c>
      <c r="S1061" s="13">
        <v>0</v>
      </c>
      <c r="T1061" s="13">
        <v>0</v>
      </c>
      <c r="U1061" s="13">
        <v>0</v>
      </c>
      <c r="V1061" s="5" t="e">
        <f t="shared" si="269"/>
        <v>#DIV/0!</v>
      </c>
    </row>
    <row r="1062" spans="1:258" ht="25.15" customHeight="1" x14ac:dyDescent="0.25">
      <c r="A1062" s="21" t="s">
        <v>1981</v>
      </c>
      <c r="B1062" s="24" t="s">
        <v>720</v>
      </c>
      <c r="C1062" s="2">
        <f t="shared" si="267"/>
        <v>4339074.7300000004</v>
      </c>
      <c r="D1062" s="3">
        <f t="shared" si="268"/>
        <v>4175100</v>
      </c>
      <c r="E1062" s="3">
        <f>700*1391.7</f>
        <v>974190</v>
      </c>
      <c r="F1062" s="3">
        <f>1300*1391.7</f>
        <v>1809210</v>
      </c>
      <c r="G1062" s="3">
        <f>300*1391.7</f>
        <v>417510</v>
      </c>
      <c r="H1062" s="3">
        <f>400*1391.7</f>
        <v>556680</v>
      </c>
      <c r="I1062" s="3">
        <f>300*1391.7</f>
        <v>417510</v>
      </c>
      <c r="J1062" s="3">
        <v>0</v>
      </c>
      <c r="K1062" s="4">
        <v>0</v>
      </c>
      <c r="L1062" s="3">
        <v>0</v>
      </c>
      <c r="M1062" s="13">
        <v>0</v>
      </c>
      <c r="N1062" s="13">
        <v>0</v>
      </c>
      <c r="O1062" s="3">
        <v>0</v>
      </c>
      <c r="P1062" s="3">
        <v>0</v>
      </c>
      <c r="Q1062" s="3">
        <v>0</v>
      </c>
      <c r="R1062" s="3">
        <f>Q1062*3200</f>
        <v>0</v>
      </c>
      <c r="S1062" s="3">
        <v>0</v>
      </c>
      <c r="T1062" s="13">
        <v>0</v>
      </c>
      <c r="U1062" s="3">
        <v>163974.73000000001</v>
      </c>
      <c r="V1062" s="5" t="e">
        <f t="shared" si="269"/>
        <v>#DIV/0!</v>
      </c>
      <c r="W1062" s="5"/>
      <c r="X1062" s="5"/>
      <c r="Y1062" s="5"/>
      <c r="Z1062" s="5"/>
      <c r="AA1062" s="5"/>
      <c r="AB1062" s="5"/>
      <c r="AC1062" s="5"/>
      <c r="AD1062" s="5"/>
      <c r="AE1062" s="5"/>
      <c r="AF1062" s="5"/>
      <c r="AG1062" s="5"/>
      <c r="AH1062" s="5"/>
      <c r="AI1062" s="5"/>
      <c r="AJ1062" s="5"/>
      <c r="AK1062" s="5"/>
      <c r="AL1062" s="5"/>
      <c r="AM1062" s="5"/>
      <c r="AN1062" s="5"/>
      <c r="AO1062" s="5"/>
      <c r="AP1062" s="5"/>
      <c r="AQ1062" s="5"/>
      <c r="AR1062" s="5"/>
      <c r="AS1062" s="5"/>
      <c r="AT1062" s="5"/>
      <c r="AU1062" s="5"/>
      <c r="AV1062" s="5"/>
      <c r="AW1062" s="5"/>
      <c r="AX1062" s="5"/>
      <c r="AY1062" s="5"/>
      <c r="AZ1062" s="5"/>
      <c r="BA1062" s="5"/>
      <c r="BB1062" s="5"/>
      <c r="BC1062" s="5"/>
      <c r="BD1062" s="5"/>
      <c r="BE1062" s="5"/>
      <c r="BF1062" s="5"/>
      <c r="BG1062" s="5"/>
      <c r="BH1062" s="5"/>
      <c r="BI1062" s="5"/>
      <c r="BJ1062" s="5"/>
      <c r="BK1062" s="5"/>
      <c r="BL1062" s="5"/>
      <c r="BM1062" s="5"/>
      <c r="BN1062" s="5"/>
      <c r="BO1062" s="5"/>
      <c r="BP1062" s="5"/>
      <c r="BQ1062" s="5"/>
      <c r="BR1062" s="5"/>
      <c r="BS1062" s="5"/>
      <c r="BT1062" s="5"/>
      <c r="BU1062" s="5"/>
      <c r="BV1062" s="5"/>
      <c r="BW1062" s="5"/>
      <c r="BX1062" s="5"/>
      <c r="BY1062" s="5"/>
      <c r="BZ1062" s="5"/>
      <c r="CA1062" s="5"/>
      <c r="CB1062" s="5"/>
      <c r="CC1062" s="5"/>
      <c r="CD1062" s="5"/>
      <c r="CE1062" s="5"/>
      <c r="CF1062" s="5"/>
      <c r="CG1062" s="5"/>
      <c r="CH1062" s="5"/>
      <c r="CI1062" s="5"/>
      <c r="CJ1062" s="5"/>
      <c r="CK1062" s="5"/>
      <c r="CL1062" s="5"/>
      <c r="CM1062" s="5"/>
      <c r="CN1062" s="5"/>
      <c r="CO1062" s="5"/>
      <c r="CP1062" s="5"/>
      <c r="CQ1062" s="5"/>
      <c r="CR1062" s="5"/>
      <c r="CS1062" s="5"/>
      <c r="CT1062" s="5"/>
      <c r="CU1062" s="5"/>
      <c r="CV1062" s="5"/>
      <c r="CW1062" s="5"/>
      <c r="CX1062" s="5"/>
      <c r="CY1062" s="5"/>
      <c r="CZ1062" s="5"/>
      <c r="DA1062" s="5"/>
      <c r="DB1062" s="5"/>
      <c r="DC1062" s="5"/>
      <c r="DD1062" s="5"/>
      <c r="DE1062" s="5"/>
      <c r="DF1062" s="5"/>
      <c r="DG1062" s="5"/>
      <c r="DH1062" s="5"/>
      <c r="DI1062" s="5"/>
      <c r="DJ1062" s="5"/>
      <c r="DK1062" s="5"/>
      <c r="DL1062" s="5"/>
      <c r="DM1062" s="5"/>
      <c r="DN1062" s="5"/>
      <c r="DO1062" s="5"/>
      <c r="DP1062" s="5"/>
      <c r="DQ1062" s="5"/>
      <c r="DR1062" s="5"/>
      <c r="DS1062" s="5"/>
      <c r="DT1062" s="5"/>
      <c r="DU1062" s="5"/>
      <c r="DV1062" s="5"/>
      <c r="DW1062" s="5"/>
      <c r="DX1062" s="5"/>
      <c r="DY1062" s="5"/>
      <c r="DZ1062" s="5"/>
      <c r="EA1062" s="5"/>
      <c r="EB1062" s="5"/>
      <c r="EC1062" s="5"/>
      <c r="ED1062" s="5"/>
      <c r="EE1062" s="5"/>
      <c r="EF1062" s="5"/>
      <c r="EG1062" s="5"/>
      <c r="EH1062" s="5"/>
      <c r="EI1062" s="5"/>
      <c r="EJ1062" s="5"/>
      <c r="EK1062" s="5"/>
      <c r="EL1062" s="5"/>
      <c r="EM1062" s="5"/>
      <c r="EN1062" s="5"/>
      <c r="EO1062" s="5"/>
      <c r="EP1062" s="5"/>
      <c r="EQ1062" s="5"/>
      <c r="ER1062" s="5"/>
      <c r="ES1062" s="5"/>
      <c r="ET1062" s="5"/>
      <c r="EU1062" s="5"/>
      <c r="EV1062" s="5"/>
      <c r="EW1062" s="5"/>
      <c r="EX1062" s="5"/>
      <c r="EY1062" s="5"/>
      <c r="EZ1062" s="5"/>
      <c r="FA1062" s="5"/>
      <c r="FB1062" s="5"/>
      <c r="FC1062" s="5"/>
      <c r="FD1062" s="5"/>
      <c r="FE1062" s="5"/>
      <c r="FF1062" s="5"/>
      <c r="FG1062" s="5"/>
      <c r="FH1062" s="5"/>
      <c r="FI1062" s="5"/>
      <c r="FJ1062" s="5"/>
      <c r="FK1062" s="5"/>
      <c r="FL1062" s="5"/>
      <c r="FM1062" s="5"/>
      <c r="FN1062" s="5"/>
      <c r="FO1062" s="5"/>
      <c r="FP1062" s="5"/>
      <c r="FQ1062" s="5"/>
      <c r="FR1062" s="5"/>
      <c r="FS1062" s="5"/>
      <c r="FT1062" s="5"/>
      <c r="FU1062" s="5"/>
      <c r="FV1062" s="5"/>
      <c r="FW1062" s="5"/>
      <c r="FX1062" s="5"/>
      <c r="FY1062" s="5"/>
      <c r="FZ1062" s="5"/>
      <c r="GA1062" s="5"/>
      <c r="GB1062" s="5"/>
      <c r="GC1062" s="5"/>
      <c r="GD1062" s="5"/>
      <c r="GE1062" s="5"/>
      <c r="GF1062" s="5"/>
      <c r="GG1062" s="5"/>
      <c r="GH1062" s="5"/>
      <c r="GI1062" s="5"/>
      <c r="GJ1062" s="5"/>
      <c r="GK1062" s="5"/>
      <c r="GL1062" s="5"/>
      <c r="GM1062" s="5"/>
      <c r="GN1062" s="5"/>
      <c r="GO1062" s="5"/>
      <c r="GP1062" s="5"/>
      <c r="GQ1062" s="5"/>
      <c r="GR1062" s="5"/>
      <c r="GS1062" s="5"/>
      <c r="GT1062" s="5"/>
      <c r="GU1062" s="5"/>
      <c r="GV1062" s="5"/>
      <c r="GW1062" s="5"/>
      <c r="GX1062" s="5"/>
      <c r="GY1062" s="5"/>
      <c r="GZ1062" s="5"/>
      <c r="HA1062" s="5"/>
      <c r="HB1062" s="5"/>
      <c r="HC1062" s="5"/>
      <c r="HD1062" s="5"/>
      <c r="HE1062" s="5"/>
      <c r="HF1062" s="5"/>
      <c r="HG1062" s="5"/>
      <c r="HH1062" s="5"/>
      <c r="HI1062" s="5"/>
      <c r="HJ1062" s="5"/>
      <c r="HK1062" s="5"/>
      <c r="HL1062" s="5"/>
      <c r="HM1062" s="5"/>
      <c r="HN1062" s="5"/>
      <c r="HO1062" s="5"/>
      <c r="HP1062" s="5"/>
      <c r="HQ1062" s="5"/>
      <c r="HR1062" s="5"/>
      <c r="HS1062" s="5"/>
      <c r="HT1062" s="5"/>
      <c r="HU1062" s="5"/>
      <c r="HV1062" s="5"/>
      <c r="HW1062" s="5"/>
      <c r="HX1062" s="5"/>
      <c r="HY1062" s="5"/>
      <c r="HZ1062" s="5"/>
      <c r="IA1062" s="5"/>
      <c r="IB1062" s="5"/>
      <c r="IC1062" s="5"/>
      <c r="ID1062" s="5"/>
      <c r="IE1062" s="5"/>
      <c r="IF1062" s="5"/>
      <c r="IG1062" s="5"/>
      <c r="IH1062" s="5"/>
      <c r="II1062" s="5"/>
      <c r="IJ1062" s="5"/>
      <c r="IK1062" s="5"/>
      <c r="IL1062" s="5"/>
      <c r="IM1062" s="5"/>
      <c r="IN1062" s="5"/>
      <c r="IO1062" s="5"/>
      <c r="IP1062" s="5"/>
      <c r="IQ1062" s="5"/>
      <c r="IR1062" s="5"/>
      <c r="IS1062" s="5"/>
      <c r="IT1062" s="5"/>
      <c r="IU1062" s="5"/>
      <c r="IV1062" s="5"/>
      <c r="IW1062" s="5"/>
      <c r="IX1062" s="5"/>
    </row>
    <row r="1063" spans="1:258" ht="25.15" customHeight="1" x14ac:dyDescent="0.25">
      <c r="A1063" s="21" t="s">
        <v>1860</v>
      </c>
      <c r="B1063" s="24" t="s">
        <v>721</v>
      </c>
      <c r="C1063" s="2">
        <f t="shared" si="267"/>
        <v>300000</v>
      </c>
      <c r="D1063" s="3">
        <f t="shared" si="268"/>
        <v>0</v>
      </c>
      <c r="E1063" s="3">
        <v>0</v>
      </c>
      <c r="F1063" s="3">
        <v>0</v>
      </c>
      <c r="G1063" s="3">
        <v>0</v>
      </c>
      <c r="H1063" s="3">
        <v>0</v>
      </c>
      <c r="I1063" s="3">
        <v>0</v>
      </c>
      <c r="J1063" s="3">
        <v>0</v>
      </c>
      <c r="K1063" s="4">
        <v>0</v>
      </c>
      <c r="L1063" s="3">
        <v>0</v>
      </c>
      <c r="M1063" s="3">
        <v>0</v>
      </c>
      <c r="N1063" s="3">
        <f t="shared" ref="N1063:N1068" si="270">M1063*6600</f>
        <v>0</v>
      </c>
      <c r="O1063" s="3">
        <v>0</v>
      </c>
      <c r="P1063" s="3">
        <v>0</v>
      </c>
      <c r="Q1063" s="3">
        <v>0</v>
      </c>
      <c r="R1063" s="3">
        <f>Q1063*3200</f>
        <v>0</v>
      </c>
      <c r="S1063" s="3">
        <v>0</v>
      </c>
      <c r="T1063" s="13">
        <v>0</v>
      </c>
      <c r="U1063" s="3">
        <v>300000</v>
      </c>
      <c r="V1063" s="5" t="e">
        <f t="shared" si="269"/>
        <v>#DIV/0!</v>
      </c>
      <c r="W1063" s="32"/>
      <c r="X1063" s="32"/>
      <c r="Y1063" s="32"/>
      <c r="Z1063" s="32"/>
      <c r="AA1063" s="32"/>
      <c r="AB1063" s="32"/>
      <c r="AC1063" s="32"/>
      <c r="AD1063" s="32"/>
      <c r="AE1063" s="32"/>
      <c r="AF1063" s="32"/>
      <c r="AG1063" s="32"/>
      <c r="AH1063" s="32"/>
      <c r="AI1063" s="32"/>
      <c r="AJ1063" s="32"/>
      <c r="AK1063" s="32"/>
      <c r="AL1063" s="32"/>
      <c r="AM1063" s="32"/>
      <c r="AN1063" s="32"/>
      <c r="AO1063" s="32"/>
      <c r="AP1063" s="32"/>
      <c r="AQ1063" s="32"/>
      <c r="AR1063" s="32"/>
      <c r="AS1063" s="32"/>
      <c r="AT1063" s="32"/>
      <c r="AU1063" s="32"/>
      <c r="AV1063" s="32"/>
      <c r="AW1063" s="32"/>
      <c r="AX1063" s="32"/>
      <c r="AY1063" s="32"/>
      <c r="AZ1063" s="32"/>
      <c r="BA1063" s="32"/>
      <c r="BB1063" s="32"/>
      <c r="BC1063" s="32"/>
      <c r="BD1063" s="32"/>
      <c r="BE1063" s="32"/>
      <c r="BF1063" s="32"/>
      <c r="BG1063" s="32"/>
      <c r="BH1063" s="32"/>
      <c r="BI1063" s="32"/>
      <c r="BJ1063" s="32"/>
      <c r="BK1063" s="32"/>
      <c r="BL1063" s="32"/>
      <c r="BM1063" s="32"/>
      <c r="BN1063" s="32"/>
      <c r="BO1063" s="32"/>
      <c r="BP1063" s="32"/>
      <c r="BQ1063" s="32"/>
      <c r="BR1063" s="32"/>
      <c r="BS1063" s="32"/>
      <c r="BT1063" s="32"/>
      <c r="BU1063" s="32"/>
      <c r="BV1063" s="32"/>
      <c r="BW1063" s="32"/>
      <c r="BX1063" s="32"/>
      <c r="BY1063" s="32"/>
      <c r="BZ1063" s="32"/>
      <c r="CA1063" s="32"/>
      <c r="CB1063" s="32"/>
      <c r="CC1063" s="32"/>
      <c r="CD1063" s="32"/>
      <c r="CE1063" s="32"/>
      <c r="CF1063" s="32"/>
      <c r="CG1063" s="32"/>
      <c r="CH1063" s="32"/>
      <c r="CI1063" s="32"/>
      <c r="CJ1063" s="32"/>
      <c r="CK1063" s="32"/>
      <c r="CL1063" s="32"/>
      <c r="CM1063" s="32"/>
      <c r="CN1063" s="32"/>
      <c r="CO1063" s="32"/>
      <c r="CP1063" s="32"/>
      <c r="CQ1063" s="32"/>
      <c r="CR1063" s="32"/>
      <c r="CS1063" s="32"/>
      <c r="CT1063" s="32"/>
      <c r="CU1063" s="32"/>
      <c r="CV1063" s="32"/>
      <c r="CW1063" s="32"/>
      <c r="CX1063" s="32"/>
      <c r="CY1063" s="32"/>
      <c r="CZ1063" s="32"/>
      <c r="DA1063" s="32"/>
      <c r="DB1063" s="32"/>
      <c r="DC1063" s="32"/>
      <c r="DD1063" s="32"/>
      <c r="DE1063" s="32"/>
      <c r="DF1063" s="32"/>
      <c r="DG1063" s="32"/>
      <c r="DH1063" s="32"/>
      <c r="DI1063" s="32"/>
      <c r="DJ1063" s="32"/>
      <c r="DK1063" s="32"/>
      <c r="DL1063" s="32"/>
      <c r="DM1063" s="32"/>
      <c r="DN1063" s="32"/>
      <c r="DO1063" s="32"/>
      <c r="DP1063" s="32"/>
      <c r="DQ1063" s="32"/>
      <c r="DR1063" s="32"/>
      <c r="DS1063" s="32"/>
      <c r="DT1063" s="32"/>
      <c r="DU1063" s="32"/>
      <c r="DV1063" s="32"/>
      <c r="DW1063" s="32"/>
      <c r="DX1063" s="32"/>
      <c r="DY1063" s="32"/>
      <c r="DZ1063" s="32"/>
      <c r="EA1063" s="32"/>
      <c r="EB1063" s="32"/>
      <c r="EC1063" s="32"/>
      <c r="ED1063" s="32"/>
      <c r="EE1063" s="32"/>
      <c r="EF1063" s="32"/>
      <c r="EG1063" s="32"/>
      <c r="EH1063" s="32"/>
      <c r="EI1063" s="32"/>
      <c r="EJ1063" s="32"/>
      <c r="EK1063" s="32"/>
      <c r="EL1063" s="32"/>
      <c r="EM1063" s="32"/>
      <c r="EN1063" s="32"/>
      <c r="EO1063" s="32"/>
      <c r="EP1063" s="32"/>
      <c r="EQ1063" s="32"/>
      <c r="ER1063" s="32"/>
      <c r="ES1063" s="32"/>
      <c r="ET1063" s="32"/>
      <c r="EU1063" s="32"/>
      <c r="EV1063" s="32"/>
      <c r="EW1063" s="32"/>
      <c r="EX1063" s="32"/>
      <c r="EY1063" s="32"/>
      <c r="EZ1063" s="32"/>
      <c r="FA1063" s="32"/>
      <c r="FB1063" s="32"/>
      <c r="FC1063" s="32"/>
      <c r="FD1063" s="32"/>
      <c r="FE1063" s="32"/>
      <c r="FF1063" s="32"/>
      <c r="FG1063" s="32"/>
      <c r="FH1063" s="32"/>
      <c r="FI1063" s="32"/>
      <c r="FJ1063" s="32"/>
      <c r="FK1063" s="32"/>
      <c r="FL1063" s="32"/>
      <c r="FM1063" s="32"/>
      <c r="FN1063" s="32"/>
      <c r="FO1063" s="32"/>
      <c r="FP1063" s="32"/>
      <c r="FQ1063" s="32"/>
      <c r="FR1063" s="32"/>
      <c r="FS1063" s="32"/>
      <c r="FT1063" s="32"/>
      <c r="FU1063" s="32"/>
      <c r="FV1063" s="32"/>
      <c r="FW1063" s="32"/>
      <c r="FX1063" s="32"/>
      <c r="FY1063" s="32"/>
      <c r="FZ1063" s="32"/>
      <c r="GA1063" s="32"/>
      <c r="GB1063" s="32"/>
      <c r="GC1063" s="32"/>
      <c r="GD1063" s="32"/>
      <c r="GE1063" s="32"/>
      <c r="GF1063" s="32"/>
      <c r="GG1063" s="32"/>
      <c r="GH1063" s="32"/>
      <c r="GI1063" s="32"/>
      <c r="GJ1063" s="32"/>
      <c r="GK1063" s="32"/>
      <c r="GL1063" s="32"/>
      <c r="GM1063" s="32"/>
      <c r="GN1063" s="32"/>
      <c r="GO1063" s="32"/>
      <c r="GP1063" s="32"/>
      <c r="GQ1063" s="32"/>
      <c r="GR1063" s="32"/>
      <c r="GS1063" s="32"/>
      <c r="GT1063" s="32"/>
      <c r="GU1063" s="32"/>
      <c r="GV1063" s="32"/>
      <c r="GW1063" s="32"/>
      <c r="GX1063" s="32"/>
      <c r="GY1063" s="32"/>
      <c r="GZ1063" s="32"/>
      <c r="HA1063" s="32"/>
      <c r="HB1063" s="32"/>
      <c r="HC1063" s="32"/>
      <c r="HD1063" s="32"/>
      <c r="HE1063" s="32"/>
      <c r="HF1063" s="32"/>
      <c r="HG1063" s="32"/>
      <c r="HH1063" s="32"/>
      <c r="HI1063" s="32"/>
      <c r="HJ1063" s="32"/>
      <c r="HK1063" s="32"/>
      <c r="HL1063" s="32"/>
      <c r="HM1063" s="32"/>
      <c r="HN1063" s="32"/>
      <c r="HO1063" s="32"/>
      <c r="HP1063" s="32"/>
      <c r="HQ1063" s="32"/>
      <c r="HR1063" s="32"/>
      <c r="HS1063" s="32"/>
      <c r="HT1063" s="32"/>
      <c r="HU1063" s="32"/>
      <c r="HV1063" s="32"/>
      <c r="HW1063" s="32"/>
      <c r="HX1063" s="32"/>
      <c r="HY1063" s="32"/>
      <c r="HZ1063" s="32"/>
      <c r="IA1063" s="32"/>
      <c r="IB1063" s="32"/>
      <c r="IC1063" s="32"/>
      <c r="ID1063" s="32"/>
      <c r="IE1063" s="32"/>
      <c r="IF1063" s="32"/>
      <c r="IG1063" s="32"/>
      <c r="IH1063" s="32"/>
      <c r="II1063" s="32"/>
      <c r="IJ1063" s="32"/>
      <c r="IK1063" s="32"/>
      <c r="IL1063" s="32"/>
      <c r="IM1063" s="32"/>
      <c r="IN1063" s="32"/>
      <c r="IO1063" s="32"/>
      <c r="IP1063" s="32"/>
      <c r="IQ1063" s="32"/>
      <c r="IR1063" s="32"/>
      <c r="IS1063" s="32"/>
      <c r="IT1063" s="32"/>
      <c r="IU1063" s="32"/>
      <c r="IV1063" s="32"/>
      <c r="IW1063" s="32"/>
      <c r="IX1063" s="32"/>
    </row>
    <row r="1064" spans="1:258" ht="25.15" customHeight="1" x14ac:dyDescent="0.25">
      <c r="A1064" s="21" t="s">
        <v>1861</v>
      </c>
      <c r="B1064" s="24" t="s">
        <v>534</v>
      </c>
      <c r="C1064" s="2">
        <f t="shared" si="267"/>
        <v>1815000</v>
      </c>
      <c r="D1064" s="3">
        <f t="shared" si="268"/>
        <v>0</v>
      </c>
      <c r="E1064" s="3">
        <v>0</v>
      </c>
      <c r="F1064" s="3">
        <v>0</v>
      </c>
      <c r="G1064" s="3">
        <v>0</v>
      </c>
      <c r="H1064" s="3">
        <v>0</v>
      </c>
      <c r="I1064" s="3">
        <v>0</v>
      </c>
      <c r="J1064" s="3">
        <v>0</v>
      </c>
      <c r="K1064" s="14">
        <v>0</v>
      </c>
      <c r="L1064" s="13">
        <v>0</v>
      </c>
      <c r="M1064" s="13">
        <v>275</v>
      </c>
      <c r="N1064" s="3">
        <f t="shared" si="270"/>
        <v>1815000</v>
      </c>
      <c r="O1064" s="13">
        <v>0</v>
      </c>
      <c r="P1064" s="13">
        <v>0</v>
      </c>
      <c r="Q1064" s="13">
        <v>0</v>
      </c>
      <c r="R1064" s="3">
        <f>Q1064*3200</f>
        <v>0</v>
      </c>
      <c r="S1064" s="13">
        <v>0</v>
      </c>
      <c r="T1064" s="13">
        <v>0</v>
      </c>
      <c r="U1064" s="13">
        <v>0</v>
      </c>
      <c r="V1064" s="5">
        <f t="shared" si="269"/>
        <v>6600</v>
      </c>
    </row>
    <row r="1065" spans="1:258" ht="25.15" customHeight="1" x14ac:dyDescent="0.25">
      <c r="A1065" s="21" t="s">
        <v>1862</v>
      </c>
      <c r="B1065" s="24" t="s">
        <v>631</v>
      </c>
      <c r="C1065" s="2">
        <f t="shared" si="267"/>
        <v>5979600</v>
      </c>
      <c r="D1065" s="3">
        <f t="shared" si="268"/>
        <v>0</v>
      </c>
      <c r="E1065" s="3">
        <v>0</v>
      </c>
      <c r="F1065" s="3">
        <v>0</v>
      </c>
      <c r="G1065" s="3">
        <v>0</v>
      </c>
      <c r="H1065" s="3">
        <v>0</v>
      </c>
      <c r="I1065" s="3">
        <v>0</v>
      </c>
      <c r="J1065" s="3">
        <v>0</v>
      </c>
      <c r="K1065" s="14">
        <v>0</v>
      </c>
      <c r="L1065" s="13">
        <v>0</v>
      </c>
      <c r="M1065" s="13">
        <v>906</v>
      </c>
      <c r="N1065" s="3">
        <f t="shared" si="270"/>
        <v>5979600</v>
      </c>
      <c r="O1065" s="13">
        <v>0</v>
      </c>
      <c r="P1065" s="13">
        <v>0</v>
      </c>
      <c r="Q1065" s="13">
        <v>0</v>
      </c>
      <c r="R1065" s="3">
        <f>Q1065*3000</f>
        <v>0</v>
      </c>
      <c r="S1065" s="13">
        <v>0</v>
      </c>
      <c r="T1065" s="13">
        <v>0</v>
      </c>
      <c r="U1065" s="13">
        <v>0</v>
      </c>
      <c r="V1065" s="5">
        <f t="shared" si="269"/>
        <v>6600</v>
      </c>
    </row>
    <row r="1066" spans="1:258" ht="25.15" customHeight="1" x14ac:dyDescent="0.25">
      <c r="A1066" s="21" t="s">
        <v>1863</v>
      </c>
      <c r="B1066" s="24" t="s">
        <v>536</v>
      </c>
      <c r="C1066" s="2">
        <f t="shared" si="267"/>
        <v>4187564</v>
      </c>
      <c r="D1066" s="3">
        <f t="shared" si="268"/>
        <v>1115764</v>
      </c>
      <c r="E1066" s="3">
        <f>700*429.14</f>
        <v>300398</v>
      </c>
      <c r="F1066" s="3">
        <f>1300*429.14</f>
        <v>557882</v>
      </c>
      <c r="G1066" s="3">
        <f>300*429.14</f>
        <v>128742</v>
      </c>
      <c r="H1066" s="3">
        <v>0</v>
      </c>
      <c r="I1066" s="3">
        <f>300*429.14</f>
        <v>128742</v>
      </c>
      <c r="J1066" s="3">
        <v>0</v>
      </c>
      <c r="K1066" s="14">
        <v>0</v>
      </c>
      <c r="L1066" s="13">
        <v>0</v>
      </c>
      <c r="M1066" s="13">
        <v>251</v>
      </c>
      <c r="N1066" s="3">
        <f t="shared" si="270"/>
        <v>1656600</v>
      </c>
      <c r="O1066" s="13">
        <v>0</v>
      </c>
      <c r="P1066" s="13">
        <v>0</v>
      </c>
      <c r="Q1066" s="13">
        <v>411</v>
      </c>
      <c r="R1066" s="3">
        <f t="shared" ref="R1066:R1076" si="271">Q1066*3200</f>
        <v>1315200</v>
      </c>
      <c r="S1066" s="13">
        <v>0</v>
      </c>
      <c r="T1066" s="13">
        <v>0</v>
      </c>
      <c r="U1066" s="13">
        <v>100000</v>
      </c>
      <c r="V1066" s="5">
        <f t="shared" si="269"/>
        <v>6600</v>
      </c>
    </row>
    <row r="1067" spans="1:258" ht="25.15" customHeight="1" x14ac:dyDescent="0.25">
      <c r="A1067" s="21" t="s">
        <v>1864</v>
      </c>
      <c r="B1067" s="24" t="s">
        <v>1185</v>
      </c>
      <c r="C1067" s="2">
        <f t="shared" si="267"/>
        <v>300000</v>
      </c>
      <c r="D1067" s="3">
        <f t="shared" si="268"/>
        <v>0</v>
      </c>
      <c r="E1067" s="3">
        <v>0</v>
      </c>
      <c r="F1067" s="3">
        <v>0</v>
      </c>
      <c r="G1067" s="3">
        <v>0</v>
      </c>
      <c r="H1067" s="3">
        <v>0</v>
      </c>
      <c r="I1067" s="3">
        <v>0</v>
      </c>
      <c r="J1067" s="3">
        <v>0</v>
      </c>
      <c r="K1067" s="4">
        <v>0</v>
      </c>
      <c r="L1067" s="3">
        <v>0</v>
      </c>
      <c r="M1067" s="13">
        <v>0</v>
      </c>
      <c r="N1067" s="3">
        <f t="shared" si="270"/>
        <v>0</v>
      </c>
      <c r="O1067" s="3">
        <v>0</v>
      </c>
      <c r="P1067" s="3">
        <v>0</v>
      </c>
      <c r="Q1067" s="3">
        <v>0</v>
      </c>
      <c r="R1067" s="3">
        <f t="shared" si="271"/>
        <v>0</v>
      </c>
      <c r="S1067" s="3">
        <v>0</v>
      </c>
      <c r="T1067" s="13">
        <v>0</v>
      </c>
      <c r="U1067" s="3">
        <v>300000</v>
      </c>
      <c r="V1067" s="5" t="e">
        <f t="shared" si="269"/>
        <v>#DIV/0!</v>
      </c>
    </row>
    <row r="1068" spans="1:258" ht="25.15" customHeight="1" x14ac:dyDescent="0.25">
      <c r="A1068" s="21" t="s">
        <v>1865</v>
      </c>
      <c r="B1068" s="24" t="s">
        <v>724</v>
      </c>
      <c r="C1068" s="2">
        <f t="shared" si="267"/>
        <v>1742400</v>
      </c>
      <c r="D1068" s="3">
        <f t="shared" si="268"/>
        <v>0</v>
      </c>
      <c r="E1068" s="3">
        <v>0</v>
      </c>
      <c r="F1068" s="3">
        <v>0</v>
      </c>
      <c r="G1068" s="3">
        <v>0</v>
      </c>
      <c r="H1068" s="3">
        <v>0</v>
      </c>
      <c r="I1068" s="3">
        <v>0</v>
      </c>
      <c r="J1068" s="3">
        <v>0</v>
      </c>
      <c r="K1068" s="4">
        <v>0</v>
      </c>
      <c r="L1068" s="3">
        <v>0</v>
      </c>
      <c r="M1068" s="13">
        <v>264</v>
      </c>
      <c r="N1068" s="3">
        <f t="shared" si="270"/>
        <v>1742400</v>
      </c>
      <c r="O1068" s="3">
        <v>0</v>
      </c>
      <c r="P1068" s="3">
        <v>0</v>
      </c>
      <c r="Q1068" s="3">
        <v>0</v>
      </c>
      <c r="R1068" s="3">
        <f t="shared" si="271"/>
        <v>0</v>
      </c>
      <c r="S1068" s="3">
        <v>0</v>
      </c>
      <c r="T1068" s="13">
        <v>0</v>
      </c>
      <c r="U1068" s="3">
        <v>0</v>
      </c>
      <c r="V1068" s="5">
        <f t="shared" si="269"/>
        <v>6600</v>
      </c>
    </row>
    <row r="1069" spans="1:258" ht="25.15" customHeight="1" x14ac:dyDescent="0.25">
      <c r="A1069" s="21" t="s">
        <v>1866</v>
      </c>
      <c r="B1069" s="24" t="s">
        <v>725</v>
      </c>
      <c r="C1069" s="2">
        <f t="shared" si="267"/>
        <v>1344000</v>
      </c>
      <c r="D1069" s="3">
        <f t="shared" si="268"/>
        <v>0</v>
      </c>
      <c r="E1069" s="3">
        <v>0</v>
      </c>
      <c r="F1069" s="3">
        <v>0</v>
      </c>
      <c r="G1069" s="3">
        <v>0</v>
      </c>
      <c r="H1069" s="3">
        <v>0</v>
      </c>
      <c r="I1069" s="3">
        <v>0</v>
      </c>
      <c r="J1069" s="3">
        <v>0</v>
      </c>
      <c r="K1069" s="14">
        <v>0</v>
      </c>
      <c r="L1069" s="13">
        <v>0</v>
      </c>
      <c r="M1069" s="13">
        <v>0</v>
      </c>
      <c r="N1069" s="13">
        <v>0</v>
      </c>
      <c r="O1069" s="13">
        <v>0</v>
      </c>
      <c r="P1069" s="13">
        <v>0</v>
      </c>
      <c r="Q1069" s="13">
        <v>420</v>
      </c>
      <c r="R1069" s="3">
        <f t="shared" si="271"/>
        <v>1344000</v>
      </c>
      <c r="S1069" s="13">
        <v>0</v>
      </c>
      <c r="T1069" s="13">
        <v>0</v>
      </c>
      <c r="U1069" s="13">
        <v>0</v>
      </c>
      <c r="V1069" s="5" t="e">
        <f t="shared" si="269"/>
        <v>#DIV/0!</v>
      </c>
    </row>
    <row r="1070" spans="1:258" ht="25.15" customHeight="1" x14ac:dyDescent="0.25">
      <c r="A1070" s="21" t="s">
        <v>1867</v>
      </c>
      <c r="B1070" s="24" t="s">
        <v>726</v>
      </c>
      <c r="C1070" s="2">
        <f t="shared" si="267"/>
        <v>1344000</v>
      </c>
      <c r="D1070" s="3">
        <f t="shared" si="268"/>
        <v>0</v>
      </c>
      <c r="E1070" s="3">
        <v>0</v>
      </c>
      <c r="F1070" s="3">
        <v>0</v>
      </c>
      <c r="G1070" s="3">
        <v>0</v>
      </c>
      <c r="H1070" s="3">
        <v>0</v>
      </c>
      <c r="I1070" s="3">
        <v>0</v>
      </c>
      <c r="J1070" s="3">
        <v>0</v>
      </c>
      <c r="K1070" s="4">
        <v>0</v>
      </c>
      <c r="L1070" s="3">
        <v>0</v>
      </c>
      <c r="M1070" s="13">
        <v>0</v>
      </c>
      <c r="N1070" s="13">
        <v>0</v>
      </c>
      <c r="O1070" s="3">
        <v>0</v>
      </c>
      <c r="P1070" s="3">
        <v>0</v>
      </c>
      <c r="Q1070" s="3">
        <v>420</v>
      </c>
      <c r="R1070" s="3">
        <f t="shared" si="271"/>
        <v>1344000</v>
      </c>
      <c r="S1070" s="3">
        <v>0</v>
      </c>
      <c r="T1070" s="13">
        <v>0</v>
      </c>
      <c r="U1070" s="3">
        <v>0</v>
      </c>
      <c r="V1070" s="5" t="e">
        <f t="shared" si="269"/>
        <v>#DIV/0!</v>
      </c>
      <c r="W1070" s="44"/>
      <c r="X1070" s="44"/>
      <c r="Y1070" s="44"/>
      <c r="Z1070" s="44"/>
      <c r="AA1070" s="44"/>
      <c r="AB1070" s="44"/>
      <c r="AC1070" s="44"/>
      <c r="AD1070" s="44"/>
      <c r="AE1070" s="44"/>
      <c r="AF1070" s="44"/>
      <c r="AG1070" s="44"/>
      <c r="AH1070" s="44"/>
      <c r="AI1070" s="44"/>
      <c r="AJ1070" s="44"/>
      <c r="AK1070" s="44"/>
      <c r="AL1070" s="44"/>
      <c r="AM1070" s="44"/>
      <c r="AN1070" s="44"/>
      <c r="AO1070" s="44"/>
      <c r="AP1070" s="44"/>
      <c r="AQ1070" s="44"/>
      <c r="AR1070" s="44"/>
      <c r="AS1070" s="44"/>
      <c r="AT1070" s="44"/>
      <c r="AU1070" s="44"/>
      <c r="AV1070" s="44"/>
      <c r="AW1070" s="44"/>
      <c r="AX1070" s="44"/>
      <c r="AY1070" s="44"/>
      <c r="AZ1070" s="44"/>
      <c r="BA1070" s="44"/>
      <c r="BB1070" s="44"/>
      <c r="BC1070" s="44"/>
      <c r="BD1070" s="44"/>
      <c r="BE1070" s="44"/>
      <c r="BF1070" s="44"/>
      <c r="BG1070" s="44"/>
      <c r="BH1070" s="44"/>
      <c r="BI1070" s="44"/>
      <c r="BJ1070" s="44"/>
      <c r="BK1070" s="44"/>
      <c r="BL1070" s="44"/>
      <c r="BM1070" s="44"/>
      <c r="BN1070" s="44"/>
      <c r="BO1070" s="44"/>
      <c r="BP1070" s="44"/>
      <c r="BQ1070" s="44"/>
      <c r="BR1070" s="44"/>
      <c r="BS1070" s="44"/>
      <c r="BT1070" s="44"/>
      <c r="BU1070" s="44"/>
      <c r="BV1070" s="44"/>
      <c r="BW1070" s="44"/>
      <c r="BX1070" s="44"/>
      <c r="BY1070" s="44"/>
      <c r="BZ1070" s="44"/>
      <c r="CA1070" s="44"/>
      <c r="CB1070" s="44"/>
      <c r="CC1070" s="44"/>
      <c r="CD1070" s="44"/>
      <c r="CE1070" s="44"/>
      <c r="CF1070" s="44"/>
      <c r="CG1070" s="44"/>
      <c r="CH1070" s="44"/>
      <c r="CI1070" s="44"/>
      <c r="CJ1070" s="44"/>
      <c r="CK1070" s="44"/>
      <c r="CL1070" s="44"/>
      <c r="CM1070" s="44"/>
      <c r="CN1070" s="44"/>
      <c r="CO1070" s="44"/>
      <c r="CP1070" s="44"/>
      <c r="CQ1070" s="44"/>
      <c r="CR1070" s="44"/>
      <c r="CS1070" s="44"/>
      <c r="CT1070" s="44"/>
      <c r="CU1070" s="44"/>
      <c r="CV1070" s="44"/>
      <c r="CW1070" s="44"/>
      <c r="CX1070" s="44"/>
      <c r="CY1070" s="44"/>
      <c r="CZ1070" s="44"/>
      <c r="DA1070" s="44"/>
      <c r="DB1070" s="44"/>
      <c r="DC1070" s="44"/>
      <c r="DD1070" s="44"/>
      <c r="DE1070" s="44"/>
      <c r="DF1070" s="44"/>
      <c r="DG1070" s="44"/>
      <c r="DH1070" s="44"/>
      <c r="DI1070" s="44"/>
      <c r="DJ1070" s="44"/>
      <c r="DK1070" s="44"/>
      <c r="DL1070" s="44"/>
      <c r="DM1070" s="44"/>
      <c r="DN1070" s="44"/>
      <c r="DO1070" s="44"/>
      <c r="DP1070" s="44"/>
      <c r="DQ1070" s="44"/>
      <c r="DR1070" s="44"/>
      <c r="DS1070" s="44"/>
      <c r="DT1070" s="44"/>
      <c r="DU1070" s="44"/>
      <c r="DV1070" s="44"/>
      <c r="DW1070" s="44"/>
      <c r="DX1070" s="44"/>
      <c r="DY1070" s="44"/>
      <c r="DZ1070" s="44"/>
      <c r="EA1070" s="44"/>
      <c r="EB1070" s="44"/>
      <c r="EC1070" s="44"/>
      <c r="ED1070" s="44"/>
      <c r="EE1070" s="44"/>
      <c r="EF1070" s="44"/>
      <c r="EG1070" s="44"/>
      <c r="EH1070" s="44"/>
      <c r="EI1070" s="44"/>
      <c r="EJ1070" s="44"/>
      <c r="EK1070" s="44"/>
      <c r="EL1070" s="44"/>
      <c r="EM1070" s="44"/>
      <c r="EN1070" s="44"/>
      <c r="EO1070" s="44"/>
      <c r="EP1070" s="44"/>
      <c r="EQ1070" s="44"/>
      <c r="ER1070" s="44"/>
      <c r="ES1070" s="44"/>
      <c r="ET1070" s="44"/>
      <c r="EU1070" s="44"/>
      <c r="EV1070" s="44"/>
      <c r="EW1070" s="44"/>
      <c r="EX1070" s="44"/>
      <c r="EY1070" s="44"/>
      <c r="EZ1070" s="44"/>
      <c r="FA1070" s="44"/>
      <c r="FB1070" s="44"/>
      <c r="FC1070" s="44"/>
      <c r="FD1070" s="44"/>
      <c r="FE1070" s="44"/>
      <c r="FF1070" s="44"/>
      <c r="FG1070" s="44"/>
      <c r="FH1070" s="44"/>
      <c r="FI1070" s="44"/>
      <c r="FJ1070" s="44"/>
      <c r="FK1070" s="44"/>
      <c r="FL1070" s="44"/>
      <c r="FM1070" s="44"/>
      <c r="FN1070" s="44"/>
      <c r="FO1070" s="44"/>
      <c r="FP1070" s="44"/>
      <c r="FQ1070" s="44"/>
      <c r="FR1070" s="44"/>
      <c r="FS1070" s="44"/>
      <c r="FT1070" s="44"/>
      <c r="FU1070" s="44"/>
      <c r="FV1070" s="44"/>
      <c r="FW1070" s="44"/>
      <c r="FX1070" s="44"/>
      <c r="FY1070" s="44"/>
      <c r="FZ1070" s="44"/>
      <c r="GA1070" s="44"/>
      <c r="GB1070" s="44"/>
      <c r="GC1070" s="44"/>
      <c r="GD1070" s="44"/>
      <c r="GE1070" s="44"/>
      <c r="GF1070" s="44"/>
      <c r="GG1070" s="44"/>
      <c r="GH1070" s="44"/>
      <c r="GI1070" s="44"/>
      <c r="GJ1070" s="44"/>
      <c r="GK1070" s="44"/>
      <c r="GL1070" s="44"/>
      <c r="GM1070" s="44"/>
      <c r="GN1070" s="44"/>
      <c r="GO1070" s="44"/>
      <c r="GP1070" s="44"/>
      <c r="GQ1070" s="44"/>
      <c r="GR1070" s="44"/>
      <c r="GS1070" s="44"/>
      <c r="GT1070" s="44"/>
      <c r="GU1070" s="44"/>
      <c r="GV1070" s="44"/>
      <c r="GW1070" s="44"/>
      <c r="GX1070" s="44"/>
      <c r="GY1070" s="44"/>
      <c r="GZ1070" s="44"/>
      <c r="HA1070" s="44"/>
      <c r="HB1070" s="44"/>
      <c r="HC1070" s="44"/>
      <c r="HD1070" s="44"/>
      <c r="HE1070" s="44"/>
      <c r="HF1070" s="44"/>
      <c r="HG1070" s="44"/>
      <c r="HH1070" s="44"/>
      <c r="HI1070" s="44"/>
      <c r="HJ1070" s="44"/>
      <c r="HK1070" s="44"/>
      <c r="HL1070" s="44"/>
      <c r="HM1070" s="44"/>
      <c r="HN1070" s="44"/>
      <c r="HO1070" s="44"/>
      <c r="HP1070" s="44"/>
      <c r="HQ1070" s="44"/>
      <c r="HR1070" s="44"/>
      <c r="HS1070" s="44"/>
      <c r="HT1070" s="44"/>
      <c r="HU1070" s="44"/>
      <c r="HV1070" s="44"/>
      <c r="HW1070" s="44"/>
      <c r="HX1070" s="44"/>
      <c r="HY1070" s="44"/>
      <c r="HZ1070" s="44"/>
      <c r="IA1070" s="44"/>
      <c r="IB1070" s="44"/>
      <c r="IC1070" s="44"/>
      <c r="ID1070" s="44"/>
      <c r="IE1070" s="44"/>
      <c r="IF1070" s="44"/>
      <c r="IG1070" s="44"/>
      <c r="IH1070" s="44"/>
      <c r="II1070" s="44"/>
      <c r="IJ1070" s="44"/>
      <c r="IK1070" s="44"/>
      <c r="IL1070" s="44"/>
      <c r="IM1070" s="44"/>
      <c r="IN1070" s="44"/>
      <c r="IO1070" s="44"/>
      <c r="IP1070" s="44"/>
      <c r="IQ1070" s="44"/>
      <c r="IR1070" s="44"/>
      <c r="IS1070" s="44"/>
      <c r="IT1070" s="44"/>
      <c r="IU1070" s="44"/>
      <c r="IV1070" s="44"/>
      <c r="IW1070" s="44"/>
      <c r="IX1070" s="44"/>
    </row>
    <row r="1071" spans="1:258" ht="25.15" customHeight="1" x14ac:dyDescent="0.25">
      <c r="A1071" s="21" t="s">
        <v>1868</v>
      </c>
      <c r="B1071" s="24" t="s">
        <v>633</v>
      </c>
      <c r="C1071" s="2">
        <f t="shared" si="267"/>
        <v>1768800</v>
      </c>
      <c r="D1071" s="3">
        <f t="shared" si="268"/>
        <v>0</v>
      </c>
      <c r="E1071" s="3">
        <v>0</v>
      </c>
      <c r="F1071" s="3">
        <v>0</v>
      </c>
      <c r="G1071" s="3">
        <v>0</v>
      </c>
      <c r="H1071" s="3">
        <v>0</v>
      </c>
      <c r="I1071" s="3">
        <v>0</v>
      </c>
      <c r="J1071" s="3">
        <v>0</v>
      </c>
      <c r="K1071" s="14">
        <v>0</v>
      </c>
      <c r="L1071" s="13">
        <v>0</v>
      </c>
      <c r="M1071" s="13">
        <v>268</v>
      </c>
      <c r="N1071" s="3">
        <f t="shared" ref="N1071:N1088" si="272">M1071*6600</f>
        <v>1768800</v>
      </c>
      <c r="O1071" s="13">
        <v>0</v>
      </c>
      <c r="P1071" s="13">
        <v>0</v>
      </c>
      <c r="Q1071" s="13">
        <v>0</v>
      </c>
      <c r="R1071" s="3">
        <f t="shared" si="271"/>
        <v>0</v>
      </c>
      <c r="S1071" s="13">
        <v>0</v>
      </c>
      <c r="T1071" s="13">
        <v>0</v>
      </c>
      <c r="U1071" s="13">
        <v>0</v>
      </c>
      <c r="V1071" s="5">
        <f t="shared" si="269"/>
        <v>6600</v>
      </c>
    </row>
    <row r="1072" spans="1:258" ht="25.15" customHeight="1" x14ac:dyDescent="0.25">
      <c r="A1072" s="21" t="s">
        <v>1869</v>
      </c>
      <c r="B1072" s="24" t="s">
        <v>722</v>
      </c>
      <c r="C1072" s="2">
        <f t="shared" si="267"/>
        <v>2098800</v>
      </c>
      <c r="D1072" s="3">
        <f t="shared" si="268"/>
        <v>0</v>
      </c>
      <c r="E1072" s="3">
        <v>0</v>
      </c>
      <c r="F1072" s="3">
        <v>0</v>
      </c>
      <c r="G1072" s="3">
        <v>0</v>
      </c>
      <c r="H1072" s="3">
        <v>0</v>
      </c>
      <c r="I1072" s="3">
        <v>0</v>
      </c>
      <c r="J1072" s="3">
        <v>0</v>
      </c>
      <c r="K1072" s="4">
        <v>0</v>
      </c>
      <c r="L1072" s="3">
        <v>0</v>
      </c>
      <c r="M1072" s="3">
        <v>318</v>
      </c>
      <c r="N1072" s="3">
        <f t="shared" si="272"/>
        <v>2098800</v>
      </c>
      <c r="O1072" s="3">
        <v>0</v>
      </c>
      <c r="P1072" s="3">
        <v>0</v>
      </c>
      <c r="Q1072" s="3">
        <v>0</v>
      </c>
      <c r="R1072" s="3">
        <f t="shared" si="271"/>
        <v>0</v>
      </c>
      <c r="S1072" s="3">
        <v>0</v>
      </c>
      <c r="T1072" s="13">
        <v>0</v>
      </c>
      <c r="U1072" s="3">
        <v>0</v>
      </c>
      <c r="V1072" s="5">
        <f t="shared" si="269"/>
        <v>6600</v>
      </c>
      <c r="W1072" s="32"/>
      <c r="X1072" s="32"/>
      <c r="Y1072" s="32"/>
      <c r="Z1072" s="32"/>
      <c r="AA1072" s="32"/>
      <c r="AB1072" s="32"/>
      <c r="AC1072" s="32"/>
      <c r="AD1072" s="32"/>
      <c r="AE1072" s="32"/>
      <c r="AF1072" s="32"/>
      <c r="AG1072" s="32"/>
      <c r="AH1072" s="32"/>
      <c r="AI1072" s="32"/>
      <c r="AJ1072" s="32"/>
      <c r="AK1072" s="32"/>
      <c r="AL1072" s="32"/>
      <c r="AM1072" s="32"/>
      <c r="AN1072" s="32"/>
      <c r="AO1072" s="32"/>
      <c r="AP1072" s="32"/>
      <c r="AQ1072" s="32"/>
      <c r="AR1072" s="32"/>
      <c r="AS1072" s="32"/>
      <c r="AT1072" s="32"/>
      <c r="AU1072" s="32"/>
      <c r="AV1072" s="32"/>
      <c r="AW1072" s="32"/>
      <c r="AX1072" s="32"/>
      <c r="AY1072" s="32"/>
      <c r="AZ1072" s="32"/>
      <c r="BA1072" s="32"/>
      <c r="BB1072" s="32"/>
      <c r="BC1072" s="32"/>
      <c r="BD1072" s="32"/>
      <c r="BE1072" s="32"/>
      <c r="BF1072" s="32"/>
      <c r="BG1072" s="32"/>
      <c r="BH1072" s="32"/>
      <c r="BI1072" s="32"/>
      <c r="BJ1072" s="32"/>
      <c r="BK1072" s="32"/>
      <c r="BL1072" s="32"/>
      <c r="BM1072" s="32"/>
      <c r="BN1072" s="32"/>
      <c r="BO1072" s="32"/>
      <c r="BP1072" s="32"/>
      <c r="BQ1072" s="32"/>
      <c r="BR1072" s="32"/>
      <c r="BS1072" s="32"/>
      <c r="BT1072" s="32"/>
      <c r="BU1072" s="32"/>
      <c r="BV1072" s="32"/>
      <c r="BW1072" s="32"/>
      <c r="BX1072" s="32"/>
      <c r="BY1072" s="32"/>
      <c r="BZ1072" s="32"/>
      <c r="CA1072" s="32"/>
      <c r="CB1072" s="32"/>
      <c r="CC1072" s="32"/>
      <c r="CD1072" s="32"/>
      <c r="CE1072" s="32"/>
      <c r="CF1072" s="32"/>
      <c r="CG1072" s="32"/>
      <c r="CH1072" s="32"/>
      <c r="CI1072" s="32"/>
      <c r="CJ1072" s="32"/>
      <c r="CK1072" s="32"/>
      <c r="CL1072" s="32"/>
      <c r="CM1072" s="32"/>
      <c r="CN1072" s="32"/>
      <c r="CO1072" s="32"/>
      <c r="CP1072" s="32"/>
      <c r="CQ1072" s="32"/>
      <c r="CR1072" s="32"/>
      <c r="CS1072" s="32"/>
      <c r="CT1072" s="32"/>
      <c r="CU1072" s="32"/>
      <c r="CV1072" s="32"/>
      <c r="CW1072" s="32"/>
      <c r="CX1072" s="32"/>
      <c r="CY1072" s="32"/>
      <c r="CZ1072" s="32"/>
      <c r="DA1072" s="32"/>
      <c r="DB1072" s="32"/>
      <c r="DC1072" s="32"/>
      <c r="DD1072" s="32"/>
      <c r="DE1072" s="32"/>
      <c r="DF1072" s="32"/>
      <c r="DG1072" s="32"/>
      <c r="DH1072" s="32"/>
      <c r="DI1072" s="32"/>
      <c r="DJ1072" s="32"/>
      <c r="DK1072" s="32"/>
      <c r="DL1072" s="32"/>
      <c r="DM1072" s="32"/>
      <c r="DN1072" s="32"/>
      <c r="DO1072" s="32"/>
      <c r="DP1072" s="32"/>
      <c r="DQ1072" s="32"/>
      <c r="DR1072" s="32"/>
      <c r="DS1072" s="32"/>
      <c r="DT1072" s="32"/>
      <c r="DU1072" s="32"/>
      <c r="DV1072" s="32"/>
      <c r="DW1072" s="32"/>
      <c r="DX1072" s="32"/>
      <c r="DY1072" s="32"/>
      <c r="DZ1072" s="32"/>
      <c r="EA1072" s="32"/>
      <c r="EB1072" s="32"/>
      <c r="EC1072" s="32"/>
      <c r="ED1072" s="32"/>
      <c r="EE1072" s="32"/>
      <c r="EF1072" s="32"/>
      <c r="EG1072" s="32"/>
      <c r="EH1072" s="32"/>
      <c r="EI1072" s="32"/>
      <c r="EJ1072" s="32"/>
      <c r="EK1072" s="32"/>
      <c r="EL1072" s="32"/>
      <c r="EM1072" s="32"/>
      <c r="EN1072" s="32"/>
      <c r="EO1072" s="32"/>
      <c r="EP1072" s="32"/>
      <c r="EQ1072" s="32"/>
      <c r="ER1072" s="32"/>
      <c r="ES1072" s="32"/>
      <c r="ET1072" s="32"/>
      <c r="EU1072" s="32"/>
      <c r="EV1072" s="32"/>
      <c r="EW1072" s="32"/>
      <c r="EX1072" s="32"/>
      <c r="EY1072" s="32"/>
      <c r="EZ1072" s="32"/>
      <c r="FA1072" s="32"/>
      <c r="FB1072" s="32"/>
      <c r="FC1072" s="32"/>
      <c r="FD1072" s="32"/>
      <c r="FE1072" s="32"/>
      <c r="FF1072" s="32"/>
      <c r="FG1072" s="32"/>
      <c r="FH1072" s="32"/>
      <c r="FI1072" s="32"/>
      <c r="FJ1072" s="32"/>
      <c r="FK1072" s="32"/>
      <c r="FL1072" s="32"/>
      <c r="FM1072" s="32"/>
      <c r="FN1072" s="32"/>
      <c r="FO1072" s="32"/>
      <c r="FP1072" s="32"/>
      <c r="FQ1072" s="32"/>
      <c r="FR1072" s="32"/>
      <c r="FS1072" s="32"/>
      <c r="FT1072" s="32"/>
      <c r="FU1072" s="32"/>
      <c r="FV1072" s="32"/>
      <c r="FW1072" s="32"/>
      <c r="FX1072" s="32"/>
      <c r="FY1072" s="32"/>
      <c r="FZ1072" s="32"/>
      <c r="GA1072" s="32"/>
      <c r="GB1072" s="32"/>
      <c r="GC1072" s="32"/>
      <c r="GD1072" s="32"/>
      <c r="GE1072" s="32"/>
      <c r="GF1072" s="32"/>
      <c r="GG1072" s="32"/>
      <c r="GH1072" s="32"/>
      <c r="GI1072" s="32"/>
      <c r="GJ1072" s="32"/>
      <c r="GK1072" s="32"/>
      <c r="GL1072" s="32"/>
      <c r="GM1072" s="32"/>
      <c r="GN1072" s="32"/>
      <c r="GO1072" s="32"/>
      <c r="GP1072" s="32"/>
      <c r="GQ1072" s="32"/>
      <c r="GR1072" s="32"/>
      <c r="GS1072" s="32"/>
      <c r="GT1072" s="32"/>
      <c r="GU1072" s="32"/>
      <c r="GV1072" s="32"/>
      <c r="GW1072" s="32"/>
      <c r="GX1072" s="32"/>
      <c r="GY1072" s="32"/>
      <c r="GZ1072" s="32"/>
      <c r="HA1072" s="32"/>
      <c r="HB1072" s="32"/>
      <c r="HC1072" s="32"/>
      <c r="HD1072" s="32"/>
      <c r="HE1072" s="32"/>
      <c r="HF1072" s="32"/>
      <c r="HG1072" s="32"/>
      <c r="HH1072" s="32"/>
      <c r="HI1072" s="32"/>
      <c r="HJ1072" s="32"/>
      <c r="HK1072" s="32"/>
      <c r="HL1072" s="32"/>
      <c r="HM1072" s="32"/>
      <c r="HN1072" s="32"/>
      <c r="HO1072" s="32"/>
      <c r="HP1072" s="32"/>
      <c r="HQ1072" s="32"/>
      <c r="HR1072" s="32"/>
      <c r="HS1072" s="32"/>
      <c r="HT1072" s="32"/>
      <c r="HU1072" s="32"/>
      <c r="HV1072" s="32"/>
      <c r="HW1072" s="32"/>
      <c r="HX1072" s="32"/>
      <c r="HY1072" s="32"/>
      <c r="HZ1072" s="32"/>
      <c r="IA1072" s="32"/>
      <c r="IB1072" s="32"/>
      <c r="IC1072" s="32"/>
      <c r="ID1072" s="32"/>
      <c r="IE1072" s="32"/>
      <c r="IF1072" s="32"/>
      <c r="IG1072" s="32"/>
      <c r="IH1072" s="32"/>
      <c r="II1072" s="32"/>
      <c r="IJ1072" s="32"/>
      <c r="IK1072" s="32"/>
      <c r="IL1072" s="32"/>
      <c r="IM1072" s="32"/>
      <c r="IN1072" s="32"/>
      <c r="IO1072" s="32"/>
      <c r="IP1072" s="32"/>
      <c r="IQ1072" s="32"/>
      <c r="IR1072" s="32"/>
      <c r="IS1072" s="32"/>
      <c r="IT1072" s="32"/>
      <c r="IU1072" s="32"/>
      <c r="IV1072" s="32"/>
      <c r="IW1072" s="32"/>
      <c r="IX1072" s="32"/>
    </row>
    <row r="1073" spans="1:258" ht="25.15" customHeight="1" x14ac:dyDescent="0.25">
      <c r="A1073" s="21" t="s">
        <v>1870</v>
      </c>
      <c r="B1073" s="24" t="s">
        <v>723</v>
      </c>
      <c r="C1073" s="2">
        <f t="shared" si="267"/>
        <v>2098800</v>
      </c>
      <c r="D1073" s="3">
        <f t="shared" si="268"/>
        <v>0</v>
      </c>
      <c r="E1073" s="3">
        <v>0</v>
      </c>
      <c r="F1073" s="3">
        <v>0</v>
      </c>
      <c r="G1073" s="3">
        <v>0</v>
      </c>
      <c r="H1073" s="3">
        <v>0</v>
      </c>
      <c r="I1073" s="3">
        <v>0</v>
      </c>
      <c r="J1073" s="3">
        <v>0</v>
      </c>
      <c r="K1073" s="4">
        <v>0</v>
      </c>
      <c r="L1073" s="3">
        <v>0</v>
      </c>
      <c r="M1073" s="13">
        <v>318</v>
      </c>
      <c r="N1073" s="3">
        <f t="shared" si="272"/>
        <v>2098800</v>
      </c>
      <c r="O1073" s="3">
        <v>0</v>
      </c>
      <c r="P1073" s="3">
        <v>0</v>
      </c>
      <c r="Q1073" s="3">
        <v>0</v>
      </c>
      <c r="R1073" s="3">
        <f t="shared" si="271"/>
        <v>0</v>
      </c>
      <c r="S1073" s="3">
        <v>0</v>
      </c>
      <c r="T1073" s="13">
        <v>0</v>
      </c>
      <c r="U1073" s="3">
        <v>0</v>
      </c>
      <c r="V1073" s="5">
        <f t="shared" si="269"/>
        <v>6600</v>
      </c>
    </row>
    <row r="1074" spans="1:258" ht="25.15" customHeight="1" x14ac:dyDescent="0.25">
      <c r="A1074" s="21" t="s">
        <v>1871</v>
      </c>
      <c r="B1074" s="24" t="s">
        <v>637</v>
      </c>
      <c r="C1074" s="2">
        <f t="shared" si="267"/>
        <v>1766820</v>
      </c>
      <c r="D1074" s="3">
        <f t="shared" si="268"/>
        <v>0</v>
      </c>
      <c r="E1074" s="3">
        <v>0</v>
      </c>
      <c r="F1074" s="3">
        <v>0</v>
      </c>
      <c r="G1074" s="3">
        <v>0</v>
      </c>
      <c r="H1074" s="3">
        <v>0</v>
      </c>
      <c r="I1074" s="3">
        <v>0</v>
      </c>
      <c r="J1074" s="3">
        <v>0</v>
      </c>
      <c r="K1074" s="14">
        <v>0</v>
      </c>
      <c r="L1074" s="13">
        <v>0</v>
      </c>
      <c r="M1074" s="13">
        <v>267.7</v>
      </c>
      <c r="N1074" s="3">
        <f t="shared" si="272"/>
        <v>1766820</v>
      </c>
      <c r="O1074" s="13">
        <v>0</v>
      </c>
      <c r="P1074" s="13">
        <v>0</v>
      </c>
      <c r="Q1074" s="13">
        <v>0</v>
      </c>
      <c r="R1074" s="3">
        <f t="shared" si="271"/>
        <v>0</v>
      </c>
      <c r="S1074" s="13">
        <v>0</v>
      </c>
      <c r="T1074" s="13">
        <v>0</v>
      </c>
      <c r="U1074" s="13">
        <v>0</v>
      </c>
      <c r="V1074" s="5">
        <f t="shared" si="269"/>
        <v>6600</v>
      </c>
    </row>
    <row r="1075" spans="1:258" ht="25.15" customHeight="1" x14ac:dyDescent="0.25">
      <c r="A1075" s="21" t="s">
        <v>1982</v>
      </c>
      <c r="B1075" s="24" t="s">
        <v>638</v>
      </c>
      <c r="C1075" s="2">
        <f t="shared" si="267"/>
        <v>1780020</v>
      </c>
      <c r="D1075" s="3">
        <f t="shared" si="268"/>
        <v>0</v>
      </c>
      <c r="E1075" s="3">
        <v>0</v>
      </c>
      <c r="F1075" s="3">
        <v>0</v>
      </c>
      <c r="G1075" s="3">
        <v>0</v>
      </c>
      <c r="H1075" s="3">
        <v>0</v>
      </c>
      <c r="I1075" s="3">
        <v>0</v>
      </c>
      <c r="J1075" s="3">
        <v>0</v>
      </c>
      <c r="K1075" s="14">
        <v>0</v>
      </c>
      <c r="L1075" s="13">
        <v>0</v>
      </c>
      <c r="M1075" s="13">
        <v>269.7</v>
      </c>
      <c r="N1075" s="3">
        <f t="shared" si="272"/>
        <v>1780020</v>
      </c>
      <c r="O1075" s="13">
        <v>0</v>
      </c>
      <c r="P1075" s="13">
        <v>0</v>
      </c>
      <c r="Q1075" s="13">
        <v>0</v>
      </c>
      <c r="R1075" s="3">
        <f t="shared" si="271"/>
        <v>0</v>
      </c>
      <c r="S1075" s="13">
        <v>0</v>
      </c>
      <c r="T1075" s="13">
        <v>0</v>
      </c>
      <c r="U1075" s="13">
        <v>0</v>
      </c>
      <c r="V1075" s="5">
        <f t="shared" si="269"/>
        <v>6600</v>
      </c>
    </row>
    <row r="1076" spans="1:258" ht="25.15" customHeight="1" x14ac:dyDescent="0.25">
      <c r="A1076" s="21" t="s">
        <v>1872</v>
      </c>
      <c r="B1076" s="24" t="s">
        <v>639</v>
      </c>
      <c r="C1076" s="2">
        <f t="shared" si="267"/>
        <v>1786620</v>
      </c>
      <c r="D1076" s="3">
        <f t="shared" si="268"/>
        <v>0</v>
      </c>
      <c r="E1076" s="3">
        <v>0</v>
      </c>
      <c r="F1076" s="3">
        <v>0</v>
      </c>
      <c r="G1076" s="3">
        <v>0</v>
      </c>
      <c r="H1076" s="3">
        <v>0</v>
      </c>
      <c r="I1076" s="3">
        <v>0</v>
      </c>
      <c r="J1076" s="3">
        <v>0</v>
      </c>
      <c r="K1076" s="14">
        <v>0</v>
      </c>
      <c r="L1076" s="13">
        <v>0</v>
      </c>
      <c r="M1076" s="13">
        <v>270.7</v>
      </c>
      <c r="N1076" s="3">
        <f t="shared" si="272"/>
        <v>1786620</v>
      </c>
      <c r="O1076" s="13">
        <v>0</v>
      </c>
      <c r="P1076" s="13">
        <v>0</v>
      </c>
      <c r="Q1076" s="13">
        <v>0</v>
      </c>
      <c r="R1076" s="3">
        <f t="shared" si="271"/>
        <v>0</v>
      </c>
      <c r="S1076" s="13">
        <v>0</v>
      </c>
      <c r="T1076" s="13">
        <v>0</v>
      </c>
      <c r="U1076" s="13">
        <v>0</v>
      </c>
      <c r="V1076" s="5">
        <f t="shared" si="269"/>
        <v>6600</v>
      </c>
    </row>
    <row r="1077" spans="1:258" ht="25.15" customHeight="1" x14ac:dyDescent="0.25">
      <c r="A1077" s="21" t="s">
        <v>1873</v>
      </c>
      <c r="B1077" s="24" t="s">
        <v>451</v>
      </c>
      <c r="C1077" s="2">
        <f t="shared" si="267"/>
        <v>1729200</v>
      </c>
      <c r="D1077" s="3">
        <f t="shared" si="268"/>
        <v>0</v>
      </c>
      <c r="E1077" s="3">
        <v>0</v>
      </c>
      <c r="F1077" s="3">
        <v>0</v>
      </c>
      <c r="G1077" s="3">
        <v>0</v>
      </c>
      <c r="H1077" s="3">
        <v>0</v>
      </c>
      <c r="I1077" s="3">
        <v>0</v>
      </c>
      <c r="J1077" s="3">
        <v>0</v>
      </c>
      <c r="K1077" s="4">
        <v>0</v>
      </c>
      <c r="L1077" s="3">
        <v>0</v>
      </c>
      <c r="M1077" s="3">
        <v>262</v>
      </c>
      <c r="N1077" s="3">
        <f t="shared" si="272"/>
        <v>1729200</v>
      </c>
      <c r="O1077" s="3">
        <v>0</v>
      </c>
      <c r="P1077" s="3">
        <v>0</v>
      </c>
      <c r="Q1077" s="3">
        <v>0</v>
      </c>
      <c r="R1077" s="3">
        <f>Q1077*3000</f>
        <v>0</v>
      </c>
      <c r="S1077" s="3">
        <v>0</v>
      </c>
      <c r="T1077" s="13">
        <v>0</v>
      </c>
      <c r="U1077" s="3">
        <v>0</v>
      </c>
      <c r="V1077" s="5">
        <f t="shared" si="269"/>
        <v>6600</v>
      </c>
    </row>
    <row r="1078" spans="1:258" ht="25.15" customHeight="1" x14ac:dyDescent="0.25">
      <c r="A1078" s="21" t="s">
        <v>1874</v>
      </c>
      <c r="B1078" s="24" t="s">
        <v>727</v>
      </c>
      <c r="C1078" s="2">
        <f t="shared" si="267"/>
        <v>1787280</v>
      </c>
      <c r="D1078" s="3">
        <f t="shared" si="268"/>
        <v>0</v>
      </c>
      <c r="E1078" s="3">
        <v>0</v>
      </c>
      <c r="F1078" s="3">
        <v>0</v>
      </c>
      <c r="G1078" s="3">
        <v>0</v>
      </c>
      <c r="H1078" s="3">
        <v>0</v>
      </c>
      <c r="I1078" s="3">
        <v>0</v>
      </c>
      <c r="J1078" s="3">
        <v>0</v>
      </c>
      <c r="K1078" s="4">
        <v>0</v>
      </c>
      <c r="L1078" s="3">
        <v>0</v>
      </c>
      <c r="M1078" s="13">
        <v>270.8</v>
      </c>
      <c r="N1078" s="3">
        <f t="shared" si="272"/>
        <v>1787280</v>
      </c>
      <c r="O1078" s="3">
        <v>0</v>
      </c>
      <c r="P1078" s="3">
        <v>0</v>
      </c>
      <c r="Q1078" s="3">
        <v>0</v>
      </c>
      <c r="R1078" s="3">
        <f t="shared" ref="R1078:R1102" si="273">Q1078*3200</f>
        <v>0</v>
      </c>
      <c r="S1078" s="3">
        <v>0</v>
      </c>
      <c r="T1078" s="13">
        <v>0</v>
      </c>
      <c r="U1078" s="3">
        <v>0</v>
      </c>
      <c r="V1078" s="5">
        <f t="shared" si="269"/>
        <v>6600</v>
      </c>
      <c r="W1078" s="44"/>
      <c r="X1078" s="44"/>
      <c r="Y1078" s="44"/>
      <c r="Z1078" s="44"/>
      <c r="AA1078" s="44"/>
      <c r="AB1078" s="44"/>
      <c r="AC1078" s="44"/>
      <c r="AD1078" s="44"/>
      <c r="AE1078" s="44"/>
      <c r="AF1078" s="44"/>
      <c r="AG1078" s="44"/>
      <c r="AH1078" s="44"/>
      <c r="AI1078" s="44"/>
      <c r="AJ1078" s="44"/>
      <c r="AK1078" s="44"/>
      <c r="AL1078" s="44"/>
      <c r="AM1078" s="44"/>
      <c r="AN1078" s="44"/>
      <c r="AO1078" s="44"/>
      <c r="AP1078" s="44"/>
      <c r="AQ1078" s="44"/>
      <c r="AR1078" s="44"/>
      <c r="AS1078" s="44"/>
      <c r="AT1078" s="44"/>
      <c r="AU1078" s="44"/>
      <c r="AV1078" s="44"/>
      <c r="AW1078" s="44"/>
      <c r="AX1078" s="44"/>
      <c r="AY1078" s="44"/>
      <c r="AZ1078" s="44"/>
      <c r="BA1078" s="44"/>
      <c r="BB1078" s="44"/>
      <c r="BC1078" s="44"/>
      <c r="BD1078" s="44"/>
      <c r="BE1078" s="44"/>
      <c r="BF1078" s="44"/>
      <c r="BG1078" s="44"/>
      <c r="BH1078" s="44"/>
      <c r="BI1078" s="44"/>
      <c r="BJ1078" s="44"/>
      <c r="BK1078" s="44"/>
      <c r="BL1078" s="44"/>
      <c r="BM1078" s="44"/>
      <c r="BN1078" s="44"/>
      <c r="BO1078" s="44"/>
      <c r="BP1078" s="44"/>
      <c r="BQ1078" s="44"/>
      <c r="BR1078" s="44"/>
      <c r="BS1078" s="44"/>
      <c r="BT1078" s="44"/>
      <c r="BU1078" s="44"/>
      <c r="BV1078" s="44"/>
      <c r="BW1078" s="44"/>
      <c r="BX1078" s="44"/>
      <c r="BY1078" s="44"/>
      <c r="BZ1078" s="44"/>
      <c r="CA1078" s="44"/>
      <c r="CB1078" s="44"/>
      <c r="CC1078" s="44"/>
      <c r="CD1078" s="44"/>
      <c r="CE1078" s="44"/>
      <c r="CF1078" s="44"/>
      <c r="CG1078" s="44"/>
      <c r="CH1078" s="44"/>
      <c r="CI1078" s="44"/>
      <c r="CJ1078" s="44"/>
      <c r="CK1078" s="44"/>
      <c r="CL1078" s="44"/>
      <c r="CM1078" s="44"/>
      <c r="CN1078" s="44"/>
      <c r="CO1078" s="44"/>
      <c r="CP1078" s="44"/>
      <c r="CQ1078" s="44"/>
      <c r="CR1078" s="44"/>
      <c r="CS1078" s="44"/>
      <c r="CT1078" s="44"/>
      <c r="CU1078" s="44"/>
      <c r="CV1078" s="44"/>
      <c r="CW1078" s="44"/>
      <c r="CX1078" s="44"/>
      <c r="CY1078" s="44"/>
      <c r="CZ1078" s="44"/>
      <c r="DA1078" s="44"/>
      <c r="DB1078" s="44"/>
      <c r="DC1078" s="44"/>
      <c r="DD1078" s="44"/>
      <c r="DE1078" s="44"/>
      <c r="DF1078" s="44"/>
      <c r="DG1078" s="44"/>
      <c r="DH1078" s="44"/>
      <c r="DI1078" s="44"/>
      <c r="DJ1078" s="44"/>
      <c r="DK1078" s="44"/>
      <c r="DL1078" s="44"/>
      <c r="DM1078" s="44"/>
      <c r="DN1078" s="44"/>
      <c r="DO1078" s="44"/>
      <c r="DP1078" s="44"/>
      <c r="DQ1078" s="44"/>
      <c r="DR1078" s="44"/>
      <c r="DS1078" s="44"/>
      <c r="DT1078" s="44"/>
      <c r="DU1078" s="44"/>
      <c r="DV1078" s="44"/>
      <c r="DW1078" s="44"/>
      <c r="DX1078" s="44"/>
      <c r="DY1078" s="44"/>
      <c r="DZ1078" s="44"/>
      <c r="EA1078" s="44"/>
      <c r="EB1078" s="44"/>
      <c r="EC1078" s="44"/>
      <c r="ED1078" s="44"/>
      <c r="EE1078" s="44"/>
      <c r="EF1078" s="44"/>
      <c r="EG1078" s="44"/>
      <c r="EH1078" s="44"/>
      <c r="EI1078" s="44"/>
      <c r="EJ1078" s="44"/>
      <c r="EK1078" s="44"/>
      <c r="EL1078" s="44"/>
      <c r="EM1078" s="44"/>
      <c r="EN1078" s="44"/>
      <c r="EO1078" s="44"/>
      <c r="EP1078" s="44"/>
      <c r="EQ1078" s="44"/>
      <c r="ER1078" s="44"/>
      <c r="ES1078" s="44"/>
      <c r="ET1078" s="44"/>
      <c r="EU1078" s="44"/>
      <c r="EV1078" s="44"/>
      <c r="EW1078" s="44"/>
      <c r="EX1078" s="44"/>
      <c r="EY1078" s="44"/>
      <c r="EZ1078" s="44"/>
      <c r="FA1078" s="44"/>
      <c r="FB1078" s="44"/>
      <c r="FC1078" s="44"/>
      <c r="FD1078" s="44"/>
      <c r="FE1078" s="44"/>
      <c r="FF1078" s="44"/>
      <c r="FG1078" s="44"/>
      <c r="FH1078" s="44"/>
      <c r="FI1078" s="44"/>
      <c r="FJ1078" s="44"/>
      <c r="FK1078" s="44"/>
      <c r="FL1078" s="44"/>
      <c r="FM1078" s="44"/>
      <c r="FN1078" s="44"/>
      <c r="FO1078" s="44"/>
      <c r="FP1078" s="44"/>
      <c r="FQ1078" s="44"/>
      <c r="FR1078" s="44"/>
      <c r="FS1078" s="44"/>
      <c r="FT1078" s="44"/>
      <c r="FU1078" s="44"/>
      <c r="FV1078" s="44"/>
      <c r="FW1078" s="44"/>
      <c r="FX1078" s="44"/>
      <c r="FY1078" s="44"/>
      <c r="FZ1078" s="44"/>
      <c r="GA1078" s="44"/>
      <c r="GB1078" s="44"/>
      <c r="GC1078" s="44"/>
      <c r="GD1078" s="44"/>
      <c r="GE1078" s="44"/>
      <c r="GF1078" s="44"/>
      <c r="GG1078" s="44"/>
      <c r="GH1078" s="44"/>
      <c r="GI1078" s="44"/>
      <c r="GJ1078" s="44"/>
      <c r="GK1078" s="44"/>
      <c r="GL1078" s="44"/>
      <c r="GM1078" s="44"/>
      <c r="GN1078" s="44"/>
      <c r="GO1078" s="44"/>
      <c r="GP1078" s="44"/>
      <c r="GQ1078" s="44"/>
      <c r="GR1078" s="44"/>
      <c r="GS1078" s="44"/>
      <c r="GT1078" s="44"/>
      <c r="GU1078" s="44"/>
      <c r="GV1078" s="44"/>
      <c r="GW1078" s="44"/>
      <c r="GX1078" s="44"/>
      <c r="GY1078" s="44"/>
      <c r="GZ1078" s="44"/>
      <c r="HA1078" s="44"/>
      <c r="HB1078" s="44"/>
      <c r="HC1078" s="44"/>
      <c r="HD1078" s="44"/>
      <c r="HE1078" s="44"/>
      <c r="HF1078" s="44"/>
      <c r="HG1078" s="44"/>
      <c r="HH1078" s="44"/>
      <c r="HI1078" s="44"/>
      <c r="HJ1078" s="44"/>
      <c r="HK1078" s="44"/>
      <c r="HL1078" s="44"/>
      <c r="HM1078" s="44"/>
      <c r="HN1078" s="44"/>
      <c r="HO1078" s="44"/>
      <c r="HP1078" s="44"/>
      <c r="HQ1078" s="44"/>
      <c r="HR1078" s="44"/>
      <c r="HS1078" s="44"/>
      <c r="HT1078" s="44"/>
      <c r="HU1078" s="44"/>
      <c r="HV1078" s="44"/>
      <c r="HW1078" s="44"/>
      <c r="HX1078" s="44"/>
      <c r="HY1078" s="44"/>
      <c r="HZ1078" s="44"/>
      <c r="IA1078" s="44"/>
      <c r="IB1078" s="44"/>
      <c r="IC1078" s="44"/>
      <c r="ID1078" s="44"/>
      <c r="IE1078" s="44"/>
      <c r="IF1078" s="44"/>
      <c r="IG1078" s="44"/>
      <c r="IH1078" s="44"/>
      <c r="II1078" s="44"/>
      <c r="IJ1078" s="44"/>
      <c r="IK1078" s="44"/>
      <c r="IL1078" s="44"/>
      <c r="IM1078" s="44"/>
      <c r="IN1078" s="44"/>
      <c r="IO1078" s="44"/>
      <c r="IP1078" s="44"/>
      <c r="IQ1078" s="44"/>
      <c r="IR1078" s="44"/>
      <c r="IS1078" s="44"/>
      <c r="IT1078" s="44"/>
      <c r="IU1078" s="44"/>
      <c r="IV1078" s="44"/>
      <c r="IW1078" s="44"/>
      <c r="IX1078" s="44"/>
    </row>
    <row r="1079" spans="1:258" ht="25.15" customHeight="1" x14ac:dyDescent="0.25">
      <c r="A1079" s="21" t="s">
        <v>1983</v>
      </c>
      <c r="B1079" s="24" t="s">
        <v>728</v>
      </c>
      <c r="C1079" s="2">
        <f t="shared" si="267"/>
        <v>1749000</v>
      </c>
      <c r="D1079" s="3">
        <f t="shared" si="268"/>
        <v>0</v>
      </c>
      <c r="E1079" s="3">
        <v>0</v>
      </c>
      <c r="F1079" s="3">
        <v>0</v>
      </c>
      <c r="G1079" s="3">
        <v>0</v>
      </c>
      <c r="H1079" s="3">
        <v>0</v>
      </c>
      <c r="I1079" s="3">
        <v>0</v>
      </c>
      <c r="J1079" s="3">
        <v>0</v>
      </c>
      <c r="K1079" s="4">
        <v>0</v>
      </c>
      <c r="L1079" s="3">
        <v>0</v>
      </c>
      <c r="M1079" s="13">
        <v>265</v>
      </c>
      <c r="N1079" s="3">
        <f t="shared" si="272"/>
        <v>1749000</v>
      </c>
      <c r="O1079" s="3">
        <v>0</v>
      </c>
      <c r="P1079" s="3">
        <v>0</v>
      </c>
      <c r="Q1079" s="3">
        <v>0</v>
      </c>
      <c r="R1079" s="3">
        <f t="shared" si="273"/>
        <v>0</v>
      </c>
      <c r="S1079" s="3">
        <v>0</v>
      </c>
      <c r="T1079" s="13">
        <v>0</v>
      </c>
      <c r="U1079" s="3">
        <v>0</v>
      </c>
      <c r="V1079" s="5">
        <f t="shared" si="269"/>
        <v>6600</v>
      </c>
      <c r="W1079" s="44"/>
      <c r="X1079" s="44"/>
      <c r="Y1079" s="44"/>
      <c r="Z1079" s="44"/>
      <c r="AA1079" s="44"/>
      <c r="AB1079" s="44"/>
      <c r="AC1079" s="44"/>
      <c r="AD1079" s="44"/>
      <c r="AE1079" s="44"/>
      <c r="AF1079" s="44"/>
      <c r="AG1079" s="44"/>
      <c r="AH1079" s="44"/>
      <c r="AI1079" s="44"/>
      <c r="AJ1079" s="44"/>
      <c r="AK1079" s="44"/>
      <c r="AL1079" s="44"/>
      <c r="AM1079" s="44"/>
      <c r="AN1079" s="44"/>
      <c r="AO1079" s="44"/>
      <c r="AP1079" s="44"/>
      <c r="AQ1079" s="44"/>
      <c r="AR1079" s="44"/>
      <c r="AS1079" s="44"/>
      <c r="AT1079" s="44"/>
      <c r="AU1079" s="44"/>
      <c r="AV1079" s="44"/>
      <c r="AW1079" s="44"/>
      <c r="AX1079" s="44"/>
      <c r="AY1079" s="44"/>
      <c r="AZ1079" s="44"/>
      <c r="BA1079" s="44"/>
      <c r="BB1079" s="44"/>
      <c r="BC1079" s="44"/>
      <c r="BD1079" s="44"/>
      <c r="BE1079" s="44"/>
      <c r="BF1079" s="44"/>
      <c r="BG1079" s="44"/>
      <c r="BH1079" s="44"/>
      <c r="BI1079" s="44"/>
      <c r="BJ1079" s="44"/>
      <c r="BK1079" s="44"/>
      <c r="BL1079" s="44"/>
      <c r="BM1079" s="44"/>
      <c r="BN1079" s="44"/>
      <c r="BO1079" s="44"/>
      <c r="BP1079" s="44"/>
      <c r="BQ1079" s="44"/>
      <c r="BR1079" s="44"/>
      <c r="BS1079" s="44"/>
      <c r="BT1079" s="44"/>
      <c r="BU1079" s="44"/>
      <c r="BV1079" s="44"/>
      <c r="BW1079" s="44"/>
      <c r="BX1079" s="44"/>
      <c r="BY1079" s="44"/>
      <c r="BZ1079" s="44"/>
      <c r="CA1079" s="44"/>
      <c r="CB1079" s="44"/>
      <c r="CC1079" s="44"/>
      <c r="CD1079" s="44"/>
      <c r="CE1079" s="44"/>
      <c r="CF1079" s="44"/>
      <c r="CG1079" s="44"/>
      <c r="CH1079" s="44"/>
      <c r="CI1079" s="44"/>
      <c r="CJ1079" s="44"/>
      <c r="CK1079" s="44"/>
      <c r="CL1079" s="44"/>
      <c r="CM1079" s="44"/>
      <c r="CN1079" s="44"/>
      <c r="CO1079" s="44"/>
      <c r="CP1079" s="44"/>
      <c r="CQ1079" s="44"/>
      <c r="CR1079" s="44"/>
      <c r="CS1079" s="44"/>
      <c r="CT1079" s="44"/>
      <c r="CU1079" s="44"/>
      <c r="CV1079" s="44"/>
      <c r="CW1079" s="44"/>
      <c r="CX1079" s="44"/>
      <c r="CY1079" s="44"/>
      <c r="CZ1079" s="44"/>
      <c r="DA1079" s="44"/>
      <c r="DB1079" s="44"/>
      <c r="DC1079" s="44"/>
      <c r="DD1079" s="44"/>
      <c r="DE1079" s="44"/>
      <c r="DF1079" s="44"/>
      <c r="DG1079" s="44"/>
      <c r="DH1079" s="44"/>
      <c r="DI1079" s="44"/>
      <c r="DJ1079" s="44"/>
      <c r="DK1079" s="44"/>
      <c r="DL1079" s="44"/>
      <c r="DM1079" s="44"/>
      <c r="DN1079" s="44"/>
      <c r="DO1079" s="44"/>
      <c r="DP1079" s="44"/>
      <c r="DQ1079" s="44"/>
      <c r="DR1079" s="44"/>
      <c r="DS1079" s="44"/>
      <c r="DT1079" s="44"/>
      <c r="DU1079" s="44"/>
      <c r="DV1079" s="44"/>
      <c r="DW1079" s="44"/>
      <c r="DX1079" s="44"/>
      <c r="DY1079" s="44"/>
      <c r="DZ1079" s="44"/>
      <c r="EA1079" s="44"/>
      <c r="EB1079" s="44"/>
      <c r="EC1079" s="44"/>
      <c r="ED1079" s="44"/>
      <c r="EE1079" s="44"/>
      <c r="EF1079" s="44"/>
      <c r="EG1079" s="44"/>
      <c r="EH1079" s="44"/>
      <c r="EI1079" s="44"/>
      <c r="EJ1079" s="44"/>
      <c r="EK1079" s="44"/>
      <c r="EL1079" s="44"/>
      <c r="EM1079" s="44"/>
      <c r="EN1079" s="44"/>
      <c r="EO1079" s="44"/>
      <c r="EP1079" s="44"/>
      <c r="EQ1079" s="44"/>
      <c r="ER1079" s="44"/>
      <c r="ES1079" s="44"/>
      <c r="ET1079" s="44"/>
      <c r="EU1079" s="44"/>
      <c r="EV1079" s="44"/>
      <c r="EW1079" s="44"/>
      <c r="EX1079" s="44"/>
      <c r="EY1079" s="44"/>
      <c r="EZ1079" s="44"/>
      <c r="FA1079" s="44"/>
      <c r="FB1079" s="44"/>
      <c r="FC1079" s="44"/>
      <c r="FD1079" s="44"/>
      <c r="FE1079" s="44"/>
      <c r="FF1079" s="44"/>
      <c r="FG1079" s="44"/>
      <c r="FH1079" s="44"/>
      <c r="FI1079" s="44"/>
      <c r="FJ1079" s="44"/>
      <c r="FK1079" s="44"/>
      <c r="FL1079" s="44"/>
      <c r="FM1079" s="44"/>
      <c r="FN1079" s="44"/>
      <c r="FO1079" s="44"/>
      <c r="FP1079" s="44"/>
      <c r="FQ1079" s="44"/>
      <c r="FR1079" s="44"/>
      <c r="FS1079" s="44"/>
      <c r="FT1079" s="44"/>
      <c r="FU1079" s="44"/>
      <c r="FV1079" s="44"/>
      <c r="FW1079" s="44"/>
      <c r="FX1079" s="44"/>
      <c r="FY1079" s="44"/>
      <c r="FZ1079" s="44"/>
      <c r="GA1079" s="44"/>
      <c r="GB1079" s="44"/>
      <c r="GC1079" s="44"/>
      <c r="GD1079" s="44"/>
      <c r="GE1079" s="44"/>
      <c r="GF1079" s="44"/>
      <c r="GG1079" s="44"/>
      <c r="GH1079" s="44"/>
      <c r="GI1079" s="44"/>
      <c r="GJ1079" s="44"/>
      <c r="GK1079" s="44"/>
      <c r="GL1079" s="44"/>
      <c r="GM1079" s="44"/>
      <c r="GN1079" s="44"/>
      <c r="GO1079" s="44"/>
      <c r="GP1079" s="44"/>
      <c r="GQ1079" s="44"/>
      <c r="GR1079" s="44"/>
      <c r="GS1079" s="44"/>
      <c r="GT1079" s="44"/>
      <c r="GU1079" s="44"/>
      <c r="GV1079" s="44"/>
      <c r="GW1079" s="44"/>
      <c r="GX1079" s="44"/>
      <c r="GY1079" s="44"/>
      <c r="GZ1079" s="44"/>
      <c r="HA1079" s="44"/>
      <c r="HB1079" s="44"/>
      <c r="HC1079" s="44"/>
      <c r="HD1079" s="44"/>
      <c r="HE1079" s="44"/>
      <c r="HF1079" s="44"/>
      <c r="HG1079" s="44"/>
      <c r="HH1079" s="44"/>
      <c r="HI1079" s="44"/>
      <c r="HJ1079" s="44"/>
      <c r="HK1079" s="44"/>
      <c r="HL1079" s="44"/>
      <c r="HM1079" s="44"/>
      <c r="HN1079" s="44"/>
      <c r="HO1079" s="44"/>
      <c r="HP1079" s="44"/>
      <c r="HQ1079" s="44"/>
      <c r="HR1079" s="44"/>
      <c r="HS1079" s="44"/>
      <c r="HT1079" s="44"/>
      <c r="HU1079" s="44"/>
      <c r="HV1079" s="44"/>
      <c r="HW1079" s="44"/>
      <c r="HX1079" s="44"/>
      <c r="HY1079" s="44"/>
      <c r="HZ1079" s="44"/>
      <c r="IA1079" s="44"/>
      <c r="IB1079" s="44"/>
      <c r="IC1079" s="44"/>
      <c r="ID1079" s="44"/>
      <c r="IE1079" s="44"/>
      <c r="IF1079" s="44"/>
      <c r="IG1079" s="44"/>
      <c r="IH1079" s="44"/>
      <c r="II1079" s="44"/>
      <c r="IJ1079" s="44"/>
      <c r="IK1079" s="44"/>
      <c r="IL1079" s="44"/>
      <c r="IM1079" s="44"/>
      <c r="IN1079" s="44"/>
      <c r="IO1079" s="44"/>
      <c r="IP1079" s="44"/>
      <c r="IQ1079" s="44"/>
      <c r="IR1079" s="44"/>
      <c r="IS1079" s="44"/>
      <c r="IT1079" s="44"/>
      <c r="IU1079" s="44"/>
      <c r="IV1079" s="44"/>
      <c r="IW1079" s="44"/>
      <c r="IX1079" s="44"/>
    </row>
    <row r="1080" spans="1:258" ht="25.15" customHeight="1" x14ac:dyDescent="0.25">
      <c r="A1080" s="21" t="s">
        <v>1875</v>
      </c>
      <c r="B1080" s="24" t="s">
        <v>641</v>
      </c>
      <c r="C1080" s="2">
        <f t="shared" si="267"/>
        <v>1708739.9999999998</v>
      </c>
      <c r="D1080" s="3">
        <f t="shared" si="268"/>
        <v>0</v>
      </c>
      <c r="E1080" s="3">
        <v>0</v>
      </c>
      <c r="F1080" s="3">
        <v>0</v>
      </c>
      <c r="G1080" s="3">
        <v>0</v>
      </c>
      <c r="H1080" s="3">
        <v>0</v>
      </c>
      <c r="I1080" s="3">
        <v>0</v>
      </c>
      <c r="J1080" s="3">
        <v>0</v>
      </c>
      <c r="K1080" s="4">
        <v>0</v>
      </c>
      <c r="L1080" s="3">
        <v>0</v>
      </c>
      <c r="M1080" s="13">
        <v>258.89999999999998</v>
      </c>
      <c r="N1080" s="3">
        <f t="shared" si="272"/>
        <v>1708739.9999999998</v>
      </c>
      <c r="O1080" s="3">
        <v>0</v>
      </c>
      <c r="P1080" s="3">
        <v>0</v>
      </c>
      <c r="Q1080" s="3">
        <v>0</v>
      </c>
      <c r="R1080" s="3">
        <f t="shared" si="273"/>
        <v>0</v>
      </c>
      <c r="S1080" s="3">
        <v>0</v>
      </c>
      <c r="T1080" s="13">
        <v>0</v>
      </c>
      <c r="U1080" s="3">
        <v>0</v>
      </c>
      <c r="V1080" s="5">
        <f t="shared" si="269"/>
        <v>6600</v>
      </c>
    </row>
    <row r="1081" spans="1:258" ht="25.15" customHeight="1" x14ac:dyDescent="0.25">
      <c r="A1081" s="21" t="s">
        <v>1876</v>
      </c>
      <c r="B1081" s="24" t="s">
        <v>642</v>
      </c>
      <c r="C1081" s="2">
        <f t="shared" si="267"/>
        <v>1698839.9999999998</v>
      </c>
      <c r="D1081" s="3">
        <f t="shared" si="268"/>
        <v>0</v>
      </c>
      <c r="E1081" s="3">
        <v>0</v>
      </c>
      <c r="F1081" s="3">
        <v>0</v>
      </c>
      <c r="G1081" s="3">
        <v>0</v>
      </c>
      <c r="H1081" s="3">
        <v>0</v>
      </c>
      <c r="I1081" s="3">
        <v>0</v>
      </c>
      <c r="J1081" s="3">
        <v>0</v>
      </c>
      <c r="K1081" s="4">
        <v>0</v>
      </c>
      <c r="L1081" s="3">
        <v>0</v>
      </c>
      <c r="M1081" s="3">
        <v>257.39999999999998</v>
      </c>
      <c r="N1081" s="3">
        <f t="shared" si="272"/>
        <v>1698839.9999999998</v>
      </c>
      <c r="O1081" s="3">
        <v>0</v>
      </c>
      <c r="P1081" s="3">
        <v>0</v>
      </c>
      <c r="Q1081" s="3">
        <v>0</v>
      </c>
      <c r="R1081" s="3">
        <f t="shared" si="273"/>
        <v>0</v>
      </c>
      <c r="S1081" s="3">
        <v>0</v>
      </c>
      <c r="T1081" s="13">
        <v>0</v>
      </c>
      <c r="U1081" s="3">
        <v>0</v>
      </c>
      <c r="V1081" s="5">
        <f t="shared" si="269"/>
        <v>6600</v>
      </c>
      <c r="W1081" s="41"/>
      <c r="X1081" s="41"/>
      <c r="Y1081" s="41"/>
      <c r="Z1081" s="41"/>
      <c r="AA1081" s="41"/>
      <c r="AB1081" s="41"/>
      <c r="AC1081" s="41"/>
      <c r="AD1081" s="41"/>
      <c r="AE1081" s="41"/>
      <c r="AF1081" s="41"/>
      <c r="AG1081" s="41"/>
      <c r="AH1081" s="41"/>
      <c r="AI1081" s="41"/>
      <c r="AJ1081" s="41"/>
      <c r="AK1081" s="41"/>
      <c r="AL1081" s="41"/>
      <c r="AM1081" s="41"/>
      <c r="AN1081" s="41"/>
      <c r="AO1081" s="41"/>
      <c r="AP1081" s="41"/>
      <c r="AQ1081" s="41"/>
      <c r="AR1081" s="41"/>
      <c r="AS1081" s="41"/>
      <c r="AT1081" s="41"/>
      <c r="AU1081" s="41"/>
      <c r="AV1081" s="41"/>
      <c r="AW1081" s="41"/>
      <c r="AX1081" s="41"/>
      <c r="AY1081" s="41"/>
      <c r="AZ1081" s="41"/>
      <c r="BA1081" s="41"/>
      <c r="BB1081" s="41"/>
      <c r="BC1081" s="41"/>
      <c r="BD1081" s="41"/>
      <c r="BE1081" s="41"/>
      <c r="BF1081" s="41"/>
      <c r="BG1081" s="41"/>
      <c r="BH1081" s="41"/>
      <c r="BI1081" s="41"/>
      <c r="BJ1081" s="41"/>
      <c r="BK1081" s="41"/>
      <c r="BL1081" s="41"/>
      <c r="BM1081" s="41"/>
      <c r="BN1081" s="41"/>
      <c r="BO1081" s="41"/>
      <c r="BP1081" s="41"/>
      <c r="BQ1081" s="41"/>
      <c r="BR1081" s="41"/>
      <c r="BS1081" s="41"/>
      <c r="BT1081" s="41"/>
      <c r="BU1081" s="41"/>
      <c r="BV1081" s="41"/>
      <c r="BW1081" s="41"/>
      <c r="BX1081" s="41"/>
      <c r="BY1081" s="41"/>
      <c r="BZ1081" s="41"/>
      <c r="CA1081" s="41"/>
      <c r="CB1081" s="41"/>
      <c r="CC1081" s="41"/>
      <c r="CD1081" s="41"/>
      <c r="CE1081" s="41"/>
      <c r="CF1081" s="41"/>
      <c r="CG1081" s="41"/>
      <c r="CH1081" s="41"/>
      <c r="CI1081" s="41"/>
      <c r="CJ1081" s="41"/>
      <c r="CK1081" s="41"/>
      <c r="CL1081" s="41"/>
      <c r="CM1081" s="41"/>
      <c r="CN1081" s="41"/>
      <c r="CO1081" s="41"/>
      <c r="CP1081" s="41"/>
      <c r="CQ1081" s="41"/>
      <c r="CR1081" s="41"/>
      <c r="CS1081" s="41"/>
      <c r="CT1081" s="41"/>
      <c r="CU1081" s="41"/>
      <c r="CV1081" s="41"/>
      <c r="CW1081" s="41"/>
      <c r="CX1081" s="41"/>
      <c r="CY1081" s="41"/>
      <c r="CZ1081" s="41"/>
      <c r="DA1081" s="41"/>
      <c r="DB1081" s="41"/>
      <c r="DC1081" s="41"/>
      <c r="DD1081" s="41"/>
      <c r="DE1081" s="41"/>
      <c r="DF1081" s="41"/>
      <c r="DG1081" s="41"/>
      <c r="DH1081" s="41"/>
      <c r="DI1081" s="41"/>
      <c r="DJ1081" s="41"/>
      <c r="DK1081" s="41"/>
      <c r="DL1081" s="41"/>
      <c r="DM1081" s="41"/>
      <c r="DN1081" s="41"/>
      <c r="DO1081" s="41"/>
      <c r="DP1081" s="41"/>
      <c r="DQ1081" s="41"/>
      <c r="DR1081" s="41"/>
      <c r="DS1081" s="41"/>
      <c r="DT1081" s="41"/>
      <c r="DU1081" s="41"/>
      <c r="DV1081" s="41"/>
      <c r="DW1081" s="41"/>
      <c r="DX1081" s="41"/>
      <c r="DY1081" s="41"/>
      <c r="DZ1081" s="41"/>
      <c r="EA1081" s="41"/>
      <c r="EB1081" s="41"/>
      <c r="EC1081" s="41"/>
      <c r="ED1081" s="41"/>
      <c r="EE1081" s="41"/>
      <c r="EF1081" s="41"/>
      <c r="EG1081" s="41"/>
      <c r="EH1081" s="41"/>
      <c r="EI1081" s="41"/>
      <c r="EJ1081" s="41"/>
      <c r="EK1081" s="41"/>
      <c r="EL1081" s="41"/>
      <c r="EM1081" s="41"/>
      <c r="EN1081" s="41"/>
      <c r="EO1081" s="41"/>
      <c r="EP1081" s="41"/>
      <c r="EQ1081" s="41"/>
      <c r="ER1081" s="41"/>
      <c r="ES1081" s="41"/>
      <c r="ET1081" s="41"/>
      <c r="EU1081" s="41"/>
      <c r="EV1081" s="41"/>
      <c r="EW1081" s="41"/>
      <c r="EX1081" s="41"/>
      <c r="EY1081" s="41"/>
      <c r="EZ1081" s="41"/>
      <c r="FA1081" s="41"/>
      <c r="FB1081" s="41"/>
      <c r="FC1081" s="41"/>
      <c r="FD1081" s="41"/>
      <c r="FE1081" s="41"/>
      <c r="FF1081" s="41"/>
      <c r="FG1081" s="41"/>
      <c r="FH1081" s="41"/>
      <c r="FI1081" s="41"/>
      <c r="FJ1081" s="41"/>
      <c r="FK1081" s="41"/>
      <c r="FL1081" s="41"/>
      <c r="FM1081" s="41"/>
      <c r="FN1081" s="41"/>
      <c r="FO1081" s="41"/>
      <c r="FP1081" s="41"/>
      <c r="FQ1081" s="41"/>
      <c r="FR1081" s="41"/>
      <c r="FS1081" s="41"/>
      <c r="FT1081" s="41"/>
      <c r="FU1081" s="41"/>
      <c r="FV1081" s="41"/>
      <c r="FW1081" s="41"/>
      <c r="FX1081" s="41"/>
      <c r="FY1081" s="41"/>
      <c r="FZ1081" s="41"/>
      <c r="GA1081" s="41"/>
      <c r="GB1081" s="41"/>
      <c r="GC1081" s="41"/>
      <c r="GD1081" s="41"/>
      <c r="GE1081" s="41"/>
      <c r="GF1081" s="41"/>
      <c r="GG1081" s="41"/>
      <c r="GH1081" s="41"/>
      <c r="GI1081" s="41"/>
      <c r="GJ1081" s="41"/>
      <c r="GK1081" s="41"/>
      <c r="GL1081" s="41"/>
      <c r="GM1081" s="41"/>
      <c r="GN1081" s="41"/>
      <c r="GO1081" s="41"/>
      <c r="GP1081" s="41"/>
      <c r="GQ1081" s="41"/>
      <c r="GR1081" s="41"/>
      <c r="GS1081" s="41"/>
      <c r="GT1081" s="41"/>
      <c r="GU1081" s="41"/>
      <c r="GV1081" s="41"/>
      <c r="GW1081" s="41"/>
      <c r="GX1081" s="41"/>
      <c r="GY1081" s="41"/>
      <c r="GZ1081" s="41"/>
      <c r="HA1081" s="41"/>
      <c r="HB1081" s="41"/>
      <c r="HC1081" s="41"/>
      <c r="HD1081" s="41"/>
      <c r="HE1081" s="41"/>
      <c r="HF1081" s="41"/>
      <c r="HG1081" s="41"/>
      <c r="HH1081" s="41"/>
      <c r="HI1081" s="41"/>
      <c r="HJ1081" s="41"/>
      <c r="HK1081" s="41"/>
      <c r="HL1081" s="41"/>
      <c r="HM1081" s="41"/>
      <c r="HN1081" s="41"/>
      <c r="HO1081" s="41"/>
      <c r="HP1081" s="41"/>
      <c r="HQ1081" s="41"/>
      <c r="HR1081" s="41"/>
      <c r="HS1081" s="41"/>
      <c r="HT1081" s="41"/>
      <c r="HU1081" s="41"/>
      <c r="HV1081" s="41"/>
      <c r="HW1081" s="41"/>
      <c r="HX1081" s="41"/>
      <c r="HY1081" s="41"/>
      <c r="HZ1081" s="41"/>
      <c r="IA1081" s="41"/>
      <c r="IB1081" s="41"/>
      <c r="IC1081" s="41"/>
      <c r="ID1081" s="41"/>
      <c r="IE1081" s="41"/>
      <c r="IF1081" s="41"/>
      <c r="IG1081" s="41"/>
      <c r="IH1081" s="41"/>
      <c r="II1081" s="41"/>
      <c r="IJ1081" s="41"/>
      <c r="IK1081" s="41"/>
      <c r="IL1081" s="41"/>
      <c r="IM1081" s="41"/>
      <c r="IN1081" s="41"/>
      <c r="IO1081" s="41"/>
      <c r="IP1081" s="41"/>
      <c r="IQ1081" s="41"/>
      <c r="IR1081" s="41"/>
      <c r="IS1081" s="41"/>
      <c r="IT1081" s="41"/>
      <c r="IU1081" s="41"/>
      <c r="IV1081" s="41"/>
      <c r="IW1081" s="41"/>
      <c r="IX1081" s="41"/>
    </row>
    <row r="1082" spans="1:258" ht="25.15" customHeight="1" x14ac:dyDescent="0.25">
      <c r="A1082" s="21" t="s">
        <v>1877</v>
      </c>
      <c r="B1082" s="24" t="s">
        <v>643</v>
      </c>
      <c r="C1082" s="2">
        <f t="shared" si="267"/>
        <v>1717320</v>
      </c>
      <c r="D1082" s="3">
        <f t="shared" si="268"/>
        <v>0</v>
      </c>
      <c r="E1082" s="3">
        <v>0</v>
      </c>
      <c r="F1082" s="3">
        <v>0</v>
      </c>
      <c r="G1082" s="3">
        <v>0</v>
      </c>
      <c r="H1082" s="3">
        <v>0</v>
      </c>
      <c r="I1082" s="3">
        <v>0</v>
      </c>
      <c r="J1082" s="3">
        <v>0</v>
      </c>
      <c r="K1082" s="4">
        <v>0</v>
      </c>
      <c r="L1082" s="3">
        <v>0</v>
      </c>
      <c r="M1082" s="3">
        <v>260.2</v>
      </c>
      <c r="N1082" s="3">
        <f t="shared" si="272"/>
        <v>1717320</v>
      </c>
      <c r="O1082" s="3">
        <v>0</v>
      </c>
      <c r="P1082" s="3">
        <v>0</v>
      </c>
      <c r="Q1082" s="3">
        <v>0</v>
      </c>
      <c r="R1082" s="3">
        <f t="shared" si="273"/>
        <v>0</v>
      </c>
      <c r="S1082" s="3">
        <v>0</v>
      </c>
      <c r="T1082" s="13">
        <v>0</v>
      </c>
      <c r="U1082" s="3">
        <v>0</v>
      </c>
      <c r="V1082" s="5">
        <f t="shared" si="269"/>
        <v>6600</v>
      </c>
      <c r="W1082" s="32"/>
      <c r="X1082" s="32"/>
      <c r="Y1082" s="32"/>
      <c r="Z1082" s="32"/>
      <c r="AA1082" s="32"/>
      <c r="AB1082" s="32"/>
      <c r="AC1082" s="32"/>
      <c r="AD1082" s="32"/>
      <c r="AE1082" s="32"/>
      <c r="AF1082" s="32"/>
      <c r="AG1082" s="32"/>
      <c r="AH1082" s="32"/>
      <c r="AI1082" s="32"/>
      <c r="AJ1082" s="32"/>
      <c r="AK1082" s="32"/>
      <c r="AL1082" s="32"/>
      <c r="AM1082" s="32"/>
      <c r="AN1082" s="32"/>
      <c r="AO1082" s="32"/>
      <c r="AP1082" s="32"/>
      <c r="AQ1082" s="32"/>
      <c r="AR1082" s="32"/>
      <c r="AS1082" s="32"/>
      <c r="AT1082" s="32"/>
      <c r="AU1082" s="32"/>
      <c r="AV1082" s="32"/>
      <c r="AW1082" s="32"/>
      <c r="AX1082" s="32"/>
      <c r="AY1082" s="32"/>
      <c r="AZ1082" s="32"/>
      <c r="BA1082" s="32"/>
      <c r="BB1082" s="32"/>
      <c r="BC1082" s="32"/>
      <c r="BD1082" s="32"/>
      <c r="BE1082" s="32"/>
      <c r="BF1082" s="32"/>
      <c r="BG1082" s="32"/>
      <c r="BH1082" s="32"/>
      <c r="BI1082" s="32"/>
      <c r="BJ1082" s="32"/>
      <c r="BK1082" s="32"/>
      <c r="BL1082" s="32"/>
      <c r="BM1082" s="32"/>
      <c r="BN1082" s="32"/>
      <c r="BO1082" s="32"/>
      <c r="BP1082" s="32"/>
      <c r="BQ1082" s="32"/>
      <c r="BR1082" s="32"/>
      <c r="BS1082" s="32"/>
      <c r="BT1082" s="32"/>
      <c r="BU1082" s="32"/>
      <c r="BV1082" s="32"/>
      <c r="BW1082" s="32"/>
      <c r="BX1082" s="32"/>
      <c r="BY1082" s="32"/>
      <c r="BZ1082" s="32"/>
      <c r="CA1082" s="32"/>
      <c r="CB1082" s="32"/>
      <c r="CC1082" s="32"/>
      <c r="CD1082" s="32"/>
      <c r="CE1082" s="32"/>
      <c r="CF1082" s="32"/>
      <c r="CG1082" s="32"/>
      <c r="CH1082" s="32"/>
      <c r="CI1082" s="32"/>
      <c r="CJ1082" s="32"/>
      <c r="CK1082" s="32"/>
      <c r="CL1082" s="32"/>
      <c r="CM1082" s="32"/>
      <c r="CN1082" s="32"/>
      <c r="CO1082" s="32"/>
      <c r="CP1082" s="32"/>
      <c r="CQ1082" s="32"/>
      <c r="CR1082" s="32"/>
      <c r="CS1082" s="32"/>
      <c r="CT1082" s="32"/>
      <c r="CU1082" s="32"/>
      <c r="CV1082" s="32"/>
      <c r="CW1082" s="32"/>
      <c r="CX1082" s="32"/>
      <c r="CY1082" s="32"/>
      <c r="CZ1082" s="32"/>
      <c r="DA1082" s="32"/>
      <c r="DB1082" s="32"/>
      <c r="DC1082" s="32"/>
      <c r="DD1082" s="32"/>
      <c r="DE1082" s="32"/>
      <c r="DF1082" s="32"/>
      <c r="DG1082" s="32"/>
      <c r="DH1082" s="32"/>
      <c r="DI1082" s="32"/>
      <c r="DJ1082" s="32"/>
      <c r="DK1082" s="32"/>
      <c r="DL1082" s="32"/>
      <c r="DM1082" s="32"/>
      <c r="DN1082" s="32"/>
      <c r="DO1082" s="32"/>
      <c r="DP1082" s="32"/>
      <c r="DQ1082" s="32"/>
      <c r="DR1082" s="32"/>
      <c r="DS1082" s="32"/>
      <c r="DT1082" s="32"/>
      <c r="DU1082" s="32"/>
      <c r="DV1082" s="32"/>
      <c r="DW1082" s="32"/>
      <c r="DX1082" s="32"/>
      <c r="DY1082" s="32"/>
      <c r="DZ1082" s="32"/>
      <c r="EA1082" s="32"/>
      <c r="EB1082" s="32"/>
      <c r="EC1082" s="32"/>
      <c r="ED1082" s="32"/>
      <c r="EE1082" s="32"/>
      <c r="EF1082" s="32"/>
      <c r="EG1082" s="32"/>
      <c r="EH1082" s="32"/>
      <c r="EI1082" s="32"/>
      <c r="EJ1082" s="32"/>
      <c r="EK1082" s="32"/>
      <c r="EL1082" s="32"/>
      <c r="EM1082" s="32"/>
      <c r="EN1082" s="32"/>
      <c r="EO1082" s="32"/>
      <c r="EP1082" s="32"/>
      <c r="EQ1082" s="32"/>
      <c r="ER1082" s="32"/>
      <c r="ES1082" s="32"/>
      <c r="ET1082" s="32"/>
      <c r="EU1082" s="32"/>
      <c r="EV1082" s="32"/>
      <c r="EW1082" s="32"/>
      <c r="EX1082" s="32"/>
      <c r="EY1082" s="32"/>
      <c r="EZ1082" s="32"/>
      <c r="FA1082" s="32"/>
      <c r="FB1082" s="32"/>
      <c r="FC1082" s="32"/>
      <c r="FD1082" s="32"/>
      <c r="FE1082" s="32"/>
      <c r="FF1082" s="32"/>
      <c r="FG1082" s="32"/>
      <c r="FH1082" s="32"/>
      <c r="FI1082" s="32"/>
      <c r="FJ1082" s="32"/>
      <c r="FK1082" s="32"/>
      <c r="FL1082" s="32"/>
      <c r="FM1082" s="32"/>
      <c r="FN1082" s="32"/>
      <c r="FO1082" s="32"/>
      <c r="FP1082" s="32"/>
      <c r="FQ1082" s="32"/>
      <c r="FR1082" s="32"/>
      <c r="FS1082" s="32"/>
      <c r="FT1082" s="32"/>
      <c r="FU1082" s="32"/>
      <c r="FV1082" s="32"/>
      <c r="FW1082" s="32"/>
      <c r="FX1082" s="32"/>
      <c r="FY1082" s="32"/>
      <c r="FZ1082" s="32"/>
      <c r="GA1082" s="32"/>
      <c r="GB1082" s="32"/>
      <c r="GC1082" s="32"/>
      <c r="GD1082" s="32"/>
      <c r="GE1082" s="32"/>
      <c r="GF1082" s="32"/>
      <c r="GG1082" s="32"/>
      <c r="GH1082" s="32"/>
      <c r="GI1082" s="32"/>
      <c r="GJ1082" s="32"/>
      <c r="GK1082" s="32"/>
      <c r="GL1082" s="32"/>
      <c r="GM1082" s="32"/>
      <c r="GN1082" s="32"/>
      <c r="GO1082" s="32"/>
      <c r="GP1082" s="32"/>
      <c r="GQ1082" s="32"/>
      <c r="GR1082" s="32"/>
      <c r="GS1082" s="32"/>
      <c r="GT1082" s="32"/>
      <c r="GU1082" s="32"/>
      <c r="GV1082" s="32"/>
      <c r="GW1082" s="32"/>
      <c r="GX1082" s="32"/>
      <c r="GY1082" s="32"/>
      <c r="GZ1082" s="32"/>
      <c r="HA1082" s="32"/>
      <c r="HB1082" s="32"/>
      <c r="HC1082" s="32"/>
      <c r="HD1082" s="32"/>
      <c r="HE1082" s="32"/>
      <c r="HF1082" s="32"/>
      <c r="HG1082" s="32"/>
      <c r="HH1082" s="32"/>
      <c r="HI1082" s="32"/>
      <c r="HJ1082" s="32"/>
      <c r="HK1082" s="32"/>
      <c r="HL1082" s="32"/>
      <c r="HM1082" s="32"/>
      <c r="HN1082" s="32"/>
      <c r="HO1082" s="32"/>
      <c r="HP1082" s="32"/>
      <c r="HQ1082" s="32"/>
      <c r="HR1082" s="32"/>
      <c r="HS1082" s="32"/>
      <c r="HT1082" s="32"/>
      <c r="HU1082" s="32"/>
      <c r="HV1082" s="32"/>
      <c r="HW1082" s="32"/>
      <c r="HX1082" s="32"/>
      <c r="HY1082" s="32"/>
      <c r="HZ1082" s="32"/>
      <c r="IA1082" s="32"/>
      <c r="IB1082" s="32"/>
      <c r="IC1082" s="32"/>
      <c r="ID1082" s="32"/>
      <c r="IE1082" s="32"/>
      <c r="IF1082" s="32"/>
      <c r="IG1082" s="32"/>
      <c r="IH1082" s="32"/>
      <c r="II1082" s="32"/>
      <c r="IJ1082" s="32"/>
      <c r="IK1082" s="32"/>
      <c r="IL1082" s="32"/>
      <c r="IM1082" s="32"/>
      <c r="IN1082" s="32"/>
      <c r="IO1082" s="32"/>
      <c r="IP1082" s="32"/>
      <c r="IQ1082" s="32"/>
      <c r="IR1082" s="32"/>
      <c r="IS1082" s="32"/>
      <c r="IT1082" s="32"/>
      <c r="IU1082" s="32"/>
      <c r="IV1082" s="32"/>
      <c r="IW1082" s="32"/>
      <c r="IX1082" s="32"/>
    </row>
    <row r="1083" spans="1:258" ht="25.15" customHeight="1" x14ac:dyDescent="0.25">
      <c r="A1083" s="21" t="s">
        <v>1878</v>
      </c>
      <c r="B1083" s="24" t="s">
        <v>729</v>
      </c>
      <c r="C1083" s="2">
        <f t="shared" si="267"/>
        <v>1780020</v>
      </c>
      <c r="D1083" s="3">
        <f t="shared" si="268"/>
        <v>0</v>
      </c>
      <c r="E1083" s="3">
        <v>0</v>
      </c>
      <c r="F1083" s="3">
        <v>0</v>
      </c>
      <c r="G1083" s="3">
        <v>0</v>
      </c>
      <c r="H1083" s="3">
        <v>0</v>
      </c>
      <c r="I1083" s="3">
        <v>0</v>
      </c>
      <c r="J1083" s="3">
        <v>0</v>
      </c>
      <c r="K1083" s="4">
        <v>0</v>
      </c>
      <c r="L1083" s="3">
        <v>0</v>
      </c>
      <c r="M1083" s="13">
        <v>269.7</v>
      </c>
      <c r="N1083" s="3">
        <f t="shared" si="272"/>
        <v>1780020</v>
      </c>
      <c r="O1083" s="3">
        <v>0</v>
      </c>
      <c r="P1083" s="3">
        <v>0</v>
      </c>
      <c r="Q1083" s="3">
        <v>0</v>
      </c>
      <c r="R1083" s="3">
        <f t="shared" si="273"/>
        <v>0</v>
      </c>
      <c r="S1083" s="3">
        <v>0</v>
      </c>
      <c r="T1083" s="13">
        <v>0</v>
      </c>
      <c r="U1083" s="3">
        <v>0</v>
      </c>
      <c r="V1083" s="5">
        <f t="shared" si="269"/>
        <v>6600</v>
      </c>
    </row>
    <row r="1084" spans="1:258" ht="25.15" customHeight="1" x14ac:dyDescent="0.25">
      <c r="A1084" s="21" t="s">
        <v>1879</v>
      </c>
      <c r="B1084" s="24" t="s">
        <v>644</v>
      </c>
      <c r="C1084" s="2">
        <f t="shared" si="267"/>
        <v>1698839.9999999998</v>
      </c>
      <c r="D1084" s="3">
        <f t="shared" si="268"/>
        <v>0</v>
      </c>
      <c r="E1084" s="3">
        <v>0</v>
      </c>
      <c r="F1084" s="3">
        <v>0</v>
      </c>
      <c r="G1084" s="3">
        <v>0</v>
      </c>
      <c r="H1084" s="3">
        <v>0</v>
      </c>
      <c r="I1084" s="3">
        <v>0</v>
      </c>
      <c r="J1084" s="3">
        <v>0</v>
      </c>
      <c r="K1084" s="4">
        <v>0</v>
      </c>
      <c r="L1084" s="3">
        <v>0</v>
      </c>
      <c r="M1084" s="13">
        <v>257.39999999999998</v>
      </c>
      <c r="N1084" s="3">
        <f t="shared" si="272"/>
        <v>1698839.9999999998</v>
      </c>
      <c r="O1084" s="3">
        <v>0</v>
      </c>
      <c r="P1084" s="3">
        <v>0</v>
      </c>
      <c r="Q1084" s="3">
        <v>0</v>
      </c>
      <c r="R1084" s="3">
        <f t="shared" si="273"/>
        <v>0</v>
      </c>
      <c r="S1084" s="3">
        <v>0</v>
      </c>
      <c r="T1084" s="13">
        <v>0</v>
      </c>
      <c r="U1084" s="3">
        <v>0</v>
      </c>
      <c r="V1084" s="5">
        <f t="shared" si="269"/>
        <v>6600</v>
      </c>
      <c r="W1084" s="32"/>
      <c r="X1084" s="32"/>
      <c r="Y1084" s="32"/>
      <c r="Z1084" s="32"/>
      <c r="AA1084" s="32"/>
      <c r="AB1084" s="32"/>
      <c r="AC1084" s="32"/>
      <c r="AD1084" s="32"/>
      <c r="AE1084" s="32"/>
      <c r="AF1084" s="32"/>
      <c r="AG1084" s="32"/>
      <c r="AH1084" s="32"/>
      <c r="AI1084" s="32"/>
      <c r="AJ1084" s="32"/>
      <c r="AK1084" s="32"/>
      <c r="AL1084" s="32"/>
      <c r="AM1084" s="32"/>
      <c r="AN1084" s="32"/>
      <c r="AO1084" s="32"/>
      <c r="AP1084" s="32"/>
      <c r="AQ1084" s="32"/>
      <c r="AR1084" s="32"/>
      <c r="AS1084" s="32"/>
      <c r="AT1084" s="32"/>
      <c r="AU1084" s="32"/>
      <c r="AV1084" s="32"/>
      <c r="AW1084" s="32"/>
      <c r="AX1084" s="32"/>
      <c r="AY1084" s="32"/>
      <c r="AZ1084" s="32"/>
      <c r="BA1084" s="32"/>
      <c r="BB1084" s="32"/>
      <c r="BC1084" s="32"/>
      <c r="BD1084" s="32"/>
      <c r="BE1084" s="32"/>
      <c r="BF1084" s="32"/>
      <c r="BG1084" s="32"/>
      <c r="BH1084" s="32"/>
      <c r="BI1084" s="32"/>
      <c r="BJ1084" s="32"/>
      <c r="BK1084" s="32"/>
      <c r="BL1084" s="32"/>
      <c r="BM1084" s="32"/>
      <c r="BN1084" s="32"/>
      <c r="BO1084" s="32"/>
      <c r="BP1084" s="32"/>
      <c r="BQ1084" s="32"/>
      <c r="BR1084" s="32"/>
      <c r="BS1084" s="32"/>
      <c r="BT1084" s="32"/>
      <c r="BU1084" s="32"/>
      <c r="BV1084" s="32"/>
      <c r="BW1084" s="32"/>
      <c r="BX1084" s="32"/>
      <c r="BY1084" s="32"/>
      <c r="BZ1084" s="32"/>
      <c r="CA1084" s="32"/>
      <c r="CB1084" s="32"/>
      <c r="CC1084" s="32"/>
      <c r="CD1084" s="32"/>
      <c r="CE1084" s="32"/>
      <c r="CF1084" s="32"/>
      <c r="CG1084" s="32"/>
      <c r="CH1084" s="32"/>
      <c r="CI1084" s="32"/>
      <c r="CJ1084" s="32"/>
      <c r="CK1084" s="32"/>
      <c r="CL1084" s="32"/>
      <c r="CM1084" s="32"/>
      <c r="CN1084" s="32"/>
      <c r="CO1084" s="32"/>
      <c r="CP1084" s="32"/>
      <c r="CQ1084" s="32"/>
      <c r="CR1084" s="32"/>
      <c r="CS1084" s="32"/>
      <c r="CT1084" s="32"/>
      <c r="CU1084" s="32"/>
      <c r="CV1084" s="32"/>
      <c r="CW1084" s="32"/>
      <c r="CX1084" s="32"/>
      <c r="CY1084" s="32"/>
      <c r="CZ1084" s="32"/>
      <c r="DA1084" s="32"/>
      <c r="DB1084" s="32"/>
      <c r="DC1084" s="32"/>
      <c r="DD1084" s="32"/>
      <c r="DE1084" s="32"/>
      <c r="DF1084" s="32"/>
      <c r="DG1084" s="32"/>
      <c r="DH1084" s="32"/>
      <c r="DI1084" s="32"/>
      <c r="DJ1084" s="32"/>
      <c r="DK1084" s="32"/>
      <c r="DL1084" s="32"/>
      <c r="DM1084" s="32"/>
      <c r="DN1084" s="32"/>
      <c r="DO1084" s="32"/>
      <c r="DP1084" s="32"/>
      <c r="DQ1084" s="32"/>
      <c r="DR1084" s="32"/>
      <c r="DS1084" s="32"/>
      <c r="DT1084" s="32"/>
      <c r="DU1084" s="32"/>
      <c r="DV1084" s="32"/>
      <c r="DW1084" s="32"/>
      <c r="DX1084" s="32"/>
      <c r="DY1084" s="32"/>
      <c r="DZ1084" s="32"/>
      <c r="EA1084" s="32"/>
      <c r="EB1084" s="32"/>
      <c r="EC1084" s="32"/>
      <c r="ED1084" s="32"/>
      <c r="EE1084" s="32"/>
      <c r="EF1084" s="32"/>
      <c r="EG1084" s="32"/>
      <c r="EH1084" s="32"/>
      <c r="EI1084" s="32"/>
      <c r="EJ1084" s="32"/>
      <c r="EK1084" s="32"/>
      <c r="EL1084" s="32"/>
      <c r="EM1084" s="32"/>
      <c r="EN1084" s="32"/>
      <c r="EO1084" s="32"/>
      <c r="EP1084" s="32"/>
      <c r="EQ1084" s="32"/>
      <c r="ER1084" s="32"/>
      <c r="ES1084" s="32"/>
      <c r="ET1084" s="32"/>
      <c r="EU1084" s="32"/>
      <c r="EV1084" s="32"/>
      <c r="EW1084" s="32"/>
      <c r="EX1084" s="32"/>
      <c r="EY1084" s="32"/>
      <c r="EZ1084" s="32"/>
      <c r="FA1084" s="32"/>
      <c r="FB1084" s="32"/>
      <c r="FC1084" s="32"/>
      <c r="FD1084" s="32"/>
      <c r="FE1084" s="32"/>
      <c r="FF1084" s="32"/>
      <c r="FG1084" s="32"/>
      <c r="FH1084" s="32"/>
      <c r="FI1084" s="32"/>
      <c r="FJ1084" s="32"/>
      <c r="FK1084" s="32"/>
      <c r="FL1084" s="32"/>
      <c r="FM1084" s="32"/>
      <c r="FN1084" s="32"/>
      <c r="FO1084" s="32"/>
      <c r="FP1084" s="32"/>
      <c r="FQ1084" s="32"/>
      <c r="FR1084" s="32"/>
      <c r="FS1084" s="32"/>
      <c r="FT1084" s="32"/>
      <c r="FU1084" s="32"/>
      <c r="FV1084" s="32"/>
      <c r="FW1084" s="32"/>
      <c r="FX1084" s="32"/>
      <c r="FY1084" s="32"/>
      <c r="FZ1084" s="32"/>
      <c r="GA1084" s="32"/>
      <c r="GB1084" s="32"/>
      <c r="GC1084" s="32"/>
      <c r="GD1084" s="32"/>
      <c r="GE1084" s="32"/>
      <c r="GF1084" s="32"/>
      <c r="GG1084" s="32"/>
      <c r="GH1084" s="32"/>
      <c r="GI1084" s="32"/>
      <c r="GJ1084" s="32"/>
      <c r="GK1084" s="32"/>
      <c r="GL1084" s="32"/>
      <c r="GM1084" s="32"/>
      <c r="GN1084" s="32"/>
      <c r="GO1084" s="32"/>
      <c r="GP1084" s="32"/>
      <c r="GQ1084" s="32"/>
      <c r="GR1084" s="32"/>
      <c r="GS1084" s="32"/>
      <c r="GT1084" s="32"/>
      <c r="GU1084" s="32"/>
      <c r="GV1084" s="32"/>
      <c r="GW1084" s="32"/>
      <c r="GX1084" s="32"/>
      <c r="GY1084" s="32"/>
      <c r="GZ1084" s="32"/>
      <c r="HA1084" s="32"/>
      <c r="HB1084" s="32"/>
      <c r="HC1084" s="32"/>
      <c r="HD1084" s="32"/>
      <c r="HE1084" s="32"/>
      <c r="HF1084" s="32"/>
      <c r="HG1084" s="32"/>
      <c r="HH1084" s="32"/>
      <c r="HI1084" s="32"/>
      <c r="HJ1084" s="32"/>
      <c r="HK1084" s="32"/>
      <c r="HL1084" s="32"/>
      <c r="HM1084" s="32"/>
      <c r="HN1084" s="32"/>
      <c r="HO1084" s="32"/>
      <c r="HP1084" s="32"/>
      <c r="HQ1084" s="32"/>
      <c r="HR1084" s="32"/>
      <c r="HS1084" s="32"/>
      <c r="HT1084" s="32"/>
      <c r="HU1084" s="32"/>
      <c r="HV1084" s="32"/>
      <c r="HW1084" s="32"/>
      <c r="HX1084" s="32"/>
      <c r="HY1084" s="32"/>
      <c r="HZ1084" s="32"/>
      <c r="IA1084" s="32"/>
      <c r="IB1084" s="32"/>
      <c r="IC1084" s="32"/>
      <c r="ID1084" s="32"/>
      <c r="IE1084" s="32"/>
      <c r="IF1084" s="32"/>
      <c r="IG1084" s="32"/>
      <c r="IH1084" s="32"/>
      <c r="II1084" s="32"/>
      <c r="IJ1084" s="32"/>
      <c r="IK1084" s="32"/>
      <c r="IL1084" s="32"/>
      <c r="IM1084" s="32"/>
      <c r="IN1084" s="32"/>
      <c r="IO1084" s="32"/>
      <c r="IP1084" s="32"/>
      <c r="IQ1084" s="32"/>
      <c r="IR1084" s="32"/>
      <c r="IS1084" s="32"/>
      <c r="IT1084" s="32"/>
      <c r="IU1084" s="32"/>
      <c r="IV1084" s="32"/>
      <c r="IW1084" s="32"/>
      <c r="IX1084" s="32"/>
    </row>
    <row r="1085" spans="1:258" ht="25.15" customHeight="1" x14ac:dyDescent="0.25">
      <c r="A1085" s="21" t="s">
        <v>1880</v>
      </c>
      <c r="B1085" s="24" t="s">
        <v>645</v>
      </c>
      <c r="C1085" s="2">
        <f t="shared" si="267"/>
        <v>1739760.0000000002</v>
      </c>
      <c r="D1085" s="3">
        <f t="shared" si="268"/>
        <v>0</v>
      </c>
      <c r="E1085" s="3">
        <v>0</v>
      </c>
      <c r="F1085" s="3">
        <v>0</v>
      </c>
      <c r="G1085" s="3">
        <v>0</v>
      </c>
      <c r="H1085" s="3">
        <v>0</v>
      </c>
      <c r="I1085" s="3">
        <v>0</v>
      </c>
      <c r="J1085" s="3">
        <v>0</v>
      </c>
      <c r="K1085" s="4">
        <v>0</v>
      </c>
      <c r="L1085" s="3">
        <v>0</v>
      </c>
      <c r="M1085" s="3">
        <v>263.60000000000002</v>
      </c>
      <c r="N1085" s="3">
        <f t="shared" si="272"/>
        <v>1739760.0000000002</v>
      </c>
      <c r="O1085" s="3">
        <v>0</v>
      </c>
      <c r="P1085" s="3">
        <v>0</v>
      </c>
      <c r="Q1085" s="3">
        <v>0</v>
      </c>
      <c r="R1085" s="3">
        <f t="shared" si="273"/>
        <v>0</v>
      </c>
      <c r="S1085" s="3">
        <v>0</v>
      </c>
      <c r="T1085" s="13">
        <v>0</v>
      </c>
      <c r="U1085" s="3">
        <v>0</v>
      </c>
      <c r="V1085" s="5">
        <f t="shared" si="269"/>
        <v>6600</v>
      </c>
    </row>
    <row r="1086" spans="1:258" ht="25.15" customHeight="1" x14ac:dyDescent="0.25">
      <c r="A1086" s="21" t="s">
        <v>1881</v>
      </c>
      <c r="B1086" s="24" t="s">
        <v>646</v>
      </c>
      <c r="C1086" s="2">
        <f t="shared" si="267"/>
        <v>2553540</v>
      </c>
      <c r="D1086" s="3">
        <f t="shared" si="268"/>
        <v>0</v>
      </c>
      <c r="E1086" s="3">
        <v>0</v>
      </c>
      <c r="F1086" s="3">
        <v>0</v>
      </c>
      <c r="G1086" s="3">
        <v>0</v>
      </c>
      <c r="H1086" s="3">
        <v>0</v>
      </c>
      <c r="I1086" s="3">
        <v>0</v>
      </c>
      <c r="J1086" s="3">
        <v>0</v>
      </c>
      <c r="K1086" s="4">
        <v>0</v>
      </c>
      <c r="L1086" s="3">
        <v>0</v>
      </c>
      <c r="M1086" s="3">
        <v>386.9</v>
      </c>
      <c r="N1086" s="3">
        <f t="shared" si="272"/>
        <v>2553540</v>
      </c>
      <c r="O1086" s="3">
        <v>0</v>
      </c>
      <c r="P1086" s="3">
        <v>0</v>
      </c>
      <c r="Q1086" s="3">
        <v>0</v>
      </c>
      <c r="R1086" s="3">
        <f t="shared" si="273"/>
        <v>0</v>
      </c>
      <c r="S1086" s="3">
        <v>0</v>
      </c>
      <c r="T1086" s="13">
        <v>0</v>
      </c>
      <c r="U1086" s="3">
        <v>0</v>
      </c>
      <c r="V1086" s="5">
        <f t="shared" si="269"/>
        <v>6600</v>
      </c>
    </row>
    <row r="1087" spans="1:258" ht="25.15" customHeight="1" x14ac:dyDescent="0.25">
      <c r="A1087" s="21" t="s">
        <v>1882</v>
      </c>
      <c r="B1087" s="24" t="s">
        <v>1958</v>
      </c>
      <c r="C1087" s="2">
        <f t="shared" ref="C1087" si="274">D1087+L1087+N1087+P1087+R1087+S1087+T1087+U1087</f>
        <v>5562500</v>
      </c>
      <c r="D1087" s="3">
        <f t="shared" ref="D1087" si="275">SUM(E1087:J1087)</f>
        <v>0</v>
      </c>
      <c r="E1087" s="3">
        <v>0</v>
      </c>
      <c r="F1087" s="3">
        <v>0</v>
      </c>
      <c r="G1087" s="3">
        <v>0</v>
      </c>
      <c r="H1087" s="3">
        <v>0</v>
      </c>
      <c r="I1087" s="3">
        <v>0</v>
      </c>
      <c r="J1087" s="3">
        <v>0</v>
      </c>
      <c r="K1087" s="4">
        <v>0</v>
      </c>
      <c r="L1087" s="3">
        <v>0</v>
      </c>
      <c r="M1087" s="3">
        <v>1250</v>
      </c>
      <c r="N1087" s="3">
        <f>M1087*4450</f>
        <v>5562500</v>
      </c>
      <c r="O1087" s="3">
        <v>0</v>
      </c>
      <c r="P1087" s="3">
        <v>0</v>
      </c>
      <c r="Q1087" s="3">
        <v>0</v>
      </c>
      <c r="R1087" s="3">
        <v>0</v>
      </c>
      <c r="S1087" s="3">
        <v>0</v>
      </c>
      <c r="T1087" s="13">
        <v>0</v>
      </c>
      <c r="U1087" s="3">
        <v>0</v>
      </c>
      <c r="V1087" s="5">
        <f t="shared" si="269"/>
        <v>4450</v>
      </c>
    </row>
    <row r="1088" spans="1:258" ht="25.15" customHeight="1" x14ac:dyDescent="0.25">
      <c r="A1088" s="21" t="s">
        <v>1883</v>
      </c>
      <c r="B1088" s="24" t="s">
        <v>548</v>
      </c>
      <c r="C1088" s="2">
        <f t="shared" si="267"/>
        <v>3366000</v>
      </c>
      <c r="D1088" s="3">
        <f t="shared" si="268"/>
        <v>0</v>
      </c>
      <c r="E1088" s="3">
        <v>0</v>
      </c>
      <c r="F1088" s="3">
        <v>0</v>
      </c>
      <c r="G1088" s="3">
        <v>0</v>
      </c>
      <c r="H1088" s="3">
        <v>0</v>
      </c>
      <c r="I1088" s="3">
        <v>0</v>
      </c>
      <c r="J1088" s="3">
        <v>0</v>
      </c>
      <c r="K1088" s="14">
        <v>0</v>
      </c>
      <c r="L1088" s="13">
        <v>0</v>
      </c>
      <c r="M1088" s="13">
        <v>510</v>
      </c>
      <c r="N1088" s="3">
        <f t="shared" si="272"/>
        <v>3366000</v>
      </c>
      <c r="O1088" s="13">
        <v>0</v>
      </c>
      <c r="P1088" s="13">
        <v>0</v>
      </c>
      <c r="Q1088" s="13">
        <v>0</v>
      </c>
      <c r="R1088" s="3">
        <f t="shared" si="273"/>
        <v>0</v>
      </c>
      <c r="S1088" s="13">
        <v>0</v>
      </c>
      <c r="T1088" s="13">
        <v>0</v>
      </c>
      <c r="U1088" s="13">
        <v>0</v>
      </c>
      <c r="V1088" s="5">
        <f t="shared" si="269"/>
        <v>6600</v>
      </c>
    </row>
    <row r="1089" spans="1:22" ht="25.15" customHeight="1" x14ac:dyDescent="0.25">
      <c r="A1089" s="21" t="s">
        <v>1884</v>
      </c>
      <c r="B1089" s="24" t="s">
        <v>825</v>
      </c>
      <c r="C1089" s="2">
        <f t="shared" si="267"/>
        <v>2900000</v>
      </c>
      <c r="D1089" s="3">
        <f t="shared" si="268"/>
        <v>0</v>
      </c>
      <c r="E1089" s="3">
        <v>0</v>
      </c>
      <c r="F1089" s="3">
        <v>0</v>
      </c>
      <c r="G1089" s="3">
        <v>0</v>
      </c>
      <c r="H1089" s="3">
        <v>0</v>
      </c>
      <c r="I1089" s="3">
        <v>0</v>
      </c>
      <c r="J1089" s="3">
        <v>0</v>
      </c>
      <c r="K1089" s="4">
        <v>1</v>
      </c>
      <c r="L1089" s="3">
        <f>K1089*2700000</f>
        <v>2700000</v>
      </c>
      <c r="M1089" s="3">
        <v>0</v>
      </c>
      <c r="N1089" s="3">
        <v>0</v>
      </c>
      <c r="O1089" s="3">
        <v>0</v>
      </c>
      <c r="P1089" s="3">
        <v>0</v>
      </c>
      <c r="Q1089" s="3">
        <v>0</v>
      </c>
      <c r="R1089" s="3">
        <f t="shared" si="273"/>
        <v>0</v>
      </c>
      <c r="S1089" s="3">
        <v>0</v>
      </c>
      <c r="T1089" s="13">
        <v>0</v>
      </c>
      <c r="U1089" s="3">
        <v>200000</v>
      </c>
      <c r="V1089" s="5" t="e">
        <f t="shared" si="269"/>
        <v>#DIV/0!</v>
      </c>
    </row>
    <row r="1090" spans="1:22" ht="25.15" customHeight="1" x14ac:dyDescent="0.25">
      <c r="A1090" s="21" t="s">
        <v>1885</v>
      </c>
      <c r="B1090" s="24" t="s">
        <v>984</v>
      </c>
      <c r="C1090" s="2">
        <f t="shared" si="267"/>
        <v>2877347.27</v>
      </c>
      <c r="D1090" s="3">
        <f t="shared" si="268"/>
        <v>0</v>
      </c>
      <c r="E1090" s="3">
        <v>0</v>
      </c>
      <c r="F1090" s="3">
        <v>0</v>
      </c>
      <c r="G1090" s="3">
        <v>0</v>
      </c>
      <c r="H1090" s="3">
        <v>0</v>
      </c>
      <c r="I1090" s="3">
        <v>0</v>
      </c>
      <c r="J1090" s="3">
        <v>0</v>
      </c>
      <c r="K1090" s="4">
        <v>1</v>
      </c>
      <c r="L1090" s="3">
        <v>2700000</v>
      </c>
      <c r="M1090" s="3">
        <v>0</v>
      </c>
      <c r="N1090" s="3">
        <v>0</v>
      </c>
      <c r="O1090" s="3">
        <v>0</v>
      </c>
      <c r="P1090" s="3">
        <v>0</v>
      </c>
      <c r="Q1090" s="3">
        <v>0</v>
      </c>
      <c r="R1090" s="3">
        <f t="shared" si="273"/>
        <v>0</v>
      </c>
      <c r="S1090" s="3">
        <v>0</v>
      </c>
      <c r="T1090" s="13">
        <v>0</v>
      </c>
      <c r="U1090" s="3">
        <v>177347.27</v>
      </c>
      <c r="V1090" s="5" t="e">
        <f t="shared" si="269"/>
        <v>#DIV/0!</v>
      </c>
    </row>
    <row r="1091" spans="1:22" ht="25.15" customHeight="1" x14ac:dyDescent="0.25">
      <c r="A1091" s="21" t="s">
        <v>1886</v>
      </c>
      <c r="B1091" s="24" t="s">
        <v>730</v>
      </c>
      <c r="C1091" s="2">
        <f t="shared" si="267"/>
        <v>4421075</v>
      </c>
      <c r="D1091" s="3">
        <f t="shared" si="268"/>
        <v>0</v>
      </c>
      <c r="E1091" s="3">
        <v>0</v>
      </c>
      <c r="F1091" s="3">
        <v>0</v>
      </c>
      <c r="G1091" s="3">
        <v>0</v>
      </c>
      <c r="H1091" s="3">
        <v>0</v>
      </c>
      <c r="I1091" s="3">
        <v>0</v>
      </c>
      <c r="J1091" s="3">
        <v>0</v>
      </c>
      <c r="K1091" s="4">
        <v>0</v>
      </c>
      <c r="L1091" s="3">
        <v>0</v>
      </c>
      <c r="M1091" s="13">
        <v>993.5</v>
      </c>
      <c r="N1091" s="3">
        <f>M1091*4450</f>
        <v>4421075</v>
      </c>
      <c r="O1091" s="3">
        <v>0</v>
      </c>
      <c r="P1091" s="3">
        <v>0</v>
      </c>
      <c r="Q1091" s="3">
        <v>0</v>
      </c>
      <c r="R1091" s="3">
        <f t="shared" si="273"/>
        <v>0</v>
      </c>
      <c r="S1091" s="3">
        <v>0</v>
      </c>
      <c r="T1091" s="13">
        <v>0</v>
      </c>
      <c r="U1091" s="3">
        <v>0</v>
      </c>
      <c r="V1091" s="5">
        <f t="shared" si="269"/>
        <v>4450</v>
      </c>
    </row>
    <row r="1092" spans="1:22" ht="25.15" customHeight="1" x14ac:dyDescent="0.25">
      <c r="A1092" s="21" t="s">
        <v>1887</v>
      </c>
      <c r="B1092" s="24" t="s">
        <v>784</v>
      </c>
      <c r="C1092" s="2">
        <f t="shared" si="267"/>
        <v>22639917.120000001</v>
      </c>
      <c r="D1092" s="3">
        <f t="shared" si="268"/>
        <v>9572160</v>
      </c>
      <c r="E1092" s="3">
        <f>700*3190.72</f>
        <v>2233504</v>
      </c>
      <c r="F1092" s="3">
        <f>1300*3190.72</f>
        <v>4147935.9999999995</v>
      </c>
      <c r="G1092" s="3">
        <f>300*3190.72</f>
        <v>957215.99999999988</v>
      </c>
      <c r="H1092" s="3">
        <f>400*3190.72</f>
        <v>1276288</v>
      </c>
      <c r="I1092" s="3">
        <f>300*3190.72</f>
        <v>957215.99999999988</v>
      </c>
      <c r="J1092" s="3">
        <v>0</v>
      </c>
      <c r="K1092" s="4">
        <v>0</v>
      </c>
      <c r="L1092" s="3">
        <v>0</v>
      </c>
      <c r="M1092" s="13">
        <v>1185.4000000000001</v>
      </c>
      <c r="N1092" s="3">
        <f>M1092*4450</f>
        <v>5275030</v>
      </c>
      <c r="O1092" s="3">
        <v>0</v>
      </c>
      <c r="P1092" s="3">
        <v>0</v>
      </c>
      <c r="Q1092" s="13">
        <v>2360</v>
      </c>
      <c r="R1092" s="3">
        <f t="shared" si="273"/>
        <v>7552000</v>
      </c>
      <c r="S1092" s="13">
        <v>0</v>
      </c>
      <c r="T1092" s="13">
        <v>0</v>
      </c>
      <c r="U1092" s="3">
        <v>240727.12</v>
      </c>
      <c r="V1092" s="5">
        <f t="shared" si="269"/>
        <v>4450</v>
      </c>
    </row>
    <row r="1093" spans="1:22" ht="25.15" customHeight="1" x14ac:dyDescent="0.25">
      <c r="A1093" s="21" t="s">
        <v>1888</v>
      </c>
      <c r="B1093" s="24" t="s">
        <v>785</v>
      </c>
      <c r="C1093" s="2">
        <f t="shared" si="267"/>
        <v>27604767.859999999</v>
      </c>
      <c r="D1093" s="3">
        <f t="shared" si="268"/>
        <v>12399300.000000002</v>
      </c>
      <c r="E1093" s="3">
        <f>700*4133.1</f>
        <v>2893170.0000000005</v>
      </c>
      <c r="F1093" s="3">
        <f>1300*4133.1</f>
        <v>5373030.0000000009</v>
      </c>
      <c r="G1093" s="3">
        <f>300*4133.1</f>
        <v>1239930</v>
      </c>
      <c r="H1093" s="3">
        <f>400*4133.1</f>
        <v>1653240.0000000002</v>
      </c>
      <c r="I1093" s="3">
        <f>300*4133.1</f>
        <v>1239930</v>
      </c>
      <c r="J1093" s="3">
        <v>0</v>
      </c>
      <c r="K1093" s="4">
        <v>0</v>
      </c>
      <c r="L1093" s="3">
        <v>0</v>
      </c>
      <c r="M1093" s="13">
        <v>1226.5999999999999</v>
      </c>
      <c r="N1093" s="3">
        <f>M1093*4450</f>
        <v>5458370</v>
      </c>
      <c r="O1093" s="3">
        <v>0</v>
      </c>
      <c r="P1093" s="3">
        <v>0</v>
      </c>
      <c r="Q1093" s="3">
        <v>2950</v>
      </c>
      <c r="R1093" s="3">
        <f t="shared" si="273"/>
        <v>9440000</v>
      </c>
      <c r="S1093" s="3">
        <v>0</v>
      </c>
      <c r="T1093" s="13">
        <v>0</v>
      </c>
      <c r="U1093" s="3">
        <v>307097.86</v>
      </c>
      <c r="V1093" s="5">
        <f t="shared" si="269"/>
        <v>4450</v>
      </c>
    </row>
    <row r="1094" spans="1:22" ht="25.15" customHeight="1" x14ac:dyDescent="0.25">
      <c r="A1094" s="21" t="s">
        <v>1889</v>
      </c>
      <c r="B1094" s="24" t="s">
        <v>786</v>
      </c>
      <c r="C1094" s="2">
        <f t="shared" si="267"/>
        <v>21820408.780000001</v>
      </c>
      <c r="D1094" s="3">
        <f t="shared" si="268"/>
        <v>9499500</v>
      </c>
      <c r="E1094" s="3">
        <f>700*3166.5</f>
        <v>2216550</v>
      </c>
      <c r="F1094" s="3">
        <f>1300*3166.5</f>
        <v>4116450</v>
      </c>
      <c r="G1094" s="3">
        <f>300*3166.5</f>
        <v>949950</v>
      </c>
      <c r="H1094" s="3">
        <f>400*3166.5</f>
        <v>1266600</v>
      </c>
      <c r="I1094" s="3">
        <f>300*3166.5</f>
        <v>949950</v>
      </c>
      <c r="J1094" s="3">
        <v>0</v>
      </c>
      <c r="K1094" s="4">
        <v>0</v>
      </c>
      <c r="L1094" s="3">
        <v>0</v>
      </c>
      <c r="M1094" s="13">
        <v>1017.5</v>
      </c>
      <c r="N1094" s="3">
        <f>M1094*4450</f>
        <v>4527875</v>
      </c>
      <c r="O1094" s="3">
        <v>0</v>
      </c>
      <c r="P1094" s="3">
        <v>0</v>
      </c>
      <c r="Q1094" s="13">
        <v>2360</v>
      </c>
      <c r="R1094" s="3">
        <f t="shared" si="273"/>
        <v>7552000</v>
      </c>
      <c r="S1094" s="3">
        <v>0</v>
      </c>
      <c r="T1094" s="13">
        <v>0</v>
      </c>
      <c r="U1094" s="13">
        <v>241033.78</v>
      </c>
      <c r="V1094" s="5">
        <f t="shared" si="269"/>
        <v>4450</v>
      </c>
    </row>
    <row r="1095" spans="1:22" ht="25.15" customHeight="1" x14ac:dyDescent="0.25">
      <c r="A1095" s="21" t="s">
        <v>1984</v>
      </c>
      <c r="B1095" s="24" t="s">
        <v>647</v>
      </c>
      <c r="C1095" s="2">
        <f t="shared" si="267"/>
        <v>4966820</v>
      </c>
      <c r="D1095" s="3">
        <f t="shared" si="268"/>
        <v>0</v>
      </c>
      <c r="E1095" s="3">
        <v>0</v>
      </c>
      <c r="F1095" s="3">
        <v>0</v>
      </c>
      <c r="G1095" s="3">
        <v>0</v>
      </c>
      <c r="H1095" s="3">
        <v>0</v>
      </c>
      <c r="I1095" s="3">
        <v>0</v>
      </c>
      <c r="J1095" s="3">
        <v>0</v>
      </c>
      <c r="K1095" s="14">
        <v>0</v>
      </c>
      <c r="L1095" s="13">
        <v>0</v>
      </c>
      <c r="M1095" s="13">
        <v>427.7</v>
      </c>
      <c r="N1095" s="3">
        <f>M1095*6600</f>
        <v>2822820</v>
      </c>
      <c r="O1095" s="13">
        <v>0</v>
      </c>
      <c r="P1095" s="13">
        <v>0</v>
      </c>
      <c r="Q1095" s="13">
        <v>670</v>
      </c>
      <c r="R1095" s="3">
        <f t="shared" si="273"/>
        <v>2144000</v>
      </c>
      <c r="S1095" s="13">
        <v>0</v>
      </c>
      <c r="T1095" s="13">
        <v>0</v>
      </c>
      <c r="U1095" s="13">
        <v>0</v>
      </c>
      <c r="V1095" s="5">
        <f t="shared" si="269"/>
        <v>6600</v>
      </c>
    </row>
    <row r="1096" spans="1:22" ht="24.6" customHeight="1" x14ac:dyDescent="0.25">
      <c r="A1096" s="21" t="s">
        <v>1890</v>
      </c>
      <c r="B1096" s="24" t="s">
        <v>648</v>
      </c>
      <c r="C1096" s="2">
        <f t="shared" si="267"/>
        <v>3475760</v>
      </c>
      <c r="D1096" s="3">
        <f t="shared" si="268"/>
        <v>0</v>
      </c>
      <c r="E1096" s="3">
        <v>0</v>
      </c>
      <c r="F1096" s="3">
        <v>0</v>
      </c>
      <c r="G1096" s="3">
        <v>0</v>
      </c>
      <c r="H1096" s="3">
        <v>0</v>
      </c>
      <c r="I1096" s="3">
        <v>0</v>
      </c>
      <c r="J1096" s="3">
        <v>0</v>
      </c>
      <c r="K1096" s="14">
        <v>0</v>
      </c>
      <c r="L1096" s="13">
        <v>0</v>
      </c>
      <c r="M1096" s="3">
        <v>303.60000000000002</v>
      </c>
      <c r="N1096" s="3">
        <f>M1096*6600</f>
        <v>2003760.0000000002</v>
      </c>
      <c r="O1096" s="3">
        <v>0</v>
      </c>
      <c r="P1096" s="3">
        <v>0</v>
      </c>
      <c r="Q1096" s="3">
        <v>460</v>
      </c>
      <c r="R1096" s="3">
        <f t="shared" si="273"/>
        <v>1472000</v>
      </c>
      <c r="S1096" s="13">
        <v>0</v>
      </c>
      <c r="T1096" s="13">
        <v>0</v>
      </c>
      <c r="U1096" s="13">
        <v>0</v>
      </c>
      <c r="V1096" s="5">
        <f t="shared" si="269"/>
        <v>6600</v>
      </c>
    </row>
    <row r="1097" spans="1:22" ht="25.15" customHeight="1" x14ac:dyDescent="0.25">
      <c r="A1097" s="21" t="s">
        <v>1891</v>
      </c>
      <c r="B1097" s="24" t="s">
        <v>649</v>
      </c>
      <c r="C1097" s="2">
        <f t="shared" si="267"/>
        <v>3452000</v>
      </c>
      <c r="D1097" s="3">
        <f t="shared" si="268"/>
        <v>0</v>
      </c>
      <c r="E1097" s="3">
        <v>0</v>
      </c>
      <c r="F1097" s="3">
        <v>0</v>
      </c>
      <c r="G1097" s="3">
        <v>0</v>
      </c>
      <c r="H1097" s="3">
        <v>0</v>
      </c>
      <c r="I1097" s="3">
        <v>0</v>
      </c>
      <c r="J1097" s="3">
        <v>0</v>
      </c>
      <c r="K1097" s="14">
        <v>0</v>
      </c>
      <c r="L1097" s="13">
        <v>0</v>
      </c>
      <c r="M1097" s="3">
        <v>300</v>
      </c>
      <c r="N1097" s="3">
        <f>M1097*6600</f>
        <v>1980000</v>
      </c>
      <c r="O1097" s="3">
        <v>0</v>
      </c>
      <c r="P1097" s="3">
        <v>0</v>
      </c>
      <c r="Q1097" s="3">
        <v>460</v>
      </c>
      <c r="R1097" s="3">
        <f t="shared" si="273"/>
        <v>1472000</v>
      </c>
      <c r="S1097" s="3">
        <v>0</v>
      </c>
      <c r="T1097" s="13">
        <v>0</v>
      </c>
      <c r="U1097" s="13">
        <v>0</v>
      </c>
      <c r="V1097" s="5">
        <f t="shared" si="269"/>
        <v>6600</v>
      </c>
    </row>
    <row r="1098" spans="1:22" ht="25.15" customHeight="1" x14ac:dyDescent="0.25">
      <c r="A1098" s="21" t="s">
        <v>1892</v>
      </c>
      <c r="B1098" s="24" t="s">
        <v>650</v>
      </c>
      <c r="C1098" s="2">
        <f t="shared" si="267"/>
        <v>3484340</v>
      </c>
      <c r="D1098" s="3">
        <f t="shared" si="268"/>
        <v>0</v>
      </c>
      <c r="E1098" s="3">
        <v>0</v>
      </c>
      <c r="F1098" s="3">
        <v>0</v>
      </c>
      <c r="G1098" s="3">
        <v>0</v>
      </c>
      <c r="H1098" s="3">
        <v>0</v>
      </c>
      <c r="I1098" s="3">
        <v>0</v>
      </c>
      <c r="J1098" s="3">
        <v>0</v>
      </c>
      <c r="K1098" s="14">
        <v>0</v>
      </c>
      <c r="L1098" s="13">
        <v>0</v>
      </c>
      <c r="M1098" s="3">
        <v>304.89999999999998</v>
      </c>
      <c r="N1098" s="3">
        <f>M1098*6600</f>
        <v>2012339.9999999998</v>
      </c>
      <c r="O1098" s="3">
        <v>0</v>
      </c>
      <c r="P1098" s="3">
        <v>0</v>
      </c>
      <c r="Q1098" s="3">
        <v>460</v>
      </c>
      <c r="R1098" s="3">
        <f t="shared" si="273"/>
        <v>1472000</v>
      </c>
      <c r="S1098" s="3">
        <v>0</v>
      </c>
      <c r="T1098" s="13">
        <v>0</v>
      </c>
      <c r="U1098" s="13">
        <v>0</v>
      </c>
      <c r="V1098" s="5">
        <f t="shared" si="269"/>
        <v>6600</v>
      </c>
    </row>
    <row r="1099" spans="1:22" ht="25.15" customHeight="1" x14ac:dyDescent="0.25">
      <c r="A1099" s="21" t="s">
        <v>1893</v>
      </c>
      <c r="B1099" s="24" t="s">
        <v>731</v>
      </c>
      <c r="C1099" s="2">
        <f t="shared" si="267"/>
        <v>4593600</v>
      </c>
      <c r="D1099" s="3">
        <f t="shared" si="268"/>
        <v>0</v>
      </c>
      <c r="E1099" s="3">
        <v>0</v>
      </c>
      <c r="F1099" s="3">
        <v>0</v>
      </c>
      <c r="G1099" s="3">
        <v>0</v>
      </c>
      <c r="H1099" s="3">
        <v>0</v>
      </c>
      <c r="I1099" s="3">
        <v>0</v>
      </c>
      <c r="J1099" s="3">
        <v>0</v>
      </c>
      <c r="K1099" s="4">
        <v>0</v>
      </c>
      <c r="L1099" s="3">
        <v>0</v>
      </c>
      <c r="M1099" s="13">
        <v>696</v>
      </c>
      <c r="N1099" s="3">
        <f>M1099*6600</f>
        <v>4593600</v>
      </c>
      <c r="O1099" s="3">
        <v>0</v>
      </c>
      <c r="P1099" s="3">
        <v>0</v>
      </c>
      <c r="Q1099" s="3">
        <v>0</v>
      </c>
      <c r="R1099" s="3">
        <f t="shared" si="273"/>
        <v>0</v>
      </c>
      <c r="S1099" s="3">
        <v>0</v>
      </c>
      <c r="T1099" s="13">
        <v>0</v>
      </c>
      <c r="U1099" s="3">
        <v>0</v>
      </c>
      <c r="V1099" s="5">
        <f t="shared" si="269"/>
        <v>6600</v>
      </c>
    </row>
    <row r="1100" spans="1:22" ht="25.15" customHeight="1" x14ac:dyDescent="0.25">
      <c r="A1100" s="21" t="s">
        <v>1894</v>
      </c>
      <c r="B1100" s="24" t="s">
        <v>402</v>
      </c>
      <c r="C1100" s="2">
        <f t="shared" si="267"/>
        <v>5022892.8</v>
      </c>
      <c r="D1100" s="3">
        <f t="shared" si="268"/>
        <v>0</v>
      </c>
      <c r="E1100" s="3">
        <v>0</v>
      </c>
      <c r="F1100" s="3">
        <v>0</v>
      </c>
      <c r="G1100" s="3">
        <v>0</v>
      </c>
      <c r="H1100" s="3">
        <v>0</v>
      </c>
      <c r="I1100" s="3">
        <v>0</v>
      </c>
      <c r="J1100" s="3">
        <v>0</v>
      </c>
      <c r="K1100" s="4">
        <v>0</v>
      </c>
      <c r="L1100" s="3">
        <v>0</v>
      </c>
      <c r="M1100" s="3">
        <v>764.16</v>
      </c>
      <c r="N1100" s="3">
        <v>5022892.8</v>
      </c>
      <c r="O1100" s="3">
        <v>0</v>
      </c>
      <c r="P1100" s="3">
        <v>0</v>
      </c>
      <c r="Q1100" s="3">
        <v>0</v>
      </c>
      <c r="R1100" s="3">
        <f t="shared" si="273"/>
        <v>0</v>
      </c>
      <c r="S1100" s="3">
        <v>0</v>
      </c>
      <c r="T1100" s="13">
        <v>0</v>
      </c>
      <c r="U1100" s="3">
        <v>0</v>
      </c>
      <c r="V1100" s="5">
        <f t="shared" si="269"/>
        <v>6573.0904522613064</v>
      </c>
    </row>
    <row r="1101" spans="1:22" ht="25.15" customHeight="1" x14ac:dyDescent="0.25">
      <c r="A1101" s="21" t="s">
        <v>1895</v>
      </c>
      <c r="B1101" s="24" t="s">
        <v>403</v>
      </c>
      <c r="C1101" s="2">
        <f t="shared" si="267"/>
        <v>300000</v>
      </c>
      <c r="D1101" s="3">
        <f t="shared" si="268"/>
        <v>0</v>
      </c>
      <c r="E1101" s="3">
        <v>0</v>
      </c>
      <c r="F1101" s="3">
        <v>0</v>
      </c>
      <c r="G1101" s="3">
        <v>0</v>
      </c>
      <c r="H1101" s="3">
        <v>0</v>
      </c>
      <c r="I1101" s="3">
        <v>0</v>
      </c>
      <c r="J1101" s="3">
        <v>0</v>
      </c>
      <c r="K1101" s="4">
        <v>0</v>
      </c>
      <c r="L1101" s="3">
        <v>0</v>
      </c>
      <c r="M1101" s="3">
        <v>0</v>
      </c>
      <c r="N1101" s="3">
        <f>M1101*6600</f>
        <v>0</v>
      </c>
      <c r="O1101" s="3">
        <v>0</v>
      </c>
      <c r="P1101" s="3">
        <v>0</v>
      </c>
      <c r="Q1101" s="3">
        <v>0</v>
      </c>
      <c r="R1101" s="3">
        <f t="shared" si="273"/>
        <v>0</v>
      </c>
      <c r="S1101" s="3">
        <v>0</v>
      </c>
      <c r="T1101" s="13">
        <v>0</v>
      </c>
      <c r="U1101" s="3">
        <v>300000</v>
      </c>
      <c r="V1101" s="5" t="e">
        <f t="shared" si="269"/>
        <v>#DIV/0!</v>
      </c>
    </row>
    <row r="1102" spans="1:22" ht="25.15" customHeight="1" x14ac:dyDescent="0.25">
      <c r="A1102" s="21" t="s">
        <v>1896</v>
      </c>
      <c r="B1102" s="24" t="s">
        <v>651</v>
      </c>
      <c r="C1102" s="2">
        <f t="shared" si="267"/>
        <v>3942179.9999999995</v>
      </c>
      <c r="D1102" s="3">
        <f t="shared" si="268"/>
        <v>0</v>
      </c>
      <c r="E1102" s="3">
        <v>0</v>
      </c>
      <c r="F1102" s="3">
        <v>0</v>
      </c>
      <c r="G1102" s="3">
        <v>0</v>
      </c>
      <c r="H1102" s="3">
        <v>0</v>
      </c>
      <c r="I1102" s="3">
        <v>0</v>
      </c>
      <c r="J1102" s="3">
        <v>0</v>
      </c>
      <c r="K1102" s="4">
        <v>0</v>
      </c>
      <c r="L1102" s="3">
        <v>0</v>
      </c>
      <c r="M1102" s="3">
        <v>597.29999999999995</v>
      </c>
      <c r="N1102" s="3">
        <f>M1102*6600</f>
        <v>3942179.9999999995</v>
      </c>
      <c r="O1102" s="3">
        <v>0</v>
      </c>
      <c r="P1102" s="3">
        <v>0</v>
      </c>
      <c r="Q1102" s="3">
        <v>0</v>
      </c>
      <c r="R1102" s="3">
        <f t="shared" si="273"/>
        <v>0</v>
      </c>
      <c r="S1102" s="3">
        <v>0</v>
      </c>
      <c r="T1102" s="13">
        <v>0</v>
      </c>
      <c r="U1102" s="3">
        <v>0</v>
      </c>
      <c r="V1102" s="5">
        <f t="shared" si="269"/>
        <v>6600</v>
      </c>
    </row>
    <row r="1103" spans="1:22" ht="42.95" customHeight="1" x14ac:dyDescent="0.25">
      <c r="A1103" s="51" t="s">
        <v>288</v>
      </c>
      <c r="B1103" s="51"/>
      <c r="C1103" s="2">
        <f t="shared" ref="C1103:U1103" si="276">SUM(C1104)</f>
        <v>10203402.74</v>
      </c>
      <c r="D1103" s="2">
        <f t="shared" si="276"/>
        <v>5592340</v>
      </c>
      <c r="E1103" s="2">
        <f t="shared" si="276"/>
        <v>1505630</v>
      </c>
      <c r="F1103" s="2">
        <f t="shared" si="276"/>
        <v>2796170</v>
      </c>
      <c r="G1103" s="2">
        <f t="shared" si="276"/>
        <v>645270</v>
      </c>
      <c r="H1103" s="2">
        <f t="shared" si="276"/>
        <v>0</v>
      </c>
      <c r="I1103" s="2">
        <f t="shared" si="276"/>
        <v>645270</v>
      </c>
      <c r="J1103" s="2">
        <f t="shared" si="276"/>
        <v>0</v>
      </c>
      <c r="K1103" s="18">
        <f t="shared" si="276"/>
        <v>0</v>
      </c>
      <c r="L1103" s="2">
        <f t="shared" si="276"/>
        <v>0</v>
      </c>
      <c r="M1103" s="2">
        <f t="shared" si="276"/>
        <v>0</v>
      </c>
      <c r="N1103" s="2">
        <f t="shared" si="276"/>
        <v>0</v>
      </c>
      <c r="O1103" s="2">
        <f t="shared" si="276"/>
        <v>0</v>
      </c>
      <c r="P1103" s="2">
        <f t="shared" si="276"/>
        <v>0</v>
      </c>
      <c r="Q1103" s="2">
        <f t="shared" si="276"/>
        <v>1381.58</v>
      </c>
      <c r="R1103" s="2">
        <f t="shared" si="276"/>
        <v>4421056</v>
      </c>
      <c r="S1103" s="2">
        <f t="shared" si="276"/>
        <v>0</v>
      </c>
      <c r="T1103" s="2">
        <f t="shared" si="276"/>
        <v>0</v>
      </c>
      <c r="U1103" s="2">
        <f t="shared" si="276"/>
        <v>190006.74</v>
      </c>
    </row>
    <row r="1104" spans="1:22" ht="25.15" customHeight="1" x14ac:dyDescent="0.25">
      <c r="A1104" s="15" t="s">
        <v>1897</v>
      </c>
      <c r="B1104" s="24" t="s">
        <v>289</v>
      </c>
      <c r="C1104" s="2">
        <f>D1104+L1104+N1104+P1104+R1104+S1104+T1104+U1104</f>
        <v>10203402.74</v>
      </c>
      <c r="D1104" s="3">
        <f>SUM(E1104:J1104)</f>
        <v>5592340</v>
      </c>
      <c r="E1104" s="13">
        <f>700*2150.9</f>
        <v>1505630</v>
      </c>
      <c r="F1104" s="13">
        <f>1300*2150.9</f>
        <v>2796170</v>
      </c>
      <c r="G1104" s="13">
        <f>300*2150.9</f>
        <v>645270</v>
      </c>
      <c r="H1104" s="13">
        <v>0</v>
      </c>
      <c r="I1104" s="13">
        <f>300*2150.9</f>
        <v>645270</v>
      </c>
      <c r="J1104" s="13">
        <f>350*0</f>
        <v>0</v>
      </c>
      <c r="K1104" s="14">
        <v>0</v>
      </c>
      <c r="L1104" s="13">
        <v>0</v>
      </c>
      <c r="M1104" s="13">
        <v>0</v>
      </c>
      <c r="N1104" s="13">
        <v>0</v>
      </c>
      <c r="O1104" s="13">
        <v>0</v>
      </c>
      <c r="P1104" s="13">
        <v>0</v>
      </c>
      <c r="Q1104" s="13">
        <v>1381.58</v>
      </c>
      <c r="R1104" s="3">
        <f>Q1104*3200</f>
        <v>4421056</v>
      </c>
      <c r="S1104" s="13">
        <v>0</v>
      </c>
      <c r="T1104" s="13">
        <v>0</v>
      </c>
      <c r="U1104" s="13">
        <v>190006.74</v>
      </c>
      <c r="V1104" s="5" t="e">
        <f>N1104/M1104</f>
        <v>#DIV/0!</v>
      </c>
    </row>
    <row r="1105" spans="1:258" ht="42.95" customHeight="1" x14ac:dyDescent="0.25">
      <c r="A1105" s="51" t="s">
        <v>1808</v>
      </c>
      <c r="B1105" s="51"/>
      <c r="C1105" s="2">
        <f t="shared" ref="C1105:U1105" si="277">SUM(C1106)</f>
        <v>6675000</v>
      </c>
      <c r="D1105" s="2">
        <f t="shared" si="277"/>
        <v>0</v>
      </c>
      <c r="E1105" s="2">
        <f t="shared" si="277"/>
        <v>0</v>
      </c>
      <c r="F1105" s="2">
        <f t="shared" si="277"/>
        <v>0</v>
      </c>
      <c r="G1105" s="2">
        <f t="shared" si="277"/>
        <v>0</v>
      </c>
      <c r="H1105" s="2">
        <f t="shared" si="277"/>
        <v>0</v>
      </c>
      <c r="I1105" s="2">
        <f t="shared" si="277"/>
        <v>0</v>
      </c>
      <c r="J1105" s="2">
        <f t="shared" si="277"/>
        <v>0</v>
      </c>
      <c r="K1105" s="18">
        <f t="shared" si="277"/>
        <v>0</v>
      </c>
      <c r="L1105" s="2">
        <f t="shared" si="277"/>
        <v>0</v>
      </c>
      <c r="M1105" s="2">
        <f t="shared" si="277"/>
        <v>1500</v>
      </c>
      <c r="N1105" s="2">
        <f t="shared" si="277"/>
        <v>6675000</v>
      </c>
      <c r="O1105" s="2">
        <f t="shared" si="277"/>
        <v>0</v>
      </c>
      <c r="P1105" s="2">
        <f t="shared" si="277"/>
        <v>0</v>
      </c>
      <c r="Q1105" s="2">
        <f t="shared" si="277"/>
        <v>0</v>
      </c>
      <c r="R1105" s="2">
        <f t="shared" si="277"/>
        <v>0</v>
      </c>
      <c r="S1105" s="2">
        <f t="shared" si="277"/>
        <v>0</v>
      </c>
      <c r="T1105" s="2">
        <f t="shared" si="277"/>
        <v>0</v>
      </c>
      <c r="U1105" s="2">
        <f t="shared" si="277"/>
        <v>0</v>
      </c>
    </row>
    <row r="1106" spans="1:258" ht="25.15" customHeight="1" x14ac:dyDescent="0.25">
      <c r="A1106" s="21" t="s">
        <v>1898</v>
      </c>
      <c r="B1106" s="24" t="s">
        <v>1809</v>
      </c>
      <c r="C1106" s="2">
        <f>D1106+L1106+N1106+P1106+R1106+S1106+T1106+U1106</f>
        <v>6675000</v>
      </c>
      <c r="D1106" s="3">
        <f>SUM(E1106:J1106)</f>
        <v>0</v>
      </c>
      <c r="E1106" s="3">
        <v>0</v>
      </c>
      <c r="F1106" s="3">
        <v>0</v>
      </c>
      <c r="G1106" s="3">
        <f>300*0</f>
        <v>0</v>
      </c>
      <c r="H1106" s="3">
        <f>400*0</f>
        <v>0</v>
      </c>
      <c r="I1106" s="3">
        <f>250*0</f>
        <v>0</v>
      </c>
      <c r="J1106" s="3">
        <v>0</v>
      </c>
      <c r="K1106" s="4">
        <v>0</v>
      </c>
      <c r="L1106" s="3">
        <v>0</v>
      </c>
      <c r="M1106" s="3">
        <v>1500</v>
      </c>
      <c r="N1106" s="3">
        <f>M1106*4450</f>
        <v>6675000</v>
      </c>
      <c r="O1106" s="3">
        <v>0</v>
      </c>
      <c r="P1106" s="3">
        <v>0</v>
      </c>
      <c r="Q1106" s="3">
        <v>0</v>
      </c>
      <c r="R1106" s="3">
        <f>Q1106*3000</f>
        <v>0</v>
      </c>
      <c r="S1106" s="3">
        <v>0</v>
      </c>
      <c r="T1106" s="3">
        <v>0</v>
      </c>
      <c r="U1106" s="3">
        <v>0</v>
      </c>
      <c r="V1106" s="5">
        <f>N1106/M1106</f>
        <v>4450</v>
      </c>
    </row>
    <row r="1107" spans="1:258" ht="42.95" customHeight="1" x14ac:dyDescent="0.25">
      <c r="A1107" s="51" t="s">
        <v>266</v>
      </c>
      <c r="B1107" s="51"/>
      <c r="C1107" s="2">
        <f t="shared" ref="C1107:U1107" si="278">SUM(C1108:C1109)</f>
        <v>8865099.9800000004</v>
      </c>
      <c r="D1107" s="2">
        <f t="shared" si="278"/>
        <v>1321655</v>
      </c>
      <c r="E1107" s="2">
        <f t="shared" si="278"/>
        <v>413455</v>
      </c>
      <c r="F1107" s="2">
        <f t="shared" si="278"/>
        <v>621400</v>
      </c>
      <c r="G1107" s="2">
        <f t="shared" si="278"/>
        <v>143400</v>
      </c>
      <c r="H1107" s="2">
        <f t="shared" si="278"/>
        <v>0</v>
      </c>
      <c r="I1107" s="2">
        <f t="shared" si="278"/>
        <v>143400</v>
      </c>
      <c r="J1107" s="2">
        <f t="shared" si="278"/>
        <v>0</v>
      </c>
      <c r="K1107" s="18">
        <f t="shared" si="278"/>
        <v>0</v>
      </c>
      <c r="L1107" s="2">
        <f t="shared" si="278"/>
        <v>0</v>
      </c>
      <c r="M1107" s="2">
        <f t="shared" si="278"/>
        <v>688.2</v>
      </c>
      <c r="N1107" s="2">
        <f t="shared" si="278"/>
        <v>4260300</v>
      </c>
      <c r="O1107" s="2">
        <f t="shared" si="278"/>
        <v>0</v>
      </c>
      <c r="P1107" s="2">
        <f t="shared" si="278"/>
        <v>0</v>
      </c>
      <c r="Q1107" s="2">
        <f t="shared" si="278"/>
        <v>982</v>
      </c>
      <c r="R1107" s="2">
        <f t="shared" si="278"/>
        <v>3049320</v>
      </c>
      <c r="S1107" s="2">
        <f t="shared" si="278"/>
        <v>0</v>
      </c>
      <c r="T1107" s="2">
        <f t="shared" si="278"/>
        <v>0</v>
      </c>
      <c r="U1107" s="2">
        <f t="shared" si="278"/>
        <v>233824.98</v>
      </c>
    </row>
    <row r="1108" spans="1:258" ht="25.15" customHeight="1" x14ac:dyDescent="0.25">
      <c r="A1108" s="21" t="s">
        <v>1899</v>
      </c>
      <c r="B1108" s="24" t="s">
        <v>290</v>
      </c>
      <c r="C1108" s="2">
        <f>D1108+L1108+N1108+P1108+R1108+S1108+T1108+U1108</f>
        <v>2984155</v>
      </c>
      <c r="D1108" s="3">
        <f>SUM(E1108:J1108)</f>
        <v>78855</v>
      </c>
      <c r="E1108" s="3">
        <f>350*225.3</f>
        <v>78855</v>
      </c>
      <c r="F1108" s="3">
        <f>1050*0</f>
        <v>0</v>
      </c>
      <c r="G1108" s="3">
        <f>300*0</f>
        <v>0</v>
      </c>
      <c r="H1108" s="3">
        <f>400*0</f>
        <v>0</v>
      </c>
      <c r="I1108" s="3">
        <f>250*0</f>
        <v>0</v>
      </c>
      <c r="J1108" s="3">
        <v>0</v>
      </c>
      <c r="K1108" s="4">
        <v>0</v>
      </c>
      <c r="L1108" s="3">
        <v>0</v>
      </c>
      <c r="M1108" s="3">
        <v>256.2</v>
      </c>
      <c r="N1108" s="3">
        <f>M1108*5500</f>
        <v>1409100</v>
      </c>
      <c r="O1108" s="3">
        <v>0</v>
      </c>
      <c r="P1108" s="3">
        <v>0</v>
      </c>
      <c r="Q1108" s="3">
        <v>465.4</v>
      </c>
      <c r="R1108" s="3">
        <f>Q1108*3000</f>
        <v>1396200</v>
      </c>
      <c r="S1108" s="3">
        <v>0</v>
      </c>
      <c r="T1108" s="3">
        <v>0</v>
      </c>
      <c r="U1108" s="3">
        <v>100000</v>
      </c>
      <c r="V1108" s="5">
        <f>N1108/M1108</f>
        <v>5500</v>
      </c>
    </row>
    <row r="1109" spans="1:258" ht="25.15" customHeight="1" x14ac:dyDescent="0.25">
      <c r="A1109" s="21" t="s">
        <v>1900</v>
      </c>
      <c r="B1109" s="24" t="s">
        <v>287</v>
      </c>
      <c r="C1109" s="2">
        <f>D1109+L1109+N1109+P1109+R1109+S1109+T1109+U1109</f>
        <v>5880944.9800000004</v>
      </c>
      <c r="D1109" s="3">
        <f>SUM(E1109:J1109)</f>
        <v>1242800</v>
      </c>
      <c r="E1109" s="3">
        <f>700*478</f>
        <v>334600</v>
      </c>
      <c r="F1109" s="3">
        <f>1300*478</f>
        <v>621400</v>
      </c>
      <c r="G1109" s="3">
        <f>300*478</f>
        <v>143400</v>
      </c>
      <c r="H1109" s="3">
        <v>0</v>
      </c>
      <c r="I1109" s="3">
        <f>300*478</f>
        <v>143400</v>
      </c>
      <c r="J1109" s="3">
        <f>350*0</f>
        <v>0</v>
      </c>
      <c r="K1109" s="4">
        <v>0</v>
      </c>
      <c r="L1109" s="3">
        <v>0</v>
      </c>
      <c r="M1109" s="3">
        <v>432</v>
      </c>
      <c r="N1109" s="3">
        <f>M1109*6600</f>
        <v>2851200</v>
      </c>
      <c r="O1109" s="3">
        <v>0</v>
      </c>
      <c r="P1109" s="3">
        <v>0</v>
      </c>
      <c r="Q1109" s="3">
        <v>516.6</v>
      </c>
      <c r="R1109" s="3">
        <f>Q1109*3200</f>
        <v>1653120</v>
      </c>
      <c r="S1109" s="3">
        <v>0</v>
      </c>
      <c r="T1109" s="3">
        <v>0</v>
      </c>
      <c r="U1109" s="3">
        <v>133824.98000000001</v>
      </c>
      <c r="V1109" s="5">
        <f>N1109/M1109</f>
        <v>6600</v>
      </c>
    </row>
    <row r="1110" spans="1:258" ht="42.95" customHeight="1" x14ac:dyDescent="0.25">
      <c r="A1110" s="51" t="s">
        <v>916</v>
      </c>
      <c r="B1110" s="51"/>
      <c r="C1110" s="2">
        <f t="shared" ref="C1110:U1110" si="279">SUM(C1111)</f>
        <v>11346956.779999999</v>
      </c>
      <c r="D1110" s="2">
        <f t="shared" si="279"/>
        <v>11040300</v>
      </c>
      <c r="E1110" s="2">
        <f t="shared" si="279"/>
        <v>2862300</v>
      </c>
      <c r="F1110" s="2">
        <f t="shared" si="279"/>
        <v>5315700</v>
      </c>
      <c r="G1110" s="2">
        <f t="shared" si="279"/>
        <v>0</v>
      </c>
      <c r="H1110" s="2">
        <f t="shared" si="279"/>
        <v>1635600</v>
      </c>
      <c r="I1110" s="2">
        <f t="shared" si="279"/>
        <v>1226700</v>
      </c>
      <c r="J1110" s="2">
        <f t="shared" si="279"/>
        <v>0</v>
      </c>
      <c r="K1110" s="18">
        <f t="shared" si="279"/>
        <v>0</v>
      </c>
      <c r="L1110" s="2">
        <f t="shared" si="279"/>
        <v>0</v>
      </c>
      <c r="M1110" s="2">
        <f t="shared" si="279"/>
        <v>0</v>
      </c>
      <c r="N1110" s="2">
        <f t="shared" si="279"/>
        <v>0</v>
      </c>
      <c r="O1110" s="2">
        <f t="shared" si="279"/>
        <v>0</v>
      </c>
      <c r="P1110" s="2">
        <f t="shared" si="279"/>
        <v>0</v>
      </c>
      <c r="Q1110" s="2">
        <f t="shared" si="279"/>
        <v>0</v>
      </c>
      <c r="R1110" s="2">
        <f t="shared" si="279"/>
        <v>0</v>
      </c>
      <c r="S1110" s="2">
        <f t="shared" si="279"/>
        <v>0</v>
      </c>
      <c r="T1110" s="2">
        <f t="shared" si="279"/>
        <v>0</v>
      </c>
      <c r="U1110" s="2">
        <f t="shared" si="279"/>
        <v>306656.78000000003</v>
      </c>
    </row>
    <row r="1111" spans="1:258" ht="25.15" customHeight="1" x14ac:dyDescent="0.25">
      <c r="A1111" s="21" t="s">
        <v>1901</v>
      </c>
      <c r="B1111" s="24" t="s">
        <v>917</v>
      </c>
      <c r="C1111" s="2">
        <f>D1111+L1111+N1111+P1111+R1111+S1111+T1111+U1111</f>
        <v>11346956.779999999</v>
      </c>
      <c r="D1111" s="3">
        <f>SUM(E1111:J1111)</f>
        <v>11040300</v>
      </c>
      <c r="E1111" s="3">
        <f>700*4089</f>
        <v>2862300</v>
      </c>
      <c r="F1111" s="3">
        <f>1300*4089</f>
        <v>5315700</v>
      </c>
      <c r="G1111" s="3">
        <v>0</v>
      </c>
      <c r="H1111" s="3">
        <f>400*4089</f>
        <v>1635600</v>
      </c>
      <c r="I1111" s="3">
        <f>300*4089</f>
        <v>1226700</v>
      </c>
      <c r="J1111" s="3">
        <v>0</v>
      </c>
      <c r="K1111" s="4">
        <v>0</v>
      </c>
      <c r="L1111" s="3">
        <v>0</v>
      </c>
      <c r="M1111" s="3">
        <v>0</v>
      </c>
      <c r="N1111" s="3">
        <v>0</v>
      </c>
      <c r="O1111" s="3">
        <v>0</v>
      </c>
      <c r="P1111" s="3">
        <v>0</v>
      </c>
      <c r="Q1111" s="3">
        <v>0</v>
      </c>
      <c r="R1111" s="3">
        <f>Q1111*3200</f>
        <v>0</v>
      </c>
      <c r="S1111" s="3">
        <v>0</v>
      </c>
      <c r="T1111" s="3">
        <v>0</v>
      </c>
      <c r="U1111" s="3">
        <v>306656.78000000003</v>
      </c>
      <c r="V1111" s="5" t="e">
        <f>N1111/M1111</f>
        <v>#DIV/0!</v>
      </c>
    </row>
    <row r="1112" spans="1:258" ht="45" customHeight="1" x14ac:dyDescent="0.25">
      <c r="A1112" s="51" t="s">
        <v>911</v>
      </c>
      <c r="B1112" s="51"/>
      <c r="C1112" s="2">
        <f t="shared" ref="C1112:U1112" si="280">SUM(C1113:C1114)</f>
        <v>8586600</v>
      </c>
      <c r="D1112" s="2">
        <f t="shared" si="280"/>
        <v>0</v>
      </c>
      <c r="E1112" s="2">
        <f t="shared" si="280"/>
        <v>0</v>
      </c>
      <c r="F1112" s="2">
        <f t="shared" si="280"/>
        <v>0</v>
      </c>
      <c r="G1112" s="2">
        <f t="shared" si="280"/>
        <v>0</v>
      </c>
      <c r="H1112" s="2">
        <f t="shared" si="280"/>
        <v>0</v>
      </c>
      <c r="I1112" s="2">
        <f t="shared" si="280"/>
        <v>0</v>
      </c>
      <c r="J1112" s="2">
        <f t="shared" si="280"/>
        <v>0</v>
      </c>
      <c r="K1112" s="18">
        <f t="shared" si="280"/>
        <v>0</v>
      </c>
      <c r="L1112" s="2">
        <f t="shared" si="280"/>
        <v>0</v>
      </c>
      <c r="M1112" s="2">
        <f t="shared" si="280"/>
        <v>1301</v>
      </c>
      <c r="N1112" s="2">
        <f t="shared" si="280"/>
        <v>8586600</v>
      </c>
      <c r="O1112" s="2">
        <f t="shared" si="280"/>
        <v>0</v>
      </c>
      <c r="P1112" s="2">
        <f t="shared" si="280"/>
        <v>0</v>
      </c>
      <c r="Q1112" s="2">
        <f t="shared" si="280"/>
        <v>0</v>
      </c>
      <c r="R1112" s="2">
        <f t="shared" si="280"/>
        <v>0</v>
      </c>
      <c r="S1112" s="2">
        <f t="shared" si="280"/>
        <v>0</v>
      </c>
      <c r="T1112" s="2">
        <f t="shared" si="280"/>
        <v>0</v>
      </c>
      <c r="U1112" s="2">
        <f t="shared" si="280"/>
        <v>0</v>
      </c>
    </row>
    <row r="1113" spans="1:258" ht="25.15" customHeight="1" x14ac:dyDescent="0.25">
      <c r="A1113" s="21" t="s">
        <v>1902</v>
      </c>
      <c r="B1113" s="24" t="s">
        <v>1190</v>
      </c>
      <c r="C1113" s="2">
        <f>D1113+L1113+N1113+P1113+R1113+S1113+T1113+U1113</f>
        <v>4342800</v>
      </c>
      <c r="D1113" s="3">
        <f>SUM(E1113:J1113)</f>
        <v>0</v>
      </c>
      <c r="E1113" s="3">
        <v>0</v>
      </c>
      <c r="F1113" s="3">
        <v>0</v>
      </c>
      <c r="G1113" s="3">
        <v>0</v>
      </c>
      <c r="H1113" s="3">
        <v>0</v>
      </c>
      <c r="I1113" s="3">
        <v>0</v>
      </c>
      <c r="J1113" s="3">
        <v>0</v>
      </c>
      <c r="K1113" s="4">
        <v>0</v>
      </c>
      <c r="L1113" s="3">
        <v>0</v>
      </c>
      <c r="M1113" s="3">
        <v>658</v>
      </c>
      <c r="N1113" s="3">
        <f>M1113*6600</f>
        <v>4342800</v>
      </c>
      <c r="O1113" s="13">
        <v>0</v>
      </c>
      <c r="P1113" s="13">
        <v>0</v>
      </c>
      <c r="Q1113" s="13">
        <v>0</v>
      </c>
      <c r="R1113" s="3">
        <f>Q1113*3200</f>
        <v>0</v>
      </c>
      <c r="S1113" s="13">
        <v>0</v>
      </c>
      <c r="T1113" s="13">
        <v>0</v>
      </c>
      <c r="U1113" s="13">
        <v>0</v>
      </c>
      <c r="V1113" s="5">
        <f>N1113/M1113</f>
        <v>6600</v>
      </c>
    </row>
    <row r="1114" spans="1:258" ht="25.15" customHeight="1" x14ac:dyDescent="0.25">
      <c r="A1114" s="21" t="s">
        <v>1903</v>
      </c>
      <c r="B1114" s="24" t="s">
        <v>1191</v>
      </c>
      <c r="C1114" s="2">
        <f>D1114+L1114+N1114+P1114+R1114+S1114+T1114+U1114</f>
        <v>4243800</v>
      </c>
      <c r="D1114" s="3">
        <f>SUM(E1114:J1114)</f>
        <v>0</v>
      </c>
      <c r="E1114" s="3">
        <v>0</v>
      </c>
      <c r="F1114" s="3">
        <v>0</v>
      </c>
      <c r="G1114" s="3">
        <v>0</v>
      </c>
      <c r="H1114" s="3">
        <v>0</v>
      </c>
      <c r="I1114" s="3">
        <v>0</v>
      </c>
      <c r="J1114" s="3">
        <v>0</v>
      </c>
      <c r="K1114" s="4">
        <v>0</v>
      </c>
      <c r="L1114" s="3">
        <v>0</v>
      </c>
      <c r="M1114" s="13">
        <v>643</v>
      </c>
      <c r="N1114" s="3">
        <f>M1114*6600</f>
        <v>4243800</v>
      </c>
      <c r="O1114" s="13">
        <v>0</v>
      </c>
      <c r="P1114" s="13">
        <v>0</v>
      </c>
      <c r="Q1114" s="13">
        <v>0</v>
      </c>
      <c r="R1114" s="3">
        <f>Q1114*3200</f>
        <v>0</v>
      </c>
      <c r="S1114" s="13">
        <v>0</v>
      </c>
      <c r="T1114" s="13">
        <v>0</v>
      </c>
      <c r="U1114" s="13">
        <v>0</v>
      </c>
      <c r="V1114" s="5">
        <f>N1114/M1114</f>
        <v>6600</v>
      </c>
      <c r="W1114" s="32"/>
      <c r="X1114" s="32"/>
      <c r="Y1114" s="32"/>
      <c r="Z1114" s="32"/>
      <c r="AA1114" s="32"/>
      <c r="AB1114" s="32"/>
      <c r="AC1114" s="32"/>
      <c r="AD1114" s="32"/>
      <c r="AE1114" s="32"/>
      <c r="AF1114" s="32"/>
      <c r="AG1114" s="32"/>
      <c r="AH1114" s="32"/>
      <c r="AI1114" s="32"/>
      <c r="AJ1114" s="32"/>
      <c r="AK1114" s="32"/>
      <c r="AL1114" s="32"/>
      <c r="AM1114" s="32"/>
      <c r="AN1114" s="32"/>
      <c r="AO1114" s="32"/>
      <c r="AP1114" s="32"/>
      <c r="AQ1114" s="32"/>
      <c r="AR1114" s="32"/>
      <c r="AS1114" s="32"/>
      <c r="AT1114" s="32"/>
      <c r="AU1114" s="32"/>
      <c r="AV1114" s="32"/>
      <c r="AW1114" s="32"/>
      <c r="AX1114" s="32"/>
      <c r="AY1114" s="32"/>
      <c r="AZ1114" s="32"/>
      <c r="BA1114" s="32"/>
      <c r="BB1114" s="32"/>
      <c r="BC1114" s="32"/>
      <c r="BD1114" s="32"/>
      <c r="BE1114" s="32"/>
      <c r="BF1114" s="32"/>
      <c r="BG1114" s="32"/>
      <c r="BH1114" s="32"/>
      <c r="BI1114" s="32"/>
      <c r="BJ1114" s="32"/>
      <c r="BK1114" s="32"/>
      <c r="BL1114" s="32"/>
      <c r="BM1114" s="32"/>
      <c r="BN1114" s="32"/>
      <c r="BO1114" s="32"/>
      <c r="BP1114" s="32"/>
      <c r="BQ1114" s="32"/>
      <c r="BR1114" s="32"/>
      <c r="BS1114" s="32"/>
      <c r="BT1114" s="32"/>
      <c r="BU1114" s="32"/>
      <c r="BV1114" s="32"/>
      <c r="BW1114" s="32"/>
      <c r="BX1114" s="32"/>
      <c r="BY1114" s="32"/>
      <c r="BZ1114" s="32"/>
      <c r="CA1114" s="32"/>
      <c r="CB1114" s="32"/>
      <c r="CC1114" s="32"/>
      <c r="CD1114" s="32"/>
      <c r="CE1114" s="32"/>
      <c r="CF1114" s="32"/>
      <c r="CG1114" s="32"/>
      <c r="CH1114" s="32"/>
      <c r="CI1114" s="32"/>
      <c r="CJ1114" s="32"/>
      <c r="CK1114" s="32"/>
      <c r="CL1114" s="32"/>
      <c r="CM1114" s="32"/>
      <c r="CN1114" s="32"/>
      <c r="CO1114" s="32"/>
      <c r="CP1114" s="32"/>
      <c r="CQ1114" s="32"/>
      <c r="CR1114" s="32"/>
      <c r="CS1114" s="32"/>
      <c r="CT1114" s="32"/>
      <c r="CU1114" s="32"/>
      <c r="CV1114" s="32"/>
      <c r="CW1114" s="32"/>
      <c r="CX1114" s="32"/>
      <c r="CY1114" s="32"/>
      <c r="CZ1114" s="32"/>
      <c r="DA1114" s="32"/>
      <c r="DB1114" s="32"/>
      <c r="DC1114" s="32"/>
      <c r="DD1114" s="32"/>
      <c r="DE1114" s="32"/>
      <c r="DF1114" s="32"/>
      <c r="DG1114" s="32"/>
      <c r="DH1114" s="32"/>
      <c r="DI1114" s="32"/>
      <c r="DJ1114" s="32"/>
      <c r="DK1114" s="32"/>
      <c r="DL1114" s="32"/>
      <c r="DM1114" s="32"/>
      <c r="DN1114" s="32"/>
      <c r="DO1114" s="32"/>
      <c r="DP1114" s="32"/>
      <c r="DQ1114" s="32"/>
      <c r="DR1114" s="32"/>
      <c r="DS1114" s="32"/>
      <c r="DT1114" s="32"/>
      <c r="DU1114" s="32"/>
      <c r="DV1114" s="32"/>
      <c r="DW1114" s="32"/>
      <c r="DX1114" s="32"/>
      <c r="DY1114" s="32"/>
      <c r="DZ1114" s="32"/>
      <c r="EA1114" s="32"/>
      <c r="EB1114" s="32"/>
      <c r="EC1114" s="32"/>
      <c r="ED1114" s="32"/>
      <c r="EE1114" s="32"/>
      <c r="EF1114" s="32"/>
      <c r="EG1114" s="32"/>
      <c r="EH1114" s="32"/>
      <c r="EI1114" s="32"/>
      <c r="EJ1114" s="32"/>
      <c r="EK1114" s="32"/>
      <c r="EL1114" s="32"/>
      <c r="EM1114" s="32"/>
      <c r="EN1114" s="32"/>
      <c r="EO1114" s="32"/>
      <c r="EP1114" s="32"/>
      <c r="EQ1114" s="32"/>
      <c r="ER1114" s="32"/>
      <c r="ES1114" s="32"/>
      <c r="ET1114" s="32"/>
      <c r="EU1114" s="32"/>
      <c r="EV1114" s="32"/>
      <c r="EW1114" s="32"/>
      <c r="EX1114" s="32"/>
      <c r="EY1114" s="32"/>
      <c r="EZ1114" s="32"/>
      <c r="FA1114" s="32"/>
      <c r="FB1114" s="32"/>
      <c r="FC1114" s="32"/>
      <c r="FD1114" s="32"/>
      <c r="FE1114" s="32"/>
      <c r="FF1114" s="32"/>
      <c r="FG1114" s="32"/>
      <c r="FH1114" s="32"/>
      <c r="FI1114" s="32"/>
      <c r="FJ1114" s="32"/>
      <c r="FK1114" s="32"/>
      <c r="FL1114" s="32"/>
      <c r="FM1114" s="32"/>
      <c r="FN1114" s="32"/>
      <c r="FO1114" s="32"/>
      <c r="FP1114" s="32"/>
      <c r="FQ1114" s="32"/>
      <c r="FR1114" s="32"/>
      <c r="FS1114" s="32"/>
      <c r="FT1114" s="32"/>
      <c r="FU1114" s="32"/>
      <c r="FV1114" s="32"/>
      <c r="FW1114" s="32"/>
      <c r="FX1114" s="32"/>
      <c r="FY1114" s="32"/>
      <c r="FZ1114" s="32"/>
      <c r="GA1114" s="32"/>
      <c r="GB1114" s="32"/>
      <c r="GC1114" s="32"/>
      <c r="GD1114" s="32"/>
      <c r="GE1114" s="32"/>
      <c r="GF1114" s="32"/>
      <c r="GG1114" s="32"/>
      <c r="GH1114" s="32"/>
      <c r="GI1114" s="32"/>
      <c r="GJ1114" s="32"/>
      <c r="GK1114" s="32"/>
      <c r="GL1114" s="32"/>
      <c r="GM1114" s="32"/>
      <c r="GN1114" s="32"/>
      <c r="GO1114" s="32"/>
      <c r="GP1114" s="32"/>
      <c r="GQ1114" s="32"/>
      <c r="GR1114" s="32"/>
      <c r="GS1114" s="32"/>
      <c r="GT1114" s="32"/>
      <c r="GU1114" s="32"/>
      <c r="GV1114" s="32"/>
      <c r="GW1114" s="32"/>
      <c r="GX1114" s="32"/>
      <c r="GY1114" s="32"/>
      <c r="GZ1114" s="32"/>
      <c r="HA1114" s="32"/>
      <c r="HB1114" s="32"/>
      <c r="HC1114" s="32"/>
      <c r="HD1114" s="32"/>
      <c r="HE1114" s="32"/>
      <c r="HF1114" s="32"/>
      <c r="HG1114" s="32"/>
      <c r="HH1114" s="32"/>
      <c r="HI1114" s="32"/>
      <c r="HJ1114" s="32"/>
      <c r="HK1114" s="32"/>
      <c r="HL1114" s="32"/>
      <c r="HM1114" s="32"/>
      <c r="HN1114" s="32"/>
      <c r="HO1114" s="32"/>
      <c r="HP1114" s="32"/>
      <c r="HQ1114" s="32"/>
      <c r="HR1114" s="32"/>
      <c r="HS1114" s="32"/>
      <c r="HT1114" s="32"/>
      <c r="HU1114" s="32"/>
      <c r="HV1114" s="32"/>
      <c r="HW1114" s="32"/>
      <c r="HX1114" s="32"/>
      <c r="HY1114" s="32"/>
      <c r="HZ1114" s="32"/>
      <c r="IA1114" s="32"/>
      <c r="IB1114" s="32"/>
      <c r="IC1114" s="32"/>
      <c r="ID1114" s="32"/>
      <c r="IE1114" s="32"/>
      <c r="IF1114" s="32"/>
      <c r="IG1114" s="32"/>
      <c r="IH1114" s="32"/>
      <c r="II1114" s="32"/>
      <c r="IJ1114" s="32"/>
      <c r="IK1114" s="32"/>
      <c r="IL1114" s="32"/>
      <c r="IM1114" s="32"/>
      <c r="IN1114" s="32"/>
      <c r="IO1114" s="32"/>
      <c r="IP1114" s="32"/>
      <c r="IQ1114" s="32"/>
      <c r="IR1114" s="32"/>
      <c r="IS1114" s="32"/>
      <c r="IT1114" s="32"/>
      <c r="IU1114" s="32"/>
      <c r="IV1114" s="32"/>
      <c r="IW1114" s="32"/>
      <c r="IX1114" s="32"/>
    </row>
    <row r="1115" spans="1:258" ht="42.95" customHeight="1" x14ac:dyDescent="0.25">
      <c r="A1115" s="51" t="s">
        <v>1188</v>
      </c>
      <c r="B1115" s="51"/>
      <c r="C1115" s="2">
        <f t="shared" ref="C1115:U1115" si="281">SUM(C1116)</f>
        <v>4917250</v>
      </c>
      <c r="D1115" s="2">
        <f t="shared" si="281"/>
        <v>0</v>
      </c>
      <c r="E1115" s="2">
        <f t="shared" si="281"/>
        <v>0</v>
      </c>
      <c r="F1115" s="2">
        <f t="shared" si="281"/>
        <v>0</v>
      </c>
      <c r="G1115" s="2">
        <f t="shared" si="281"/>
        <v>0</v>
      </c>
      <c r="H1115" s="2">
        <f t="shared" si="281"/>
        <v>0</v>
      </c>
      <c r="I1115" s="2">
        <f t="shared" si="281"/>
        <v>0</v>
      </c>
      <c r="J1115" s="2">
        <f t="shared" si="281"/>
        <v>0</v>
      </c>
      <c r="K1115" s="18">
        <f t="shared" si="281"/>
        <v>0</v>
      </c>
      <c r="L1115" s="2">
        <f t="shared" si="281"/>
        <v>0</v>
      </c>
      <c r="M1115" s="2">
        <f t="shared" si="281"/>
        <v>1105</v>
      </c>
      <c r="N1115" s="2">
        <f t="shared" si="281"/>
        <v>4917250</v>
      </c>
      <c r="O1115" s="2">
        <f t="shared" si="281"/>
        <v>0</v>
      </c>
      <c r="P1115" s="2">
        <f t="shared" si="281"/>
        <v>0</v>
      </c>
      <c r="Q1115" s="2">
        <f t="shared" si="281"/>
        <v>0</v>
      </c>
      <c r="R1115" s="2">
        <f t="shared" si="281"/>
        <v>0</v>
      </c>
      <c r="S1115" s="2">
        <f t="shared" si="281"/>
        <v>0</v>
      </c>
      <c r="T1115" s="2">
        <f t="shared" si="281"/>
        <v>0</v>
      </c>
      <c r="U1115" s="2">
        <f t="shared" si="281"/>
        <v>0</v>
      </c>
    </row>
    <row r="1116" spans="1:258" ht="25.15" customHeight="1" x14ac:dyDescent="0.25">
      <c r="A1116" s="21" t="s">
        <v>1904</v>
      </c>
      <c r="B1116" s="24" t="s">
        <v>1186</v>
      </c>
      <c r="C1116" s="2">
        <f>D1116+L1116+N1116+P1116+R1116+S1116+T1116+U1116</f>
        <v>4917250</v>
      </c>
      <c r="D1116" s="3">
        <f>SUM(E1116:J1116)</f>
        <v>0</v>
      </c>
      <c r="E1116" s="3">
        <v>0</v>
      </c>
      <c r="F1116" s="3">
        <v>0</v>
      </c>
      <c r="G1116" s="3">
        <v>0</v>
      </c>
      <c r="H1116" s="3">
        <v>0</v>
      </c>
      <c r="I1116" s="3">
        <v>0</v>
      </c>
      <c r="J1116" s="3">
        <v>0</v>
      </c>
      <c r="K1116" s="4">
        <v>0</v>
      </c>
      <c r="L1116" s="3">
        <v>0</v>
      </c>
      <c r="M1116" s="3">
        <v>1105</v>
      </c>
      <c r="N1116" s="3">
        <f>M1116*4450</f>
        <v>4917250</v>
      </c>
      <c r="O1116" s="3">
        <v>0</v>
      </c>
      <c r="P1116" s="3">
        <v>0</v>
      </c>
      <c r="Q1116" s="3">
        <v>0</v>
      </c>
      <c r="R1116" s="3">
        <f>Q1116*3200</f>
        <v>0</v>
      </c>
      <c r="S1116" s="3">
        <v>0</v>
      </c>
      <c r="T1116" s="3">
        <v>0</v>
      </c>
      <c r="U1116" s="3">
        <v>0</v>
      </c>
      <c r="V1116" s="5">
        <f>N1116/M1116</f>
        <v>4450</v>
      </c>
    </row>
    <row r="1117" spans="1:258" ht="42.95" customHeight="1" x14ac:dyDescent="0.25">
      <c r="A1117" s="51" t="s">
        <v>269</v>
      </c>
      <c r="B1117" s="51"/>
      <c r="C1117" s="2">
        <f t="shared" ref="C1117:U1117" si="282">SUM(C1118:C1120)</f>
        <v>11179990</v>
      </c>
      <c r="D1117" s="2">
        <f t="shared" si="282"/>
        <v>779090</v>
      </c>
      <c r="E1117" s="2">
        <f t="shared" si="282"/>
        <v>419509.99999999994</v>
      </c>
      <c r="F1117" s="2">
        <f t="shared" si="282"/>
        <v>0</v>
      </c>
      <c r="G1117" s="2">
        <f t="shared" si="282"/>
        <v>179790</v>
      </c>
      <c r="H1117" s="2">
        <f t="shared" si="282"/>
        <v>0</v>
      </c>
      <c r="I1117" s="2">
        <f t="shared" si="282"/>
        <v>179790</v>
      </c>
      <c r="J1117" s="2">
        <f t="shared" si="282"/>
        <v>0</v>
      </c>
      <c r="K1117" s="18">
        <f t="shared" si="282"/>
        <v>0</v>
      </c>
      <c r="L1117" s="2">
        <f t="shared" si="282"/>
        <v>0</v>
      </c>
      <c r="M1117" s="2">
        <f t="shared" si="282"/>
        <v>1544</v>
      </c>
      <c r="N1117" s="2">
        <f t="shared" si="282"/>
        <v>8620900</v>
      </c>
      <c r="O1117" s="2">
        <f t="shared" si="282"/>
        <v>0</v>
      </c>
      <c r="P1117" s="2">
        <f t="shared" si="282"/>
        <v>0</v>
      </c>
      <c r="Q1117" s="2">
        <f t="shared" si="282"/>
        <v>525</v>
      </c>
      <c r="R1117" s="2">
        <f t="shared" si="282"/>
        <v>1680000</v>
      </c>
      <c r="S1117" s="2">
        <f t="shared" si="282"/>
        <v>0</v>
      </c>
      <c r="T1117" s="2">
        <f t="shared" si="282"/>
        <v>0</v>
      </c>
      <c r="U1117" s="2">
        <f t="shared" si="282"/>
        <v>100000</v>
      </c>
    </row>
    <row r="1118" spans="1:258" ht="25.15" customHeight="1" x14ac:dyDescent="0.25">
      <c r="A1118" s="21" t="s">
        <v>1905</v>
      </c>
      <c r="B1118" s="24" t="s">
        <v>291</v>
      </c>
      <c r="C1118" s="2">
        <f>D1118+L1118+N1118+P1118+R1118+S1118+T1118+U1118</f>
        <v>2686200</v>
      </c>
      <c r="D1118" s="3">
        <f>SUM(E1118:J1118)</f>
        <v>0</v>
      </c>
      <c r="E1118" s="3">
        <v>0</v>
      </c>
      <c r="F1118" s="3">
        <v>0</v>
      </c>
      <c r="G1118" s="3">
        <v>0</v>
      </c>
      <c r="H1118" s="3">
        <v>0</v>
      </c>
      <c r="I1118" s="3">
        <v>0</v>
      </c>
      <c r="J1118" s="3">
        <v>0</v>
      </c>
      <c r="K1118" s="4">
        <v>0</v>
      </c>
      <c r="L1118" s="3">
        <v>0</v>
      </c>
      <c r="M1118" s="3">
        <v>407</v>
      </c>
      <c r="N1118" s="3">
        <f>M1118*6600</f>
        <v>2686200</v>
      </c>
      <c r="O1118" s="3">
        <v>0</v>
      </c>
      <c r="P1118" s="3">
        <v>0</v>
      </c>
      <c r="Q1118" s="3">
        <v>0</v>
      </c>
      <c r="R1118" s="3">
        <f>Q1118*3200</f>
        <v>0</v>
      </c>
      <c r="S1118" s="3">
        <v>0</v>
      </c>
      <c r="T1118" s="3">
        <v>0</v>
      </c>
      <c r="U1118" s="3">
        <v>0</v>
      </c>
      <c r="V1118" s="5">
        <f>N1118/M1118</f>
        <v>6600</v>
      </c>
    </row>
    <row r="1119" spans="1:258" ht="25.15" customHeight="1" x14ac:dyDescent="0.25">
      <c r="A1119" s="21" t="s">
        <v>1906</v>
      </c>
      <c r="B1119" s="24" t="s">
        <v>794</v>
      </c>
      <c r="C1119" s="2">
        <f>D1119+L1119+N1119+P1119+R1119+S1119+T1119+U1119</f>
        <v>5245290</v>
      </c>
      <c r="D1119" s="3">
        <f>SUM(E1119:J1119)</f>
        <v>779090</v>
      </c>
      <c r="E1119" s="3">
        <f>700*599.3</f>
        <v>419509.99999999994</v>
      </c>
      <c r="F1119" s="3">
        <v>0</v>
      </c>
      <c r="G1119" s="3">
        <f>300*599.3</f>
        <v>179790</v>
      </c>
      <c r="H1119" s="3">
        <v>0</v>
      </c>
      <c r="I1119" s="3">
        <f>300*599.3</f>
        <v>179790</v>
      </c>
      <c r="J1119" s="3">
        <v>0</v>
      </c>
      <c r="K1119" s="4">
        <v>0</v>
      </c>
      <c r="L1119" s="3">
        <v>0</v>
      </c>
      <c r="M1119" s="3">
        <v>407</v>
      </c>
      <c r="N1119" s="3">
        <f>M1119*6600</f>
        <v>2686200</v>
      </c>
      <c r="O1119" s="3">
        <v>0</v>
      </c>
      <c r="P1119" s="3">
        <v>0</v>
      </c>
      <c r="Q1119" s="3">
        <v>525</v>
      </c>
      <c r="R1119" s="3">
        <f>Q1119*3200</f>
        <v>1680000</v>
      </c>
      <c r="S1119" s="3">
        <v>0</v>
      </c>
      <c r="T1119" s="3">
        <v>0</v>
      </c>
      <c r="U1119" s="3">
        <v>100000</v>
      </c>
      <c r="V1119" s="5">
        <f>N1119/M1119</f>
        <v>6600</v>
      </c>
    </row>
    <row r="1120" spans="1:258" ht="25.15" customHeight="1" x14ac:dyDescent="0.25">
      <c r="A1120" s="21" t="s">
        <v>1907</v>
      </c>
      <c r="B1120" s="24" t="s">
        <v>795</v>
      </c>
      <c r="C1120" s="2">
        <f>D1120+L1120+N1120+P1120+R1120+S1120+T1120+U1120</f>
        <v>3248500</v>
      </c>
      <c r="D1120" s="3">
        <f>SUM(E1120:J1120)</f>
        <v>0</v>
      </c>
      <c r="E1120" s="3">
        <v>0</v>
      </c>
      <c r="F1120" s="3">
        <v>0</v>
      </c>
      <c r="G1120" s="3">
        <v>0</v>
      </c>
      <c r="H1120" s="3">
        <v>0</v>
      </c>
      <c r="I1120" s="3">
        <v>0</v>
      </c>
      <c r="J1120" s="3">
        <v>0</v>
      </c>
      <c r="K1120" s="4">
        <v>0</v>
      </c>
      <c r="L1120" s="3">
        <v>0</v>
      </c>
      <c r="M1120" s="3">
        <v>730</v>
      </c>
      <c r="N1120" s="3">
        <f>M1120*4450</f>
        <v>3248500</v>
      </c>
      <c r="O1120" s="3">
        <v>0</v>
      </c>
      <c r="P1120" s="3">
        <v>0</v>
      </c>
      <c r="Q1120" s="3">
        <v>0</v>
      </c>
      <c r="R1120" s="3">
        <f>Q1120*3200</f>
        <v>0</v>
      </c>
      <c r="S1120" s="3">
        <v>0</v>
      </c>
      <c r="T1120" s="3">
        <v>0</v>
      </c>
      <c r="U1120" s="3">
        <v>0</v>
      </c>
      <c r="V1120" s="5">
        <f>N1120/M1120</f>
        <v>4450</v>
      </c>
    </row>
    <row r="1121" spans="1:22" ht="42.95" customHeight="1" x14ac:dyDescent="0.25">
      <c r="A1121" s="51" t="s">
        <v>274</v>
      </c>
      <c r="B1121" s="51"/>
      <c r="C1121" s="2">
        <f t="shared" ref="C1121:U1121" si="283">SUM(C1122:C1126)</f>
        <v>18601785.370000001</v>
      </c>
      <c r="D1121" s="2">
        <f t="shared" si="283"/>
        <v>1676600</v>
      </c>
      <c r="E1121" s="2">
        <f t="shared" si="283"/>
        <v>705320</v>
      </c>
      <c r="F1121" s="2">
        <f t="shared" si="283"/>
        <v>664560</v>
      </c>
      <c r="G1121" s="2">
        <f t="shared" si="283"/>
        <v>153360</v>
      </c>
      <c r="H1121" s="2">
        <f t="shared" si="283"/>
        <v>0</v>
      </c>
      <c r="I1121" s="2">
        <f t="shared" si="283"/>
        <v>153360</v>
      </c>
      <c r="J1121" s="2">
        <f t="shared" si="283"/>
        <v>0</v>
      </c>
      <c r="K1121" s="18">
        <f t="shared" si="283"/>
        <v>0</v>
      </c>
      <c r="L1121" s="2">
        <f t="shared" si="283"/>
        <v>0</v>
      </c>
      <c r="M1121" s="2">
        <f t="shared" si="283"/>
        <v>1519</v>
      </c>
      <c r="N1121" s="2">
        <f t="shared" si="283"/>
        <v>10025400</v>
      </c>
      <c r="O1121" s="2">
        <f t="shared" si="283"/>
        <v>0</v>
      </c>
      <c r="P1121" s="2">
        <f t="shared" si="283"/>
        <v>0</v>
      </c>
      <c r="Q1121" s="2">
        <f t="shared" si="283"/>
        <v>2109.1</v>
      </c>
      <c r="R1121" s="2">
        <f t="shared" si="283"/>
        <v>6749120</v>
      </c>
      <c r="S1121" s="2">
        <f t="shared" si="283"/>
        <v>0</v>
      </c>
      <c r="T1121" s="2">
        <f t="shared" si="283"/>
        <v>0</v>
      </c>
      <c r="U1121" s="2">
        <f t="shared" si="283"/>
        <v>150665.37</v>
      </c>
    </row>
    <row r="1122" spans="1:22" ht="27" customHeight="1" x14ac:dyDescent="0.25">
      <c r="A1122" s="21" t="s">
        <v>1908</v>
      </c>
      <c r="B1122" s="24" t="s">
        <v>277</v>
      </c>
      <c r="C1122" s="2">
        <f>D1122+L1122+N1122+P1122+R1122+S1122+T1122+U1122</f>
        <v>3077960</v>
      </c>
      <c r="D1122" s="3">
        <f>SUM(E1122:J1122)</f>
        <v>0</v>
      </c>
      <c r="E1122" s="3">
        <v>0</v>
      </c>
      <c r="F1122" s="3">
        <v>0</v>
      </c>
      <c r="G1122" s="3">
        <v>0</v>
      </c>
      <c r="H1122" s="3">
        <v>0</v>
      </c>
      <c r="I1122" s="3">
        <v>0</v>
      </c>
      <c r="J1122" s="3">
        <v>0</v>
      </c>
      <c r="K1122" s="4">
        <v>0</v>
      </c>
      <c r="L1122" s="3">
        <v>0</v>
      </c>
      <c r="M1122" s="3">
        <v>268.2</v>
      </c>
      <c r="N1122" s="3">
        <f>M1122*6600</f>
        <v>1770120</v>
      </c>
      <c r="O1122" s="3">
        <v>0</v>
      </c>
      <c r="P1122" s="3">
        <v>0</v>
      </c>
      <c r="Q1122" s="3">
        <v>408.7</v>
      </c>
      <c r="R1122" s="3">
        <f>Q1122*3200</f>
        <v>1307840</v>
      </c>
      <c r="S1122" s="3">
        <v>0</v>
      </c>
      <c r="T1122" s="3">
        <v>0</v>
      </c>
      <c r="U1122" s="3">
        <v>0</v>
      </c>
      <c r="V1122" s="5">
        <f>N1122/M1122</f>
        <v>6600</v>
      </c>
    </row>
    <row r="1123" spans="1:22" ht="27" customHeight="1" x14ac:dyDescent="0.25">
      <c r="A1123" s="21" t="s">
        <v>1909</v>
      </c>
      <c r="B1123" s="24" t="s">
        <v>278</v>
      </c>
      <c r="C1123" s="2">
        <f>D1123+L1123+N1123+P1123+R1123+S1123+T1123+U1123</f>
        <v>4859640</v>
      </c>
      <c r="D1123" s="3">
        <f>SUM(E1123:J1123)</f>
        <v>347480</v>
      </c>
      <c r="E1123" s="3">
        <f>700*496.4</f>
        <v>347480</v>
      </c>
      <c r="F1123" s="3">
        <v>0</v>
      </c>
      <c r="G1123" s="3">
        <v>0</v>
      </c>
      <c r="H1123" s="3">
        <v>0</v>
      </c>
      <c r="I1123" s="3">
        <v>0</v>
      </c>
      <c r="J1123" s="3">
        <v>0</v>
      </c>
      <c r="K1123" s="4">
        <v>0</v>
      </c>
      <c r="L1123" s="3">
        <v>0</v>
      </c>
      <c r="M1123" s="3">
        <v>396.8</v>
      </c>
      <c r="N1123" s="3">
        <f>M1123*6600</f>
        <v>2618880</v>
      </c>
      <c r="O1123" s="3">
        <v>0</v>
      </c>
      <c r="P1123" s="3">
        <v>0</v>
      </c>
      <c r="Q1123" s="3">
        <v>560.4</v>
      </c>
      <c r="R1123" s="3">
        <f>Q1123*3200</f>
        <v>1793280</v>
      </c>
      <c r="S1123" s="3">
        <v>0</v>
      </c>
      <c r="T1123" s="3">
        <v>0</v>
      </c>
      <c r="U1123" s="3">
        <v>100000</v>
      </c>
      <c r="V1123" s="5">
        <f>N1123/M1123</f>
        <v>6600</v>
      </c>
    </row>
    <row r="1124" spans="1:22" ht="27" customHeight="1" x14ac:dyDescent="0.25">
      <c r="A1124" s="21" t="s">
        <v>1910</v>
      </c>
      <c r="B1124" s="24" t="s">
        <v>279</v>
      </c>
      <c r="C1124" s="2">
        <f>D1124+L1124+N1124+P1124+R1124+S1124+T1124+U1124</f>
        <v>4683265.37</v>
      </c>
      <c r="D1124" s="3">
        <f>SUM(E1124:J1124)</f>
        <v>0</v>
      </c>
      <c r="E1124" s="3">
        <v>0</v>
      </c>
      <c r="F1124" s="3">
        <v>0</v>
      </c>
      <c r="G1124" s="3">
        <v>0</v>
      </c>
      <c r="H1124" s="3">
        <v>0</v>
      </c>
      <c r="I1124" s="3">
        <v>0</v>
      </c>
      <c r="J1124" s="3">
        <v>0</v>
      </c>
      <c r="K1124" s="4">
        <v>0</v>
      </c>
      <c r="L1124" s="3">
        <v>0</v>
      </c>
      <c r="M1124" s="3">
        <v>427</v>
      </c>
      <c r="N1124" s="3">
        <f>M1124*6600</f>
        <v>2818200</v>
      </c>
      <c r="O1124" s="3">
        <v>0</v>
      </c>
      <c r="P1124" s="3">
        <v>0</v>
      </c>
      <c r="Q1124" s="3">
        <v>567</v>
      </c>
      <c r="R1124" s="3">
        <f>Q1124*3200</f>
        <v>1814400</v>
      </c>
      <c r="S1124" s="3">
        <v>0</v>
      </c>
      <c r="T1124" s="3">
        <v>0</v>
      </c>
      <c r="U1124" s="3">
        <v>50665.37</v>
      </c>
      <c r="V1124" s="5">
        <f>N1124/M1124</f>
        <v>6600</v>
      </c>
    </row>
    <row r="1125" spans="1:22" ht="27" customHeight="1" x14ac:dyDescent="0.25">
      <c r="A1125" s="21" t="s">
        <v>1911</v>
      </c>
      <c r="B1125" s="24" t="s">
        <v>280</v>
      </c>
      <c r="C1125" s="2">
        <f>D1125+L1125+N1125+P1125+R1125+S1125+T1125+U1125</f>
        <v>4651800</v>
      </c>
      <c r="D1125" s="3">
        <f>SUM(E1125:J1125)</f>
        <v>0</v>
      </c>
      <c r="E1125" s="3">
        <v>0</v>
      </c>
      <c r="F1125" s="3">
        <v>0</v>
      </c>
      <c r="G1125" s="3">
        <v>0</v>
      </c>
      <c r="H1125" s="3">
        <v>0</v>
      </c>
      <c r="I1125" s="3">
        <v>0</v>
      </c>
      <c r="J1125" s="3">
        <v>0</v>
      </c>
      <c r="K1125" s="4">
        <v>0</v>
      </c>
      <c r="L1125" s="3">
        <v>0</v>
      </c>
      <c r="M1125" s="3">
        <v>427</v>
      </c>
      <c r="N1125" s="3">
        <f>M1125*6600</f>
        <v>2818200</v>
      </c>
      <c r="O1125" s="3">
        <v>0</v>
      </c>
      <c r="P1125" s="3">
        <v>0</v>
      </c>
      <c r="Q1125" s="3">
        <v>573</v>
      </c>
      <c r="R1125" s="3">
        <f>Q1125*3200</f>
        <v>1833600</v>
      </c>
      <c r="S1125" s="3">
        <v>0</v>
      </c>
      <c r="T1125" s="3">
        <v>0</v>
      </c>
      <c r="U1125" s="3">
        <v>0</v>
      </c>
      <c r="V1125" s="5">
        <f>N1125/M1125</f>
        <v>6600</v>
      </c>
    </row>
    <row r="1126" spans="1:22" ht="27" customHeight="1" x14ac:dyDescent="0.25">
      <c r="A1126" s="21" t="s">
        <v>1912</v>
      </c>
      <c r="B1126" s="24" t="s">
        <v>281</v>
      </c>
      <c r="C1126" s="2">
        <f>D1126+L1126+N1126+P1126+R1126+S1126+T1126+U1126</f>
        <v>1329120</v>
      </c>
      <c r="D1126" s="3">
        <f>SUM(E1126:J1126)</f>
        <v>1329120</v>
      </c>
      <c r="E1126" s="3">
        <f>700*511.2</f>
        <v>357840</v>
      </c>
      <c r="F1126" s="3">
        <f>1300*511.2</f>
        <v>664560</v>
      </c>
      <c r="G1126" s="3">
        <f>300*511.2</f>
        <v>153360</v>
      </c>
      <c r="H1126" s="3">
        <f>400*0</f>
        <v>0</v>
      </c>
      <c r="I1126" s="3">
        <f>300*511.2</f>
        <v>153360</v>
      </c>
      <c r="J1126" s="3">
        <v>0</v>
      </c>
      <c r="K1126" s="4">
        <v>0</v>
      </c>
      <c r="L1126" s="3">
        <v>0</v>
      </c>
      <c r="M1126" s="3">
        <v>0</v>
      </c>
      <c r="N1126" s="3">
        <v>0</v>
      </c>
      <c r="O1126" s="3">
        <v>0</v>
      </c>
      <c r="P1126" s="3">
        <v>0</v>
      </c>
      <c r="Q1126" s="3">
        <v>0</v>
      </c>
      <c r="R1126" s="3">
        <v>0</v>
      </c>
      <c r="S1126" s="3">
        <v>0</v>
      </c>
      <c r="T1126" s="3">
        <v>0</v>
      </c>
      <c r="U1126" s="3">
        <v>0</v>
      </c>
      <c r="V1126" s="5" t="e">
        <f>N1126/M1126</f>
        <v>#DIV/0!</v>
      </c>
    </row>
    <row r="1127" spans="1:22" ht="45" customHeight="1" x14ac:dyDescent="0.25">
      <c r="A1127" s="54" t="s">
        <v>292</v>
      </c>
      <c r="B1127" s="55"/>
      <c r="C1127" s="2">
        <f t="shared" ref="C1127:U1127" si="284">SUM(C1128)</f>
        <v>4433508</v>
      </c>
      <c r="D1127" s="2">
        <f t="shared" si="284"/>
        <v>368368</v>
      </c>
      <c r="E1127" s="2">
        <f t="shared" si="284"/>
        <v>368368</v>
      </c>
      <c r="F1127" s="2">
        <f t="shared" si="284"/>
        <v>0</v>
      </c>
      <c r="G1127" s="2">
        <f t="shared" si="284"/>
        <v>0</v>
      </c>
      <c r="H1127" s="2">
        <f t="shared" si="284"/>
        <v>0</v>
      </c>
      <c r="I1127" s="2">
        <f t="shared" si="284"/>
        <v>0</v>
      </c>
      <c r="J1127" s="2">
        <f t="shared" si="284"/>
        <v>0</v>
      </c>
      <c r="K1127" s="18">
        <f t="shared" si="284"/>
        <v>0</v>
      </c>
      <c r="L1127" s="2">
        <f t="shared" si="284"/>
        <v>0</v>
      </c>
      <c r="M1127" s="2">
        <f t="shared" si="284"/>
        <v>355.2</v>
      </c>
      <c r="N1127" s="2">
        <f t="shared" si="284"/>
        <v>2344320</v>
      </c>
      <c r="O1127" s="2">
        <f t="shared" si="284"/>
        <v>0</v>
      </c>
      <c r="P1127" s="2">
        <f t="shared" si="284"/>
        <v>0</v>
      </c>
      <c r="Q1127" s="2">
        <f t="shared" si="284"/>
        <v>428.4</v>
      </c>
      <c r="R1127" s="2">
        <f t="shared" si="284"/>
        <v>1370880</v>
      </c>
      <c r="S1127" s="2">
        <f t="shared" si="284"/>
        <v>149940</v>
      </c>
      <c r="T1127" s="2">
        <f t="shared" si="284"/>
        <v>0</v>
      </c>
      <c r="U1127" s="2">
        <f t="shared" si="284"/>
        <v>200000</v>
      </c>
    </row>
    <row r="1128" spans="1:22" ht="24.6" customHeight="1" x14ac:dyDescent="0.25">
      <c r="A1128" s="15" t="s">
        <v>1913</v>
      </c>
      <c r="B1128" s="24" t="s">
        <v>296</v>
      </c>
      <c r="C1128" s="2">
        <f>D1128+L1128+N1128+P1128+R1128+S1128+T1128+U1128</f>
        <v>4433508</v>
      </c>
      <c r="D1128" s="3">
        <f>SUM(E1128:J1128)</f>
        <v>368368</v>
      </c>
      <c r="E1128" s="13">
        <f>526.24*700</f>
        <v>368368</v>
      </c>
      <c r="F1128" s="13">
        <v>0</v>
      </c>
      <c r="G1128" s="13">
        <v>0</v>
      </c>
      <c r="H1128" s="13">
        <v>0</v>
      </c>
      <c r="I1128" s="13">
        <v>0</v>
      </c>
      <c r="J1128" s="13">
        <v>0</v>
      </c>
      <c r="K1128" s="14">
        <v>0</v>
      </c>
      <c r="L1128" s="13">
        <v>0</v>
      </c>
      <c r="M1128" s="13">
        <v>355.2</v>
      </c>
      <c r="N1128" s="3">
        <f>M1128*6600</f>
        <v>2344320</v>
      </c>
      <c r="O1128" s="13">
        <v>0</v>
      </c>
      <c r="P1128" s="13">
        <v>0</v>
      </c>
      <c r="Q1128" s="13">
        <v>428.4</v>
      </c>
      <c r="R1128" s="3">
        <f>Q1128*3200</f>
        <v>1370880</v>
      </c>
      <c r="S1128" s="13">
        <v>149940</v>
      </c>
      <c r="T1128" s="13">
        <v>0</v>
      </c>
      <c r="U1128" s="13">
        <v>200000</v>
      </c>
      <c r="V1128" s="5">
        <f>N1128/M1128</f>
        <v>6600</v>
      </c>
    </row>
    <row r="1129" spans="1:22" ht="42.95" customHeight="1" x14ac:dyDescent="0.25">
      <c r="A1129" s="51" t="s">
        <v>297</v>
      </c>
      <c r="B1129" s="51"/>
      <c r="C1129" s="2">
        <f t="shared" ref="C1129:U1129" si="285">SUM(C1130:C1133)</f>
        <v>12100600</v>
      </c>
      <c r="D1129" s="2">
        <f t="shared" si="285"/>
        <v>603050</v>
      </c>
      <c r="E1129" s="2">
        <f t="shared" si="285"/>
        <v>603050</v>
      </c>
      <c r="F1129" s="2">
        <f t="shared" si="285"/>
        <v>0</v>
      </c>
      <c r="G1129" s="2">
        <f t="shared" si="285"/>
        <v>0</v>
      </c>
      <c r="H1129" s="2">
        <f t="shared" si="285"/>
        <v>0</v>
      </c>
      <c r="I1129" s="2">
        <f t="shared" si="285"/>
        <v>0</v>
      </c>
      <c r="J1129" s="2">
        <f t="shared" si="285"/>
        <v>0</v>
      </c>
      <c r="K1129" s="18">
        <f t="shared" si="285"/>
        <v>0</v>
      </c>
      <c r="L1129" s="2">
        <f t="shared" si="285"/>
        <v>0</v>
      </c>
      <c r="M1129" s="2">
        <f t="shared" si="285"/>
        <v>984</v>
      </c>
      <c r="N1129" s="2">
        <f t="shared" si="285"/>
        <v>6494400</v>
      </c>
      <c r="O1129" s="2">
        <f t="shared" si="285"/>
        <v>0</v>
      </c>
      <c r="P1129" s="2">
        <f t="shared" si="285"/>
        <v>0</v>
      </c>
      <c r="Q1129" s="2">
        <f t="shared" si="285"/>
        <v>1291</v>
      </c>
      <c r="R1129" s="2">
        <f t="shared" si="285"/>
        <v>4131200</v>
      </c>
      <c r="S1129" s="2">
        <f t="shared" si="285"/>
        <v>271950</v>
      </c>
      <c r="T1129" s="2">
        <f t="shared" si="285"/>
        <v>0</v>
      </c>
      <c r="U1129" s="2">
        <f t="shared" si="285"/>
        <v>600000</v>
      </c>
    </row>
    <row r="1130" spans="1:22" ht="25.15" customHeight="1" x14ac:dyDescent="0.25">
      <c r="A1130" s="15" t="s">
        <v>1914</v>
      </c>
      <c r="B1130" s="24" t="s">
        <v>298</v>
      </c>
      <c r="C1130" s="2">
        <f>D1130+L1130+N1130+P1130+R1130+S1130+T1130+U1130</f>
        <v>3683600</v>
      </c>
      <c r="D1130" s="3">
        <f>SUM(E1130:J1130)</f>
        <v>0</v>
      </c>
      <c r="E1130" s="13">
        <v>0</v>
      </c>
      <c r="F1130" s="13">
        <v>0</v>
      </c>
      <c r="G1130" s="13">
        <v>0</v>
      </c>
      <c r="H1130" s="13">
        <v>0</v>
      </c>
      <c r="I1130" s="13">
        <v>0</v>
      </c>
      <c r="J1130" s="13">
        <v>0</v>
      </c>
      <c r="K1130" s="14">
        <v>0</v>
      </c>
      <c r="L1130" s="13">
        <v>0</v>
      </c>
      <c r="M1130" s="13">
        <v>334</v>
      </c>
      <c r="N1130" s="3">
        <f>M1130*6600</f>
        <v>2204400</v>
      </c>
      <c r="O1130" s="13">
        <v>0</v>
      </c>
      <c r="P1130" s="13">
        <v>0</v>
      </c>
      <c r="Q1130" s="13">
        <v>431</v>
      </c>
      <c r="R1130" s="3">
        <f>Q1130*3200</f>
        <v>1379200</v>
      </c>
      <c r="S1130" s="13">
        <v>0</v>
      </c>
      <c r="T1130" s="13">
        <v>0</v>
      </c>
      <c r="U1130" s="3">
        <v>100000</v>
      </c>
      <c r="V1130" s="5">
        <f>N1130/M1130</f>
        <v>6600</v>
      </c>
    </row>
    <row r="1131" spans="1:22" ht="24.6" customHeight="1" x14ac:dyDescent="0.25">
      <c r="A1131" s="15" t="s">
        <v>1915</v>
      </c>
      <c r="B1131" s="24" t="s">
        <v>300</v>
      </c>
      <c r="C1131" s="2">
        <f>D1131+L1131+N1131+P1131+R1131+S1131+T1131+U1131</f>
        <v>2743100</v>
      </c>
      <c r="D1131" s="3">
        <f>SUM(E1131:J1131)</f>
        <v>215600</v>
      </c>
      <c r="E1131" s="13">
        <f>308*700</f>
        <v>215600</v>
      </c>
      <c r="F1131" s="13">
        <v>0</v>
      </c>
      <c r="G1131" s="13">
        <v>0</v>
      </c>
      <c r="H1131" s="13">
        <v>0</v>
      </c>
      <c r="I1131" s="13">
        <v>0</v>
      </c>
      <c r="J1131" s="13">
        <v>0</v>
      </c>
      <c r="K1131" s="14">
        <v>0</v>
      </c>
      <c r="L1131" s="13">
        <v>0</v>
      </c>
      <c r="M1131" s="13">
        <v>200</v>
      </c>
      <c r="N1131" s="3">
        <f>M1131*6600</f>
        <v>1320000</v>
      </c>
      <c r="O1131" s="13">
        <v>0</v>
      </c>
      <c r="P1131" s="13">
        <v>0</v>
      </c>
      <c r="Q1131" s="13">
        <v>310</v>
      </c>
      <c r="R1131" s="3">
        <f>Q1131*3200</f>
        <v>992000</v>
      </c>
      <c r="S1131" s="13">
        <v>115500</v>
      </c>
      <c r="T1131" s="13">
        <v>0</v>
      </c>
      <c r="U1131" s="13">
        <v>100000</v>
      </c>
      <c r="V1131" s="5">
        <f>N1131/M1131</f>
        <v>6600</v>
      </c>
    </row>
    <row r="1132" spans="1:22" ht="25.15" customHeight="1" x14ac:dyDescent="0.25">
      <c r="A1132" s="15" t="s">
        <v>1916</v>
      </c>
      <c r="B1132" s="24" t="s">
        <v>301</v>
      </c>
      <c r="C1132" s="2">
        <f>D1132+L1132+N1132+P1132+R1132+S1132+T1132+U1132</f>
        <v>5373900</v>
      </c>
      <c r="D1132" s="3">
        <f>SUM(E1132:J1132)</f>
        <v>387450</v>
      </c>
      <c r="E1132" s="3">
        <f>553.5*700</f>
        <v>387450</v>
      </c>
      <c r="F1132" s="13">
        <v>0</v>
      </c>
      <c r="G1132" s="13">
        <v>0</v>
      </c>
      <c r="H1132" s="13">
        <v>0</v>
      </c>
      <c r="I1132" s="13">
        <v>0</v>
      </c>
      <c r="J1132" s="13">
        <v>0</v>
      </c>
      <c r="K1132" s="4">
        <v>0</v>
      </c>
      <c r="L1132" s="3">
        <v>0</v>
      </c>
      <c r="M1132" s="13">
        <v>450</v>
      </c>
      <c r="N1132" s="3">
        <f>M1132*6600</f>
        <v>2970000</v>
      </c>
      <c r="O1132" s="3">
        <v>0</v>
      </c>
      <c r="P1132" s="3">
        <v>0</v>
      </c>
      <c r="Q1132" s="3">
        <v>550</v>
      </c>
      <c r="R1132" s="3">
        <f>Q1132*3200</f>
        <v>1760000</v>
      </c>
      <c r="S1132" s="3">
        <v>156450</v>
      </c>
      <c r="T1132" s="3">
        <v>0</v>
      </c>
      <c r="U1132" s="3">
        <v>100000</v>
      </c>
      <c r="V1132" s="5">
        <f>N1132/M1132</f>
        <v>6600</v>
      </c>
    </row>
    <row r="1133" spans="1:22" ht="25.15" customHeight="1" x14ac:dyDescent="0.25">
      <c r="A1133" s="15" t="s">
        <v>1917</v>
      </c>
      <c r="B1133" s="24" t="s">
        <v>302</v>
      </c>
      <c r="C1133" s="2">
        <f>D1133+L1133+N1133+P1133+R1133+S1133+T1133+U1133</f>
        <v>300000</v>
      </c>
      <c r="D1133" s="3">
        <f>SUM(E1133:J1133)</f>
        <v>0</v>
      </c>
      <c r="E1133" s="13">
        <v>0</v>
      </c>
      <c r="F1133" s="13">
        <v>0</v>
      </c>
      <c r="G1133" s="13">
        <v>0</v>
      </c>
      <c r="H1133" s="13">
        <v>0</v>
      </c>
      <c r="I1133" s="13">
        <v>0</v>
      </c>
      <c r="J1133" s="13">
        <v>0</v>
      </c>
      <c r="K1133" s="14">
        <v>0</v>
      </c>
      <c r="L1133" s="13">
        <v>0</v>
      </c>
      <c r="M1133" s="13">
        <v>0</v>
      </c>
      <c r="N1133" s="3">
        <v>0</v>
      </c>
      <c r="O1133" s="13">
        <v>0</v>
      </c>
      <c r="P1133" s="13">
        <v>0</v>
      </c>
      <c r="Q1133" s="13">
        <v>0</v>
      </c>
      <c r="R1133" s="3">
        <v>0</v>
      </c>
      <c r="S1133" s="13">
        <v>0</v>
      </c>
      <c r="T1133" s="13">
        <v>0</v>
      </c>
      <c r="U1133" s="13">
        <v>300000</v>
      </c>
      <c r="V1133" s="5" t="e">
        <f>N1133/M1133</f>
        <v>#DIV/0!</v>
      </c>
    </row>
    <row r="1134" spans="1:22" ht="42.95" customHeight="1" x14ac:dyDescent="0.25">
      <c r="A1134" s="51" t="s">
        <v>303</v>
      </c>
      <c r="B1134" s="51"/>
      <c r="C1134" s="2">
        <f>SUM(C1135)</f>
        <v>4372000</v>
      </c>
      <c r="D1134" s="2">
        <f t="shared" ref="D1134:U1134" si="286">SUM(D1135)</f>
        <v>0</v>
      </c>
      <c r="E1134" s="2">
        <f t="shared" si="286"/>
        <v>0</v>
      </c>
      <c r="F1134" s="2">
        <f t="shared" si="286"/>
        <v>0</v>
      </c>
      <c r="G1134" s="2">
        <f t="shared" si="286"/>
        <v>0</v>
      </c>
      <c r="H1134" s="2">
        <f t="shared" si="286"/>
        <v>0</v>
      </c>
      <c r="I1134" s="2">
        <f t="shared" si="286"/>
        <v>0</v>
      </c>
      <c r="J1134" s="2">
        <f t="shared" si="286"/>
        <v>0</v>
      </c>
      <c r="K1134" s="18">
        <f t="shared" si="286"/>
        <v>0</v>
      </c>
      <c r="L1134" s="2">
        <f t="shared" si="286"/>
        <v>0</v>
      </c>
      <c r="M1134" s="2">
        <f t="shared" si="286"/>
        <v>420</v>
      </c>
      <c r="N1134" s="2">
        <f t="shared" si="286"/>
        <v>2772000</v>
      </c>
      <c r="O1134" s="2">
        <f t="shared" si="286"/>
        <v>0</v>
      </c>
      <c r="P1134" s="2">
        <f t="shared" si="286"/>
        <v>0</v>
      </c>
      <c r="Q1134" s="2">
        <f t="shared" si="286"/>
        <v>500</v>
      </c>
      <c r="R1134" s="2">
        <f t="shared" si="286"/>
        <v>1600000</v>
      </c>
      <c r="S1134" s="2">
        <f t="shared" si="286"/>
        <v>0</v>
      </c>
      <c r="T1134" s="2">
        <f t="shared" si="286"/>
        <v>0</v>
      </c>
      <c r="U1134" s="2">
        <f t="shared" si="286"/>
        <v>0</v>
      </c>
      <c r="V1134" s="20">
        <f>C1134</f>
        <v>4372000</v>
      </c>
    </row>
    <row r="1135" spans="1:22" ht="25.15" customHeight="1" x14ac:dyDescent="0.25">
      <c r="A1135" s="15" t="s">
        <v>1918</v>
      </c>
      <c r="B1135" s="24" t="s">
        <v>304</v>
      </c>
      <c r="C1135" s="2">
        <f>D1135+L1135+N1135+P1135+R1135+S1135+T1135+U1135</f>
        <v>4372000</v>
      </c>
      <c r="D1135" s="3">
        <f>SUM(E1135:J1135)</f>
        <v>0</v>
      </c>
      <c r="E1135" s="3">
        <v>0</v>
      </c>
      <c r="F1135" s="3">
        <v>0</v>
      </c>
      <c r="G1135" s="3">
        <v>0</v>
      </c>
      <c r="H1135" s="3">
        <v>0</v>
      </c>
      <c r="I1135" s="3">
        <v>0</v>
      </c>
      <c r="J1135" s="3">
        <v>0</v>
      </c>
      <c r="K1135" s="4">
        <v>0</v>
      </c>
      <c r="L1135" s="3">
        <v>0</v>
      </c>
      <c r="M1135" s="3">
        <v>420</v>
      </c>
      <c r="N1135" s="3">
        <f>M1135*6600</f>
        <v>2772000</v>
      </c>
      <c r="O1135" s="3">
        <v>0</v>
      </c>
      <c r="P1135" s="3">
        <v>0</v>
      </c>
      <c r="Q1135" s="34">
        <v>500</v>
      </c>
      <c r="R1135" s="3">
        <f>Q1135*3200</f>
        <v>1600000</v>
      </c>
      <c r="S1135" s="3">
        <v>0</v>
      </c>
      <c r="T1135" s="3">
        <v>0</v>
      </c>
      <c r="U1135" s="3">
        <v>0</v>
      </c>
      <c r="V1135" s="5">
        <f>N1135/M1135</f>
        <v>6600</v>
      </c>
    </row>
    <row r="1136" spans="1:22" ht="42.95" customHeight="1" x14ac:dyDescent="0.25">
      <c r="A1136" s="51" t="s">
        <v>803</v>
      </c>
      <c r="B1136" s="51"/>
      <c r="C1136" s="2">
        <f>SUM(C1137)</f>
        <v>6107821.3700000001</v>
      </c>
      <c r="D1136" s="2">
        <f t="shared" ref="D1136:U1136" si="287">SUM(D1137)</f>
        <v>5920200</v>
      </c>
      <c r="E1136" s="2">
        <f t="shared" si="287"/>
        <v>1593900</v>
      </c>
      <c r="F1136" s="2">
        <f t="shared" si="287"/>
        <v>2960100</v>
      </c>
      <c r="G1136" s="2">
        <f t="shared" si="287"/>
        <v>683100</v>
      </c>
      <c r="H1136" s="2">
        <f t="shared" si="287"/>
        <v>0</v>
      </c>
      <c r="I1136" s="2">
        <f t="shared" si="287"/>
        <v>683100</v>
      </c>
      <c r="J1136" s="2">
        <f t="shared" si="287"/>
        <v>0</v>
      </c>
      <c r="K1136" s="18">
        <f t="shared" si="287"/>
        <v>0</v>
      </c>
      <c r="L1136" s="2">
        <f t="shared" si="287"/>
        <v>0</v>
      </c>
      <c r="M1136" s="2">
        <f t="shared" si="287"/>
        <v>0</v>
      </c>
      <c r="N1136" s="2">
        <f t="shared" si="287"/>
        <v>0</v>
      </c>
      <c r="O1136" s="2">
        <f t="shared" si="287"/>
        <v>0</v>
      </c>
      <c r="P1136" s="2">
        <f t="shared" si="287"/>
        <v>0</v>
      </c>
      <c r="Q1136" s="2">
        <f t="shared" si="287"/>
        <v>0</v>
      </c>
      <c r="R1136" s="2">
        <f t="shared" si="287"/>
        <v>0</v>
      </c>
      <c r="S1136" s="2">
        <f t="shared" si="287"/>
        <v>0</v>
      </c>
      <c r="T1136" s="2">
        <f t="shared" si="287"/>
        <v>0</v>
      </c>
      <c r="U1136" s="2">
        <f t="shared" si="287"/>
        <v>187621.37</v>
      </c>
      <c r="V1136" s="20">
        <f>C1136</f>
        <v>6107821.3700000001</v>
      </c>
    </row>
    <row r="1137" spans="1:22" ht="25.15" customHeight="1" x14ac:dyDescent="0.25">
      <c r="A1137" s="21" t="s">
        <v>1919</v>
      </c>
      <c r="B1137" s="24" t="s">
        <v>307</v>
      </c>
      <c r="C1137" s="2">
        <f>D1137+L1137+N1137+P1137+R1137+S1137+T1137+U1137</f>
        <v>6107821.3700000001</v>
      </c>
      <c r="D1137" s="3">
        <f>SUM(E1137:J1137)</f>
        <v>5920200</v>
      </c>
      <c r="E1137" s="3">
        <f>700*2277</f>
        <v>1593900</v>
      </c>
      <c r="F1137" s="3">
        <f>1300*2277</f>
        <v>2960100</v>
      </c>
      <c r="G1137" s="3">
        <f>300*2277</f>
        <v>683100</v>
      </c>
      <c r="H1137" s="3">
        <v>0</v>
      </c>
      <c r="I1137" s="3">
        <f>300*2277</f>
        <v>683100</v>
      </c>
      <c r="J1137" s="3">
        <v>0</v>
      </c>
      <c r="K1137" s="4">
        <v>0</v>
      </c>
      <c r="L1137" s="3">
        <v>0</v>
      </c>
      <c r="M1137" s="3">
        <v>0</v>
      </c>
      <c r="N1137" s="3">
        <v>0</v>
      </c>
      <c r="O1137" s="3">
        <v>0</v>
      </c>
      <c r="P1137" s="3">
        <v>0</v>
      </c>
      <c r="Q1137" s="3">
        <v>0</v>
      </c>
      <c r="R1137" s="3">
        <f>Q1137*3200</f>
        <v>0</v>
      </c>
      <c r="S1137" s="3">
        <v>0</v>
      </c>
      <c r="T1137" s="3">
        <v>0</v>
      </c>
      <c r="U1137" s="3">
        <v>187621.37</v>
      </c>
      <c r="V1137" s="5" t="e">
        <f>N1137/M1137</f>
        <v>#DIV/0!</v>
      </c>
    </row>
    <row r="1138" spans="1:22" ht="42.95" customHeight="1" x14ac:dyDescent="0.25">
      <c r="A1138" s="51" t="s">
        <v>802</v>
      </c>
      <c r="B1138" s="51"/>
      <c r="C1138" s="2">
        <f>SUM(C1139:C1140)</f>
        <v>6707260</v>
      </c>
      <c r="D1138" s="2">
        <f t="shared" ref="D1138:U1138" si="288">SUM(D1139:D1140)</f>
        <v>943180</v>
      </c>
      <c r="E1138" s="2">
        <f t="shared" si="288"/>
        <v>488180</v>
      </c>
      <c r="F1138" s="2">
        <f t="shared" si="288"/>
        <v>455000</v>
      </c>
      <c r="G1138" s="2">
        <f t="shared" si="288"/>
        <v>0</v>
      </c>
      <c r="H1138" s="2">
        <f t="shared" si="288"/>
        <v>0</v>
      </c>
      <c r="I1138" s="2">
        <f t="shared" si="288"/>
        <v>0</v>
      </c>
      <c r="J1138" s="2">
        <f t="shared" si="288"/>
        <v>0</v>
      </c>
      <c r="K1138" s="18">
        <f t="shared" si="288"/>
        <v>0</v>
      </c>
      <c r="L1138" s="2">
        <f t="shared" si="288"/>
        <v>0</v>
      </c>
      <c r="M1138" s="2">
        <f t="shared" si="288"/>
        <v>497.2</v>
      </c>
      <c r="N1138" s="2">
        <f t="shared" si="288"/>
        <v>3281520</v>
      </c>
      <c r="O1138" s="2">
        <f t="shared" si="288"/>
        <v>0</v>
      </c>
      <c r="P1138" s="2">
        <f t="shared" si="288"/>
        <v>0</v>
      </c>
      <c r="Q1138" s="2">
        <f t="shared" si="288"/>
        <v>650.79999999999995</v>
      </c>
      <c r="R1138" s="2">
        <f t="shared" si="288"/>
        <v>2082560</v>
      </c>
      <c r="S1138" s="2">
        <f t="shared" si="288"/>
        <v>0</v>
      </c>
      <c r="T1138" s="2">
        <f t="shared" si="288"/>
        <v>0</v>
      </c>
      <c r="U1138" s="2">
        <f t="shared" si="288"/>
        <v>400000</v>
      </c>
    </row>
    <row r="1139" spans="1:22" ht="25.15" customHeight="1" x14ac:dyDescent="0.25">
      <c r="A1139" s="21" t="s">
        <v>1920</v>
      </c>
      <c r="B1139" s="24" t="s">
        <v>305</v>
      </c>
      <c r="C1139" s="2">
        <f>D1139+L1139+N1139+P1139+R1139+S1139+T1139+U1139</f>
        <v>2877540</v>
      </c>
      <c r="D1139" s="3">
        <f>SUM(E1139:J1139)</f>
        <v>243179.99999999997</v>
      </c>
      <c r="E1139" s="3">
        <f>700*347.4</f>
        <v>243179.99999999997</v>
      </c>
      <c r="F1139" s="3">
        <v>0</v>
      </c>
      <c r="G1139" s="3">
        <v>0</v>
      </c>
      <c r="H1139" s="3">
        <v>0</v>
      </c>
      <c r="I1139" s="3">
        <v>0</v>
      </c>
      <c r="J1139" s="3">
        <v>0</v>
      </c>
      <c r="K1139" s="4">
        <v>0</v>
      </c>
      <c r="L1139" s="3">
        <v>0</v>
      </c>
      <c r="M1139" s="3">
        <v>235</v>
      </c>
      <c r="N1139" s="3">
        <f>M1139*6600</f>
        <v>1551000</v>
      </c>
      <c r="O1139" s="3">
        <v>0</v>
      </c>
      <c r="P1139" s="3">
        <v>0</v>
      </c>
      <c r="Q1139" s="3">
        <v>244.8</v>
      </c>
      <c r="R1139" s="3">
        <f>Q1139*3200</f>
        <v>783360</v>
      </c>
      <c r="S1139" s="3">
        <v>0</v>
      </c>
      <c r="T1139" s="3">
        <v>0</v>
      </c>
      <c r="U1139" s="3">
        <v>300000</v>
      </c>
      <c r="V1139" s="5">
        <f>N1139/M1139</f>
        <v>6600</v>
      </c>
    </row>
    <row r="1140" spans="1:22" ht="25.15" customHeight="1" x14ac:dyDescent="0.25">
      <c r="A1140" s="21" t="s">
        <v>1921</v>
      </c>
      <c r="B1140" s="24" t="s">
        <v>306</v>
      </c>
      <c r="C1140" s="2">
        <f>D1140+L1140+N1140+P1140+R1140+S1140+T1140+U1140</f>
        <v>3829720</v>
      </c>
      <c r="D1140" s="3">
        <f>SUM(E1140:J1140)</f>
        <v>700000</v>
      </c>
      <c r="E1140" s="3">
        <f>350*700</f>
        <v>245000</v>
      </c>
      <c r="F1140" s="3">
        <f>1300*350</f>
        <v>455000</v>
      </c>
      <c r="G1140" s="3">
        <v>0</v>
      </c>
      <c r="H1140" s="3">
        <v>0</v>
      </c>
      <c r="I1140" s="3">
        <v>0</v>
      </c>
      <c r="J1140" s="3">
        <v>0</v>
      </c>
      <c r="K1140" s="4">
        <v>0</v>
      </c>
      <c r="L1140" s="3">
        <v>0</v>
      </c>
      <c r="M1140" s="3">
        <v>262.2</v>
      </c>
      <c r="N1140" s="3">
        <f>M1140*6600</f>
        <v>1730520</v>
      </c>
      <c r="O1140" s="3">
        <v>0</v>
      </c>
      <c r="P1140" s="3">
        <v>0</v>
      </c>
      <c r="Q1140" s="3">
        <v>406</v>
      </c>
      <c r="R1140" s="3">
        <f>Q1140*3200</f>
        <v>1299200</v>
      </c>
      <c r="S1140" s="3">
        <v>0</v>
      </c>
      <c r="T1140" s="3">
        <v>0</v>
      </c>
      <c r="U1140" s="3">
        <v>100000</v>
      </c>
      <c r="V1140" s="5">
        <f>N1140/M1140</f>
        <v>6600</v>
      </c>
    </row>
    <row r="1141" spans="1:22" ht="42.95" customHeight="1" x14ac:dyDescent="0.25">
      <c r="A1141" s="51" t="s">
        <v>309</v>
      </c>
      <c r="B1141" s="51"/>
      <c r="C1141" s="2">
        <f>SUM(C1142:C1144)</f>
        <v>28672282</v>
      </c>
      <c r="D1141" s="2">
        <f t="shared" ref="D1141:U1141" si="289">SUM(D1142:D1144)</f>
        <v>6793800</v>
      </c>
      <c r="E1141" s="2">
        <f t="shared" si="289"/>
        <v>1829100</v>
      </c>
      <c r="F1141" s="2">
        <f t="shared" si="289"/>
        <v>3396900</v>
      </c>
      <c r="G1141" s="2">
        <f t="shared" si="289"/>
        <v>783900</v>
      </c>
      <c r="H1141" s="2">
        <f t="shared" si="289"/>
        <v>0</v>
      </c>
      <c r="I1141" s="2">
        <f t="shared" si="289"/>
        <v>783900</v>
      </c>
      <c r="J1141" s="2">
        <f t="shared" si="289"/>
        <v>0</v>
      </c>
      <c r="K1141" s="18">
        <f t="shared" si="289"/>
        <v>0</v>
      </c>
      <c r="L1141" s="2">
        <f t="shared" si="289"/>
        <v>0</v>
      </c>
      <c r="M1141" s="2">
        <f t="shared" si="289"/>
        <v>1719.17</v>
      </c>
      <c r="N1141" s="2">
        <f t="shared" si="289"/>
        <v>8431122</v>
      </c>
      <c r="O1141" s="2">
        <f t="shared" si="289"/>
        <v>0</v>
      </c>
      <c r="P1141" s="2">
        <f t="shared" si="289"/>
        <v>0</v>
      </c>
      <c r="Q1141" s="2">
        <f t="shared" si="289"/>
        <v>4139.7999999999993</v>
      </c>
      <c r="R1141" s="2">
        <f t="shared" si="289"/>
        <v>13247360</v>
      </c>
      <c r="S1141" s="2">
        <f t="shared" si="289"/>
        <v>0</v>
      </c>
      <c r="T1141" s="2">
        <f t="shared" si="289"/>
        <v>0</v>
      </c>
      <c r="U1141" s="2">
        <f t="shared" si="289"/>
        <v>200000</v>
      </c>
    </row>
    <row r="1142" spans="1:22" ht="25.15" customHeight="1" x14ac:dyDescent="0.25">
      <c r="A1142" s="15" t="s">
        <v>1985</v>
      </c>
      <c r="B1142" s="24" t="s">
        <v>1175</v>
      </c>
      <c r="C1142" s="2">
        <f>D1142+L1142+N1142+P1142+R1142+S1142+T1142+U1142</f>
        <v>16654040</v>
      </c>
      <c r="D1142" s="3">
        <f>SUM(E1142:J1142)</f>
        <v>6793800</v>
      </c>
      <c r="E1142" s="3">
        <f>2613*700</f>
        <v>1829100</v>
      </c>
      <c r="F1142" s="3">
        <f>1300*2613</f>
        <v>3396900</v>
      </c>
      <c r="G1142" s="3">
        <f>300*2613</f>
        <v>783900</v>
      </c>
      <c r="H1142" s="3">
        <v>0</v>
      </c>
      <c r="I1142" s="3">
        <f>300*2613</f>
        <v>783900</v>
      </c>
      <c r="J1142" s="3">
        <v>0</v>
      </c>
      <c r="K1142" s="4">
        <v>0</v>
      </c>
      <c r="L1142" s="3">
        <v>0</v>
      </c>
      <c r="M1142" s="3">
        <v>680</v>
      </c>
      <c r="N1142" s="3">
        <f>M1142*4450</f>
        <v>3026000</v>
      </c>
      <c r="O1142" s="3">
        <v>0</v>
      </c>
      <c r="P1142" s="3">
        <v>0</v>
      </c>
      <c r="Q1142" s="3">
        <v>2073.1999999999998</v>
      </c>
      <c r="R1142" s="3">
        <f>Q1142*3200</f>
        <v>6634239.9999999991</v>
      </c>
      <c r="S1142" s="3">
        <v>0</v>
      </c>
      <c r="T1142" s="3">
        <v>0</v>
      </c>
      <c r="U1142" s="3">
        <v>200000</v>
      </c>
    </row>
    <row r="1143" spans="1:22" ht="25.15" customHeight="1" x14ac:dyDescent="0.25">
      <c r="A1143" s="15" t="s">
        <v>1922</v>
      </c>
      <c r="B1143" s="24" t="s">
        <v>831</v>
      </c>
      <c r="C1143" s="2">
        <f>D1143+L1143+N1143+P1143+R1143+S1143+T1143+U1143</f>
        <v>9621320</v>
      </c>
      <c r="D1143" s="3">
        <f>SUM(E1143:J1143)</f>
        <v>0</v>
      </c>
      <c r="E1143" s="3">
        <v>0</v>
      </c>
      <c r="F1143" s="3">
        <v>0</v>
      </c>
      <c r="G1143" s="3">
        <v>0</v>
      </c>
      <c r="H1143" s="3">
        <v>0</v>
      </c>
      <c r="I1143" s="3">
        <v>0</v>
      </c>
      <c r="J1143" s="3">
        <v>0</v>
      </c>
      <c r="K1143" s="14">
        <v>0</v>
      </c>
      <c r="L1143" s="13">
        <v>0</v>
      </c>
      <c r="M1143" s="13">
        <v>676</v>
      </c>
      <c r="N1143" s="3">
        <f>M1143*4450</f>
        <v>3008200</v>
      </c>
      <c r="O1143" s="13">
        <v>0</v>
      </c>
      <c r="P1143" s="13">
        <v>0</v>
      </c>
      <c r="Q1143" s="13">
        <v>2066.6</v>
      </c>
      <c r="R1143" s="3">
        <f>Q1143*3200</f>
        <v>6613120</v>
      </c>
      <c r="S1143" s="13">
        <v>0</v>
      </c>
      <c r="T1143" s="13">
        <v>0</v>
      </c>
      <c r="U1143" s="13">
        <v>0</v>
      </c>
      <c r="V1143" s="5">
        <f>N1143/M1143</f>
        <v>4450</v>
      </c>
    </row>
    <row r="1144" spans="1:22" ht="25.15" customHeight="1" x14ac:dyDescent="0.25">
      <c r="A1144" s="15" t="s">
        <v>1923</v>
      </c>
      <c r="B1144" s="24" t="s">
        <v>312</v>
      </c>
      <c r="C1144" s="2">
        <f>D1144+L1144+N1144+P1144+R1144+S1144+T1144+U1144</f>
        <v>2396922</v>
      </c>
      <c r="D1144" s="3">
        <f>SUM(E1144:J1144)</f>
        <v>0</v>
      </c>
      <c r="E1144" s="3">
        <v>0</v>
      </c>
      <c r="F1144" s="3">
        <v>0</v>
      </c>
      <c r="G1144" s="3">
        <v>0</v>
      </c>
      <c r="H1144" s="3">
        <v>0</v>
      </c>
      <c r="I1144" s="3">
        <v>0</v>
      </c>
      <c r="J1144" s="3">
        <v>0</v>
      </c>
      <c r="K1144" s="4">
        <v>0</v>
      </c>
      <c r="L1144" s="3">
        <v>0</v>
      </c>
      <c r="M1144" s="3">
        <v>363.17</v>
      </c>
      <c r="N1144" s="3">
        <f>M1144*6600</f>
        <v>2396922</v>
      </c>
      <c r="O1144" s="3">
        <v>0</v>
      </c>
      <c r="P1144" s="3">
        <v>0</v>
      </c>
      <c r="Q1144" s="3">
        <v>0</v>
      </c>
      <c r="R1144" s="3">
        <f>Q1144*3200</f>
        <v>0</v>
      </c>
      <c r="S1144" s="3">
        <v>0</v>
      </c>
      <c r="T1144" s="3">
        <v>0</v>
      </c>
      <c r="U1144" s="3">
        <v>0</v>
      </c>
      <c r="V1144" s="5">
        <f>N1144/M1144</f>
        <v>6600</v>
      </c>
    </row>
    <row r="1145" spans="1:22" ht="45" customHeight="1" x14ac:dyDescent="0.25">
      <c r="A1145" s="51" t="s">
        <v>313</v>
      </c>
      <c r="B1145" s="51"/>
      <c r="C1145" s="2">
        <f>SUM(C1146)</f>
        <v>5314400</v>
      </c>
      <c r="D1145" s="2">
        <f t="shared" ref="D1145:U1145" si="290">SUM(D1146)</f>
        <v>0</v>
      </c>
      <c r="E1145" s="2">
        <f t="shared" si="290"/>
        <v>0</v>
      </c>
      <c r="F1145" s="2">
        <f t="shared" si="290"/>
        <v>0</v>
      </c>
      <c r="G1145" s="2">
        <f t="shared" si="290"/>
        <v>0</v>
      </c>
      <c r="H1145" s="2">
        <f t="shared" si="290"/>
        <v>0</v>
      </c>
      <c r="I1145" s="2">
        <f t="shared" si="290"/>
        <v>0</v>
      </c>
      <c r="J1145" s="2">
        <f t="shared" si="290"/>
        <v>0</v>
      </c>
      <c r="K1145" s="18">
        <f t="shared" si="290"/>
        <v>0</v>
      </c>
      <c r="L1145" s="2">
        <f t="shared" si="290"/>
        <v>0</v>
      </c>
      <c r="M1145" s="2">
        <f t="shared" si="290"/>
        <v>500</v>
      </c>
      <c r="N1145" s="2">
        <f t="shared" si="290"/>
        <v>3300000</v>
      </c>
      <c r="O1145" s="2">
        <f t="shared" si="290"/>
        <v>0</v>
      </c>
      <c r="P1145" s="2">
        <f t="shared" si="290"/>
        <v>0</v>
      </c>
      <c r="Q1145" s="2">
        <f t="shared" si="290"/>
        <v>629.5</v>
      </c>
      <c r="R1145" s="2">
        <f t="shared" si="290"/>
        <v>2014400</v>
      </c>
      <c r="S1145" s="2">
        <f t="shared" si="290"/>
        <v>0</v>
      </c>
      <c r="T1145" s="2">
        <f t="shared" si="290"/>
        <v>0</v>
      </c>
      <c r="U1145" s="2">
        <f t="shared" si="290"/>
        <v>0</v>
      </c>
    </row>
    <row r="1146" spans="1:22" ht="25.15" customHeight="1" x14ac:dyDescent="0.25">
      <c r="A1146" s="21" t="s">
        <v>1924</v>
      </c>
      <c r="B1146" s="1" t="s">
        <v>314</v>
      </c>
      <c r="C1146" s="2">
        <f>D1146+L1146+N1146+P1146+R1146+S1146+T1146+U1146</f>
        <v>5314400</v>
      </c>
      <c r="D1146" s="3">
        <f>SUM(E1146:J1146)</f>
        <v>0</v>
      </c>
      <c r="E1146" s="3">
        <v>0</v>
      </c>
      <c r="F1146" s="3">
        <v>0</v>
      </c>
      <c r="G1146" s="3">
        <v>0</v>
      </c>
      <c r="H1146" s="3">
        <v>0</v>
      </c>
      <c r="I1146" s="3">
        <v>0</v>
      </c>
      <c r="J1146" s="3">
        <v>0</v>
      </c>
      <c r="K1146" s="4">
        <v>0</v>
      </c>
      <c r="L1146" s="3">
        <v>0</v>
      </c>
      <c r="M1146" s="3">
        <v>500</v>
      </c>
      <c r="N1146" s="3">
        <f>M1146*6600</f>
        <v>3300000</v>
      </c>
      <c r="O1146" s="3">
        <v>0</v>
      </c>
      <c r="P1146" s="3">
        <v>0</v>
      </c>
      <c r="Q1146" s="3">
        <v>629.5</v>
      </c>
      <c r="R1146" s="3">
        <f>Q1146*3200</f>
        <v>2014400</v>
      </c>
      <c r="S1146" s="3">
        <v>0</v>
      </c>
      <c r="T1146" s="3">
        <v>0</v>
      </c>
      <c r="U1146" s="3">
        <v>0</v>
      </c>
      <c r="V1146" s="5">
        <f>N1146/M1146</f>
        <v>6600</v>
      </c>
    </row>
    <row r="1147" spans="1:22" ht="42.95" customHeight="1" x14ac:dyDescent="0.25">
      <c r="A1147" s="51" t="s">
        <v>316</v>
      </c>
      <c r="B1147" s="51"/>
      <c r="C1147" s="2">
        <f>SUM(C1148)</f>
        <v>2850700</v>
      </c>
      <c r="D1147" s="2">
        <f t="shared" ref="D1147:U1147" si="291">SUM(D1148)</f>
        <v>830700</v>
      </c>
      <c r="E1147" s="2">
        <f t="shared" si="291"/>
        <v>447300</v>
      </c>
      <c r="F1147" s="2">
        <f t="shared" si="291"/>
        <v>0</v>
      </c>
      <c r="G1147" s="2">
        <f t="shared" si="291"/>
        <v>191700</v>
      </c>
      <c r="H1147" s="2">
        <f t="shared" si="291"/>
        <v>0</v>
      </c>
      <c r="I1147" s="2">
        <f t="shared" si="291"/>
        <v>191700</v>
      </c>
      <c r="J1147" s="2">
        <f t="shared" si="291"/>
        <v>0</v>
      </c>
      <c r="K1147" s="18">
        <f t="shared" si="291"/>
        <v>0</v>
      </c>
      <c r="L1147" s="2">
        <f t="shared" si="291"/>
        <v>0</v>
      </c>
      <c r="M1147" s="2">
        <f t="shared" si="291"/>
        <v>0</v>
      </c>
      <c r="N1147" s="2">
        <f t="shared" si="291"/>
        <v>0</v>
      </c>
      <c r="O1147" s="2">
        <f t="shared" si="291"/>
        <v>0</v>
      </c>
      <c r="P1147" s="2">
        <f t="shared" si="291"/>
        <v>0</v>
      </c>
      <c r="Q1147" s="2">
        <f t="shared" si="291"/>
        <v>600</v>
      </c>
      <c r="R1147" s="2">
        <f t="shared" si="291"/>
        <v>1920000</v>
      </c>
      <c r="S1147" s="2">
        <f t="shared" si="291"/>
        <v>0</v>
      </c>
      <c r="T1147" s="2">
        <f t="shared" si="291"/>
        <v>0</v>
      </c>
      <c r="U1147" s="2">
        <f t="shared" si="291"/>
        <v>100000</v>
      </c>
    </row>
    <row r="1148" spans="1:22" ht="25.15" customHeight="1" x14ac:dyDescent="0.25">
      <c r="A1148" s="15" t="s">
        <v>2015</v>
      </c>
      <c r="B1148" s="24" t="s">
        <v>919</v>
      </c>
      <c r="C1148" s="2">
        <f>D1148+L1148+N1148+P1148+R1148+S1148+T1148+U1148</f>
        <v>2850700</v>
      </c>
      <c r="D1148" s="3">
        <f>SUM(E1148:J1148)</f>
        <v>830700</v>
      </c>
      <c r="E1148" s="3">
        <f>700*639</f>
        <v>447300</v>
      </c>
      <c r="F1148" s="3">
        <v>0</v>
      </c>
      <c r="G1148" s="3">
        <f>300*639</f>
        <v>191700</v>
      </c>
      <c r="H1148" s="3">
        <v>0</v>
      </c>
      <c r="I1148" s="3">
        <f>300*639</f>
        <v>191700</v>
      </c>
      <c r="J1148" s="3">
        <v>0</v>
      </c>
      <c r="K1148" s="14">
        <v>0</v>
      </c>
      <c r="L1148" s="13">
        <v>0</v>
      </c>
      <c r="M1148" s="13">
        <v>0</v>
      </c>
      <c r="N1148" s="13">
        <v>0</v>
      </c>
      <c r="O1148" s="13">
        <v>0</v>
      </c>
      <c r="P1148" s="13">
        <v>0</v>
      </c>
      <c r="Q1148" s="13">
        <v>600</v>
      </c>
      <c r="R1148" s="3">
        <f>Q1148*3200</f>
        <v>1920000</v>
      </c>
      <c r="S1148" s="13">
        <v>0</v>
      </c>
      <c r="T1148" s="13">
        <v>0</v>
      </c>
      <c r="U1148" s="13">
        <v>100000</v>
      </c>
      <c r="V1148" s="5" t="e">
        <f>N1148/M1148</f>
        <v>#DIV/0!</v>
      </c>
    </row>
    <row r="1149" spans="1:22" ht="45" customHeight="1" x14ac:dyDescent="0.25">
      <c r="A1149" s="51" t="s">
        <v>318</v>
      </c>
      <c r="B1149" s="51"/>
      <c r="C1149" s="2">
        <f>SUM(C1150)</f>
        <v>7524000</v>
      </c>
      <c r="D1149" s="2">
        <f t="shared" ref="D1149:U1149" si="292">SUM(D1150)</f>
        <v>0</v>
      </c>
      <c r="E1149" s="2">
        <f t="shared" si="292"/>
        <v>0</v>
      </c>
      <c r="F1149" s="2">
        <f t="shared" si="292"/>
        <v>0</v>
      </c>
      <c r="G1149" s="2">
        <f t="shared" si="292"/>
        <v>0</v>
      </c>
      <c r="H1149" s="2">
        <f t="shared" si="292"/>
        <v>0</v>
      </c>
      <c r="I1149" s="2">
        <f t="shared" si="292"/>
        <v>0</v>
      </c>
      <c r="J1149" s="2">
        <f t="shared" si="292"/>
        <v>0</v>
      </c>
      <c r="K1149" s="18">
        <f t="shared" si="292"/>
        <v>0</v>
      </c>
      <c r="L1149" s="2">
        <f t="shared" si="292"/>
        <v>0</v>
      </c>
      <c r="M1149" s="2">
        <f t="shared" si="292"/>
        <v>1140</v>
      </c>
      <c r="N1149" s="2">
        <f t="shared" si="292"/>
        <v>7524000</v>
      </c>
      <c r="O1149" s="2">
        <f t="shared" si="292"/>
        <v>0</v>
      </c>
      <c r="P1149" s="2">
        <f t="shared" si="292"/>
        <v>0</v>
      </c>
      <c r="Q1149" s="2">
        <f t="shared" si="292"/>
        <v>0</v>
      </c>
      <c r="R1149" s="2">
        <f t="shared" si="292"/>
        <v>0</v>
      </c>
      <c r="S1149" s="2">
        <f t="shared" si="292"/>
        <v>0</v>
      </c>
      <c r="T1149" s="2">
        <f t="shared" si="292"/>
        <v>0</v>
      </c>
      <c r="U1149" s="2">
        <f t="shared" si="292"/>
        <v>0</v>
      </c>
    </row>
    <row r="1150" spans="1:22" ht="25.15" customHeight="1" x14ac:dyDescent="0.25">
      <c r="A1150" s="21" t="s">
        <v>1925</v>
      </c>
      <c r="B1150" s="24" t="s">
        <v>1806</v>
      </c>
      <c r="C1150" s="2">
        <f>D1150+L1150+N1150+P1150+R1150+S1150+T1150+U1150</f>
        <v>7524000</v>
      </c>
      <c r="D1150" s="3">
        <f>SUM(E1150:J1150)</f>
        <v>0</v>
      </c>
      <c r="E1150" s="3">
        <v>0</v>
      </c>
      <c r="F1150" s="3">
        <v>0</v>
      </c>
      <c r="G1150" s="3">
        <v>0</v>
      </c>
      <c r="H1150" s="3">
        <v>0</v>
      </c>
      <c r="I1150" s="3">
        <v>0</v>
      </c>
      <c r="J1150" s="3">
        <f>350*0</f>
        <v>0</v>
      </c>
      <c r="K1150" s="4">
        <v>0</v>
      </c>
      <c r="L1150" s="3">
        <v>0</v>
      </c>
      <c r="M1150" s="3">
        <v>1140</v>
      </c>
      <c r="N1150" s="3">
        <f>M1150*6600</f>
        <v>7524000</v>
      </c>
      <c r="O1150" s="3">
        <v>0</v>
      </c>
      <c r="P1150" s="3">
        <v>0</v>
      </c>
      <c r="Q1150" s="3">
        <v>0</v>
      </c>
      <c r="R1150" s="3">
        <v>0</v>
      </c>
      <c r="S1150" s="3">
        <v>0</v>
      </c>
      <c r="T1150" s="3">
        <v>0</v>
      </c>
      <c r="U1150" s="3">
        <v>0</v>
      </c>
      <c r="V1150" s="5">
        <f>N1150/M1150</f>
        <v>6600</v>
      </c>
    </row>
    <row r="1151" spans="1:22" ht="45" customHeight="1" x14ac:dyDescent="0.25">
      <c r="A1151" s="51" t="s">
        <v>983</v>
      </c>
      <c r="B1151" s="51"/>
      <c r="C1151" s="2">
        <f>SUM(C1152:C1176)</f>
        <v>205615276.18999997</v>
      </c>
      <c r="D1151" s="2">
        <f t="shared" ref="D1151:U1151" si="293">SUM(D1152:D1176)</f>
        <v>70538824.799999997</v>
      </c>
      <c r="E1151" s="2">
        <f t="shared" si="293"/>
        <v>17689980</v>
      </c>
      <c r="F1151" s="2">
        <f t="shared" si="293"/>
        <v>33026680</v>
      </c>
      <c r="G1151" s="2">
        <f t="shared" si="293"/>
        <v>8146260</v>
      </c>
      <c r="H1151" s="2">
        <f t="shared" si="293"/>
        <v>3428800</v>
      </c>
      <c r="I1151" s="2">
        <f t="shared" si="293"/>
        <v>8247104.7999999998</v>
      </c>
      <c r="J1151" s="2">
        <f t="shared" si="293"/>
        <v>0</v>
      </c>
      <c r="K1151" s="18">
        <f t="shared" si="293"/>
        <v>0</v>
      </c>
      <c r="L1151" s="2">
        <f t="shared" si="293"/>
        <v>0</v>
      </c>
      <c r="M1151" s="2">
        <f t="shared" si="293"/>
        <v>14308.949999999999</v>
      </c>
      <c r="N1151" s="2">
        <f t="shared" si="293"/>
        <v>85614710</v>
      </c>
      <c r="O1151" s="2">
        <f t="shared" si="293"/>
        <v>0</v>
      </c>
      <c r="P1151" s="2">
        <f t="shared" si="293"/>
        <v>0</v>
      </c>
      <c r="Q1151" s="2">
        <f t="shared" si="293"/>
        <v>14371.599999999999</v>
      </c>
      <c r="R1151" s="2">
        <f t="shared" si="293"/>
        <v>45989120</v>
      </c>
      <c r="S1151" s="2">
        <f t="shared" si="293"/>
        <v>0</v>
      </c>
      <c r="T1151" s="2">
        <f t="shared" si="293"/>
        <v>0</v>
      </c>
      <c r="U1151" s="2">
        <f t="shared" si="293"/>
        <v>3472621.39</v>
      </c>
    </row>
    <row r="1152" spans="1:22" ht="27" customHeight="1" x14ac:dyDescent="0.25">
      <c r="A1152" s="15" t="s">
        <v>1926</v>
      </c>
      <c r="B1152" s="24" t="s">
        <v>1811</v>
      </c>
      <c r="C1152" s="2">
        <f t="shared" ref="C1152" si="294">D1152+L1152+N1152+P1152+R1152+S1152+T1152+U1152</f>
        <v>10633489.439999999</v>
      </c>
      <c r="D1152" s="3">
        <f t="shared" ref="D1152" si="295">SUM(E1152:J1152)</f>
        <v>0</v>
      </c>
      <c r="E1152" s="3">
        <v>0</v>
      </c>
      <c r="F1152" s="3">
        <v>0</v>
      </c>
      <c r="G1152" s="3">
        <v>0</v>
      </c>
      <c r="H1152" s="3">
        <v>0</v>
      </c>
      <c r="I1152" s="3">
        <v>0</v>
      </c>
      <c r="J1152" s="3">
        <v>0</v>
      </c>
      <c r="K1152" s="4">
        <v>0</v>
      </c>
      <c r="L1152" s="3">
        <v>0</v>
      </c>
      <c r="M1152" s="3">
        <v>2298</v>
      </c>
      <c r="N1152" s="3">
        <f>M1152*4450</f>
        <v>10226100</v>
      </c>
      <c r="O1152" s="3">
        <v>0</v>
      </c>
      <c r="P1152" s="3">
        <v>0</v>
      </c>
      <c r="Q1152" s="3">
        <v>0</v>
      </c>
      <c r="R1152" s="3">
        <v>0</v>
      </c>
      <c r="S1152" s="3">
        <v>0</v>
      </c>
      <c r="T1152" s="3">
        <v>0</v>
      </c>
      <c r="U1152" s="3">
        <v>407389.44</v>
      </c>
    </row>
    <row r="1153" spans="1:22" ht="27" customHeight="1" x14ac:dyDescent="0.25">
      <c r="A1153" s="15" t="s">
        <v>1927</v>
      </c>
      <c r="B1153" s="24" t="s">
        <v>1198</v>
      </c>
      <c r="C1153" s="2">
        <f t="shared" ref="C1153:C1176" si="296">D1153+L1153+N1153+P1153+R1153+S1153+T1153+U1153</f>
        <v>447099.26</v>
      </c>
      <c r="D1153" s="3">
        <f t="shared" ref="D1153:D1165" si="297">SUM(E1153:J1153)</f>
        <v>253894.8</v>
      </c>
      <c r="E1153" s="3">
        <v>0</v>
      </c>
      <c r="F1153" s="3">
        <v>0</v>
      </c>
      <c r="G1153" s="3">
        <v>0</v>
      </c>
      <c r="H1153" s="3">
        <v>0</v>
      </c>
      <c r="I1153" s="3">
        <v>253894.8</v>
      </c>
      <c r="J1153" s="3">
        <v>0</v>
      </c>
      <c r="K1153" s="4">
        <v>0</v>
      </c>
      <c r="L1153" s="3">
        <v>0</v>
      </c>
      <c r="M1153" s="3">
        <v>0</v>
      </c>
      <c r="N1153" s="3">
        <v>0</v>
      </c>
      <c r="O1153" s="3">
        <v>0</v>
      </c>
      <c r="P1153" s="3">
        <v>0</v>
      </c>
      <c r="Q1153" s="3">
        <v>0</v>
      </c>
      <c r="R1153" s="3">
        <v>0</v>
      </c>
      <c r="S1153" s="3">
        <v>0</v>
      </c>
      <c r="T1153" s="3">
        <v>0</v>
      </c>
      <c r="U1153" s="3">
        <v>193204.46</v>
      </c>
    </row>
    <row r="1154" spans="1:22" ht="27" customHeight="1" x14ac:dyDescent="0.25">
      <c r="A1154" s="15" t="s">
        <v>1928</v>
      </c>
      <c r="B1154" s="24" t="s">
        <v>327</v>
      </c>
      <c r="C1154" s="2">
        <f>D1154+L1154+N1154+P1154+R1154+S1154+T1154+U1154</f>
        <v>4548680</v>
      </c>
      <c r="D1154" s="3">
        <f t="shared" si="297"/>
        <v>730600</v>
      </c>
      <c r="E1154" s="3">
        <f>700*281</f>
        <v>196700</v>
      </c>
      <c r="F1154" s="3">
        <f>1300*281</f>
        <v>365300</v>
      </c>
      <c r="G1154" s="3">
        <f>300*281</f>
        <v>84300</v>
      </c>
      <c r="H1154" s="3">
        <f t="shared" ref="H1154:H1159" si="298">400*0</f>
        <v>0</v>
      </c>
      <c r="I1154" s="3">
        <f>300*281</f>
        <v>84300</v>
      </c>
      <c r="J1154" s="3">
        <v>0</v>
      </c>
      <c r="K1154" s="4">
        <v>0</v>
      </c>
      <c r="L1154" s="3">
        <v>0</v>
      </c>
      <c r="M1154" s="3">
        <v>400</v>
      </c>
      <c r="N1154" s="3">
        <f>M1154*6600</f>
        <v>2640000</v>
      </c>
      <c r="O1154" s="3">
        <v>0</v>
      </c>
      <c r="P1154" s="3">
        <v>0</v>
      </c>
      <c r="Q1154" s="3">
        <v>336.9</v>
      </c>
      <c r="R1154" s="3">
        <f>Q1154*3200</f>
        <v>1078080</v>
      </c>
      <c r="S1154" s="3">
        <v>0</v>
      </c>
      <c r="T1154" s="3">
        <v>0</v>
      </c>
      <c r="U1154" s="3">
        <v>100000</v>
      </c>
      <c r="V1154" s="5">
        <f>N1154/M1154</f>
        <v>6600</v>
      </c>
    </row>
    <row r="1155" spans="1:22" ht="27" customHeight="1" x14ac:dyDescent="0.25">
      <c r="A1155" s="15" t="s">
        <v>1929</v>
      </c>
      <c r="B1155" s="24" t="s">
        <v>331</v>
      </c>
      <c r="C1155" s="2">
        <f t="shared" ref="C1155:C1159" si="299">D1155+L1155+N1155+P1155+R1155+S1155+T1155+U1155</f>
        <v>3647840.0000000005</v>
      </c>
      <c r="D1155" s="3">
        <f t="shared" ref="D1155:D1159" si="300">SUM(E1155:J1155)</f>
        <v>275240</v>
      </c>
      <c r="E1155" s="3">
        <f>350*786.4</f>
        <v>275240</v>
      </c>
      <c r="F1155" s="3">
        <v>0</v>
      </c>
      <c r="G1155" s="3">
        <v>0</v>
      </c>
      <c r="H1155" s="3">
        <f t="shared" si="298"/>
        <v>0</v>
      </c>
      <c r="I1155" s="3">
        <v>0</v>
      </c>
      <c r="J1155" s="3">
        <v>0</v>
      </c>
      <c r="K1155" s="4">
        <v>0</v>
      </c>
      <c r="L1155" s="3">
        <v>0</v>
      </c>
      <c r="M1155" s="3">
        <v>613.20000000000005</v>
      </c>
      <c r="N1155" s="3">
        <f t="shared" ref="N1155:N1158" si="301">M1155*5500</f>
        <v>3372600.0000000005</v>
      </c>
      <c r="O1155" s="3">
        <v>0</v>
      </c>
      <c r="P1155" s="3">
        <v>0</v>
      </c>
      <c r="Q1155" s="3">
        <v>0</v>
      </c>
      <c r="R1155" s="3">
        <v>0</v>
      </c>
      <c r="S1155" s="3">
        <v>0</v>
      </c>
      <c r="T1155" s="3">
        <v>0</v>
      </c>
      <c r="U1155" s="3">
        <v>0</v>
      </c>
      <c r="V1155" s="5">
        <f t="shared" ref="V1155:V1159" si="302">N1155/M1155</f>
        <v>5500</v>
      </c>
    </row>
    <row r="1156" spans="1:22" ht="27" customHeight="1" x14ac:dyDescent="0.25">
      <c r="A1156" s="15" t="s">
        <v>1930</v>
      </c>
      <c r="B1156" s="24" t="s">
        <v>332</v>
      </c>
      <c r="C1156" s="2">
        <f t="shared" si="299"/>
        <v>3372600.0000000005</v>
      </c>
      <c r="D1156" s="3">
        <f t="shared" si="300"/>
        <v>0</v>
      </c>
      <c r="E1156" s="3">
        <v>0</v>
      </c>
      <c r="F1156" s="3">
        <v>0</v>
      </c>
      <c r="G1156" s="3">
        <v>0</v>
      </c>
      <c r="H1156" s="3">
        <f t="shared" si="298"/>
        <v>0</v>
      </c>
      <c r="I1156" s="3">
        <v>0</v>
      </c>
      <c r="J1156" s="3">
        <v>0</v>
      </c>
      <c r="K1156" s="4">
        <v>0</v>
      </c>
      <c r="L1156" s="3">
        <v>0</v>
      </c>
      <c r="M1156" s="3">
        <v>613.20000000000005</v>
      </c>
      <c r="N1156" s="3">
        <f t="shared" si="301"/>
        <v>3372600.0000000005</v>
      </c>
      <c r="O1156" s="3">
        <v>0</v>
      </c>
      <c r="P1156" s="3">
        <v>0</v>
      </c>
      <c r="Q1156" s="3">
        <v>0</v>
      </c>
      <c r="R1156" s="3">
        <f t="shared" ref="R1156" si="303">Q1156*3000</f>
        <v>0</v>
      </c>
      <c r="S1156" s="3">
        <v>0</v>
      </c>
      <c r="T1156" s="3">
        <v>0</v>
      </c>
      <c r="U1156" s="3">
        <v>0</v>
      </c>
      <c r="V1156" s="5">
        <f t="shared" si="302"/>
        <v>5500</v>
      </c>
    </row>
    <row r="1157" spans="1:22" ht="27" customHeight="1" x14ac:dyDescent="0.25">
      <c r="A1157" s="15" t="s">
        <v>1931</v>
      </c>
      <c r="B1157" s="24" t="s">
        <v>333</v>
      </c>
      <c r="C1157" s="2">
        <f t="shared" si="299"/>
        <v>4897500</v>
      </c>
      <c r="D1157" s="3">
        <f t="shared" si="300"/>
        <v>1524900</v>
      </c>
      <c r="E1157" s="3">
        <f>350*782</f>
        <v>273700</v>
      </c>
      <c r="F1157" s="3">
        <f>1050*782</f>
        <v>821100</v>
      </c>
      <c r="G1157" s="3">
        <f>300*782</f>
        <v>234600</v>
      </c>
      <c r="H1157" s="3">
        <f t="shared" si="298"/>
        <v>0</v>
      </c>
      <c r="I1157" s="3">
        <f>250*782</f>
        <v>195500</v>
      </c>
      <c r="J1157" s="3">
        <v>0</v>
      </c>
      <c r="K1157" s="4">
        <v>0</v>
      </c>
      <c r="L1157" s="3">
        <v>0</v>
      </c>
      <c r="M1157" s="3">
        <v>613.20000000000005</v>
      </c>
      <c r="N1157" s="3">
        <f t="shared" si="301"/>
        <v>3372600.0000000005</v>
      </c>
      <c r="O1157" s="3">
        <v>0</v>
      </c>
      <c r="P1157" s="3">
        <v>0</v>
      </c>
      <c r="Q1157" s="3">
        <v>0</v>
      </c>
      <c r="R1157" s="3">
        <v>0</v>
      </c>
      <c r="S1157" s="3">
        <v>0</v>
      </c>
      <c r="T1157" s="3">
        <v>0</v>
      </c>
      <c r="U1157" s="3">
        <v>0</v>
      </c>
      <c r="V1157" s="5">
        <f t="shared" si="302"/>
        <v>5500</v>
      </c>
    </row>
    <row r="1158" spans="1:22" ht="27" customHeight="1" x14ac:dyDescent="0.25">
      <c r="A1158" s="15" t="s">
        <v>1986</v>
      </c>
      <c r="B1158" s="24" t="s">
        <v>334</v>
      </c>
      <c r="C1158" s="2">
        <f t="shared" si="299"/>
        <v>4935600</v>
      </c>
      <c r="D1158" s="3">
        <f t="shared" si="300"/>
        <v>1536600</v>
      </c>
      <c r="E1158" s="3">
        <f>350*788</f>
        <v>275800</v>
      </c>
      <c r="F1158" s="3">
        <f>1050*788</f>
        <v>827400</v>
      </c>
      <c r="G1158" s="3">
        <f>300*788</f>
        <v>236400</v>
      </c>
      <c r="H1158" s="3">
        <f t="shared" si="298"/>
        <v>0</v>
      </c>
      <c r="I1158" s="3">
        <f>250*788</f>
        <v>197000</v>
      </c>
      <c r="J1158" s="3">
        <v>0</v>
      </c>
      <c r="K1158" s="4">
        <v>0</v>
      </c>
      <c r="L1158" s="3">
        <v>0</v>
      </c>
      <c r="M1158" s="3">
        <v>618</v>
      </c>
      <c r="N1158" s="3">
        <f t="shared" si="301"/>
        <v>3399000</v>
      </c>
      <c r="O1158" s="3">
        <v>0</v>
      </c>
      <c r="P1158" s="3">
        <v>0</v>
      </c>
      <c r="Q1158" s="3">
        <v>0</v>
      </c>
      <c r="R1158" s="3">
        <f t="shared" ref="R1158" si="304">Q1158*3000</f>
        <v>0</v>
      </c>
      <c r="S1158" s="3">
        <v>0</v>
      </c>
      <c r="T1158" s="3">
        <v>0</v>
      </c>
      <c r="U1158" s="3">
        <v>0</v>
      </c>
      <c r="V1158" s="5">
        <f t="shared" si="302"/>
        <v>5500</v>
      </c>
    </row>
    <row r="1159" spans="1:22" ht="27" customHeight="1" x14ac:dyDescent="0.25">
      <c r="A1159" s="15" t="s">
        <v>1932</v>
      </c>
      <c r="B1159" s="24" t="s">
        <v>335</v>
      </c>
      <c r="C1159" s="2">
        <f t="shared" si="299"/>
        <v>5086000</v>
      </c>
      <c r="D1159" s="3">
        <f t="shared" si="300"/>
        <v>1027000</v>
      </c>
      <c r="E1159" s="3">
        <f>700*790</f>
        <v>553000</v>
      </c>
      <c r="F1159" s="3">
        <v>0</v>
      </c>
      <c r="G1159" s="3">
        <f>300*790</f>
        <v>237000</v>
      </c>
      <c r="H1159" s="3">
        <f t="shared" si="298"/>
        <v>0</v>
      </c>
      <c r="I1159" s="3">
        <f>300*790</f>
        <v>237000</v>
      </c>
      <c r="J1159" s="3">
        <v>0</v>
      </c>
      <c r="K1159" s="4">
        <v>0</v>
      </c>
      <c r="L1159" s="3">
        <v>0</v>
      </c>
      <c r="M1159" s="3">
        <v>615</v>
      </c>
      <c r="N1159" s="3">
        <f>M1159*6600</f>
        <v>4059000</v>
      </c>
      <c r="O1159" s="3">
        <v>0</v>
      </c>
      <c r="P1159" s="3">
        <v>0</v>
      </c>
      <c r="Q1159" s="3">
        <v>0</v>
      </c>
      <c r="R1159" s="3">
        <v>0</v>
      </c>
      <c r="S1159" s="3">
        <v>0</v>
      </c>
      <c r="T1159" s="3">
        <v>0</v>
      </c>
      <c r="U1159" s="3">
        <v>0</v>
      </c>
      <c r="V1159" s="5">
        <f t="shared" si="302"/>
        <v>6600</v>
      </c>
    </row>
    <row r="1160" spans="1:22" ht="27" customHeight="1" x14ac:dyDescent="0.25">
      <c r="A1160" s="15" t="s">
        <v>1933</v>
      </c>
      <c r="B1160" s="24" t="s">
        <v>336</v>
      </c>
      <c r="C1160" s="2">
        <f>D1160+L1160+N1160+P1160+R1160+S1160+T1160+U1160</f>
        <v>400000</v>
      </c>
      <c r="D1160" s="3">
        <f t="shared" si="297"/>
        <v>0</v>
      </c>
      <c r="E1160" s="3">
        <v>0</v>
      </c>
      <c r="F1160" s="3">
        <v>0</v>
      </c>
      <c r="G1160" s="3">
        <v>0</v>
      </c>
      <c r="H1160" s="3">
        <v>0</v>
      </c>
      <c r="I1160" s="3">
        <v>0</v>
      </c>
      <c r="J1160" s="3">
        <v>0</v>
      </c>
      <c r="K1160" s="4">
        <v>0</v>
      </c>
      <c r="L1160" s="3">
        <v>0</v>
      </c>
      <c r="M1160" s="3">
        <v>0</v>
      </c>
      <c r="N1160" s="3">
        <v>0</v>
      </c>
      <c r="O1160" s="3">
        <v>0</v>
      </c>
      <c r="P1160" s="3">
        <v>0</v>
      </c>
      <c r="Q1160" s="3">
        <v>0</v>
      </c>
      <c r="R1160" s="3">
        <f>Q1160*3000</f>
        <v>0</v>
      </c>
      <c r="S1160" s="3">
        <v>0</v>
      </c>
      <c r="T1160" s="3">
        <v>0</v>
      </c>
      <c r="U1160" s="3">
        <v>400000</v>
      </c>
      <c r="V1160" s="5" t="e">
        <f>N1160/M1160</f>
        <v>#DIV/0!</v>
      </c>
    </row>
    <row r="1161" spans="1:22" ht="27" customHeight="1" x14ac:dyDescent="0.25">
      <c r="A1161" s="15" t="s">
        <v>1934</v>
      </c>
      <c r="B1161" s="24" t="s">
        <v>337</v>
      </c>
      <c r="C1161" s="2">
        <f t="shared" ref="C1161:C1162" si="305">D1161+L1161+N1161+P1161+R1161+S1161+T1161+U1161</f>
        <v>2391730</v>
      </c>
      <c r="D1161" s="3">
        <f t="shared" ref="D1161:D1162" si="306">SUM(E1161:J1161)</f>
        <v>252230</v>
      </c>
      <c r="E1161" s="3">
        <v>0</v>
      </c>
      <c r="F1161" s="3">
        <v>0</v>
      </c>
      <c r="G1161" s="3">
        <f>300*458.6</f>
        <v>137580</v>
      </c>
      <c r="H1161" s="3">
        <f>400*0</f>
        <v>0</v>
      </c>
      <c r="I1161" s="3">
        <f>250*458.6</f>
        <v>114650</v>
      </c>
      <c r="J1161" s="3">
        <v>0</v>
      </c>
      <c r="K1161" s="4">
        <v>0</v>
      </c>
      <c r="L1161" s="3">
        <v>0</v>
      </c>
      <c r="M1161" s="3">
        <v>389</v>
      </c>
      <c r="N1161" s="3">
        <f t="shared" ref="N1161:N1162" si="307">M1161*5500</f>
        <v>2139500</v>
      </c>
      <c r="O1161" s="3">
        <v>0</v>
      </c>
      <c r="P1161" s="3">
        <v>0</v>
      </c>
      <c r="Q1161" s="3">
        <v>0</v>
      </c>
      <c r="R1161" s="3">
        <v>0</v>
      </c>
      <c r="S1161" s="3">
        <v>0</v>
      </c>
      <c r="T1161" s="3">
        <v>0</v>
      </c>
      <c r="U1161" s="3">
        <v>0</v>
      </c>
      <c r="V1161" s="5">
        <f t="shared" ref="V1161:V1162" si="308">N1161/M1161</f>
        <v>5500</v>
      </c>
    </row>
    <row r="1162" spans="1:22" ht="27" customHeight="1" x14ac:dyDescent="0.25">
      <c r="A1162" s="15" t="s">
        <v>1935</v>
      </c>
      <c r="B1162" s="24" t="s">
        <v>338</v>
      </c>
      <c r="C1162" s="2">
        <f t="shared" si="305"/>
        <v>5413840</v>
      </c>
      <c r="D1162" s="3">
        <f t="shared" si="306"/>
        <v>1651840</v>
      </c>
      <c r="E1162" s="3">
        <v>0</v>
      </c>
      <c r="F1162" s="3">
        <f>1050*1032.4</f>
        <v>1084020</v>
      </c>
      <c r="G1162" s="3">
        <f>300*1032.4</f>
        <v>309720</v>
      </c>
      <c r="H1162" s="3">
        <f>400*0</f>
        <v>0</v>
      </c>
      <c r="I1162" s="3">
        <f>250*1032.4</f>
        <v>258100.00000000003</v>
      </c>
      <c r="J1162" s="3">
        <v>0</v>
      </c>
      <c r="K1162" s="4">
        <v>0</v>
      </c>
      <c r="L1162" s="3">
        <v>0</v>
      </c>
      <c r="M1162" s="3">
        <v>684</v>
      </c>
      <c r="N1162" s="3">
        <f t="shared" si="307"/>
        <v>3762000</v>
      </c>
      <c r="O1162" s="3">
        <v>0</v>
      </c>
      <c r="P1162" s="3">
        <v>0</v>
      </c>
      <c r="Q1162" s="3">
        <v>0</v>
      </c>
      <c r="R1162" s="3">
        <v>0</v>
      </c>
      <c r="S1162" s="3">
        <v>0</v>
      </c>
      <c r="T1162" s="3">
        <v>0</v>
      </c>
      <c r="U1162" s="3">
        <v>0</v>
      </c>
      <c r="V1162" s="5">
        <f t="shared" si="308"/>
        <v>5500</v>
      </c>
    </row>
    <row r="1163" spans="1:22" ht="27" customHeight="1" x14ac:dyDescent="0.25">
      <c r="A1163" s="15" t="s">
        <v>1936</v>
      </c>
      <c r="B1163" s="24" t="s">
        <v>346</v>
      </c>
      <c r="C1163" s="2">
        <f t="shared" si="296"/>
        <v>17269211.989999998</v>
      </c>
      <c r="D1163" s="3">
        <f t="shared" si="297"/>
        <v>5708040</v>
      </c>
      <c r="E1163" s="3">
        <f>700*2195.4</f>
        <v>1536780</v>
      </c>
      <c r="F1163" s="3">
        <f>1300*2195.4</f>
        <v>2854020</v>
      </c>
      <c r="G1163" s="3">
        <f>300*2195.4</f>
        <v>658620</v>
      </c>
      <c r="H1163" s="3">
        <v>0</v>
      </c>
      <c r="I1163" s="3">
        <f>300*2195.4</f>
        <v>658620</v>
      </c>
      <c r="J1163" s="3">
        <v>0</v>
      </c>
      <c r="K1163" s="4">
        <v>0</v>
      </c>
      <c r="L1163" s="3">
        <v>0</v>
      </c>
      <c r="M1163" s="3">
        <v>921</v>
      </c>
      <c r="N1163" s="3">
        <f t="shared" ref="N1163:N1168" si="309">M1163*6600</f>
        <v>6078600</v>
      </c>
      <c r="O1163" s="3">
        <v>0</v>
      </c>
      <c r="P1163" s="3">
        <v>0</v>
      </c>
      <c r="Q1163" s="3">
        <v>1641</v>
      </c>
      <c r="R1163" s="3">
        <f t="shared" ref="R1163:R1176" si="310">Q1163*3200</f>
        <v>5251200</v>
      </c>
      <c r="S1163" s="3">
        <v>0</v>
      </c>
      <c r="T1163" s="3">
        <v>0</v>
      </c>
      <c r="U1163" s="3">
        <v>231371.99</v>
      </c>
      <c r="V1163" s="5">
        <f>N1163/M1163</f>
        <v>6600</v>
      </c>
    </row>
    <row r="1164" spans="1:22" ht="27" customHeight="1" x14ac:dyDescent="0.25">
      <c r="A1164" s="15" t="s">
        <v>1937</v>
      </c>
      <c r="B1164" s="24" t="s">
        <v>347</v>
      </c>
      <c r="C1164" s="2">
        <f t="shared" si="296"/>
        <v>17269211.989999998</v>
      </c>
      <c r="D1164" s="3">
        <f t="shared" si="297"/>
        <v>5708040</v>
      </c>
      <c r="E1164" s="3">
        <f>700*2195.4</f>
        <v>1536780</v>
      </c>
      <c r="F1164" s="3">
        <f>1300*2195.4</f>
        <v>2854020</v>
      </c>
      <c r="G1164" s="3">
        <f>300*2195.4</f>
        <v>658620</v>
      </c>
      <c r="H1164" s="3">
        <v>0</v>
      </c>
      <c r="I1164" s="3">
        <f>300*2195.4</f>
        <v>658620</v>
      </c>
      <c r="J1164" s="3">
        <v>0</v>
      </c>
      <c r="K1164" s="4">
        <v>0</v>
      </c>
      <c r="L1164" s="3">
        <v>0</v>
      </c>
      <c r="M1164" s="3">
        <v>921</v>
      </c>
      <c r="N1164" s="3">
        <f t="shared" si="309"/>
        <v>6078600</v>
      </c>
      <c r="O1164" s="3">
        <v>0</v>
      </c>
      <c r="P1164" s="3">
        <v>0</v>
      </c>
      <c r="Q1164" s="3">
        <v>1641</v>
      </c>
      <c r="R1164" s="3">
        <f t="shared" si="310"/>
        <v>5251200</v>
      </c>
      <c r="S1164" s="3">
        <v>0</v>
      </c>
      <c r="T1164" s="3">
        <v>0</v>
      </c>
      <c r="U1164" s="3">
        <v>231371.99</v>
      </c>
      <c r="V1164" s="5">
        <f>N1164/M1164</f>
        <v>6600</v>
      </c>
    </row>
    <row r="1165" spans="1:22" ht="27" customHeight="1" x14ac:dyDescent="0.25">
      <c r="A1165" s="15" t="s">
        <v>1938</v>
      </c>
      <c r="B1165" s="24" t="s">
        <v>348</v>
      </c>
      <c r="C1165" s="2">
        <f t="shared" si="296"/>
        <v>17268571.989999998</v>
      </c>
      <c r="D1165" s="3">
        <f t="shared" si="297"/>
        <v>5708040</v>
      </c>
      <c r="E1165" s="3">
        <f>700*2195.4</f>
        <v>1536780</v>
      </c>
      <c r="F1165" s="3">
        <f>1300*2195.4</f>
        <v>2854020</v>
      </c>
      <c r="G1165" s="3">
        <f>300*2195.4</f>
        <v>658620</v>
      </c>
      <c r="H1165" s="3">
        <v>0</v>
      </c>
      <c r="I1165" s="3">
        <f>300*2195.4</f>
        <v>658620</v>
      </c>
      <c r="J1165" s="3">
        <v>0</v>
      </c>
      <c r="K1165" s="4">
        <v>0</v>
      </c>
      <c r="L1165" s="3">
        <v>0</v>
      </c>
      <c r="M1165" s="3">
        <v>921</v>
      </c>
      <c r="N1165" s="3">
        <f t="shared" si="309"/>
        <v>6078600</v>
      </c>
      <c r="O1165" s="3">
        <v>0</v>
      </c>
      <c r="P1165" s="3">
        <v>0</v>
      </c>
      <c r="Q1165" s="3">
        <v>1640.8</v>
      </c>
      <c r="R1165" s="3">
        <f t="shared" si="310"/>
        <v>5250560</v>
      </c>
      <c r="S1165" s="3">
        <v>0</v>
      </c>
      <c r="T1165" s="3">
        <v>0</v>
      </c>
      <c r="U1165" s="3">
        <v>231371.99</v>
      </c>
      <c r="V1165" s="5">
        <f>N1165/M1165</f>
        <v>6600</v>
      </c>
    </row>
    <row r="1166" spans="1:22" ht="27" customHeight="1" x14ac:dyDescent="0.25">
      <c r="A1166" s="15" t="s">
        <v>1939</v>
      </c>
      <c r="B1166" s="24" t="s">
        <v>342</v>
      </c>
      <c r="C1166" s="2">
        <f t="shared" si="296"/>
        <v>6604899.3099999996</v>
      </c>
      <c r="D1166" s="3">
        <f t="shared" ref="D1166:D1176" si="311">SUM(E1166:J1166)</f>
        <v>2019899.9999999998</v>
      </c>
      <c r="E1166" s="3">
        <f>700*673.3</f>
        <v>471309.99999999994</v>
      </c>
      <c r="F1166" s="3">
        <f>1300*673.3</f>
        <v>875289.99999999988</v>
      </c>
      <c r="G1166" s="3">
        <f>300*673.3</f>
        <v>201990</v>
      </c>
      <c r="H1166" s="3">
        <f>400*673.3</f>
        <v>269320</v>
      </c>
      <c r="I1166" s="3">
        <f>300*673.3</f>
        <v>201990</v>
      </c>
      <c r="J1166" s="3">
        <v>0</v>
      </c>
      <c r="K1166" s="4">
        <v>0</v>
      </c>
      <c r="L1166" s="3">
        <v>0</v>
      </c>
      <c r="M1166" s="3">
        <v>400</v>
      </c>
      <c r="N1166" s="3">
        <f t="shared" si="309"/>
        <v>2640000</v>
      </c>
      <c r="O1166" s="3">
        <v>0</v>
      </c>
      <c r="P1166" s="3">
        <v>0</v>
      </c>
      <c r="Q1166" s="3">
        <v>564.70000000000005</v>
      </c>
      <c r="R1166" s="3">
        <f t="shared" si="310"/>
        <v>1807040.0000000002</v>
      </c>
      <c r="S1166" s="3">
        <v>0</v>
      </c>
      <c r="T1166" s="3">
        <v>0</v>
      </c>
      <c r="U1166" s="3">
        <v>137959.31</v>
      </c>
      <c r="V1166" s="5">
        <f t="shared" ref="V1166:V1176" si="312">N1166/M1166</f>
        <v>6600</v>
      </c>
    </row>
    <row r="1167" spans="1:22" ht="27" customHeight="1" x14ac:dyDescent="0.25">
      <c r="A1167" s="15" t="s">
        <v>1940</v>
      </c>
      <c r="B1167" s="24" t="s">
        <v>343</v>
      </c>
      <c r="C1167" s="2">
        <f t="shared" si="296"/>
        <v>15367551.16</v>
      </c>
      <c r="D1167" s="3">
        <f t="shared" si="311"/>
        <v>4949880</v>
      </c>
      <c r="E1167" s="3">
        <f>700*1903.8</f>
        <v>1332660</v>
      </c>
      <c r="F1167" s="3">
        <f>1300*1903.8</f>
        <v>2474940</v>
      </c>
      <c r="G1167" s="3">
        <f>300*1903.8</f>
        <v>571140</v>
      </c>
      <c r="H1167" s="3">
        <v>0</v>
      </c>
      <c r="I1167" s="3">
        <f>300*1903.8</f>
        <v>571140</v>
      </c>
      <c r="J1167" s="3">
        <v>0</v>
      </c>
      <c r="K1167" s="4">
        <v>0</v>
      </c>
      <c r="L1167" s="3">
        <v>0</v>
      </c>
      <c r="M1167" s="3">
        <v>848.7</v>
      </c>
      <c r="N1167" s="3">
        <f t="shared" si="309"/>
        <v>5601420</v>
      </c>
      <c r="O1167" s="3">
        <v>0</v>
      </c>
      <c r="P1167" s="3">
        <v>0</v>
      </c>
      <c r="Q1167" s="3">
        <v>1432.2</v>
      </c>
      <c r="R1167" s="3">
        <f t="shared" si="310"/>
        <v>4583040</v>
      </c>
      <c r="S1167" s="3">
        <v>0</v>
      </c>
      <c r="T1167" s="3">
        <v>0</v>
      </c>
      <c r="U1167" s="3">
        <v>233211.16</v>
      </c>
      <c r="V1167" s="5">
        <f t="shared" si="312"/>
        <v>6600</v>
      </c>
    </row>
    <row r="1168" spans="1:22" ht="27" customHeight="1" x14ac:dyDescent="0.25">
      <c r="A1168" s="15" t="s">
        <v>1941</v>
      </c>
      <c r="B1168" s="24" t="s">
        <v>344</v>
      </c>
      <c r="C1168" s="2">
        <f t="shared" si="296"/>
        <v>11880611.16</v>
      </c>
      <c r="D1168" s="3">
        <f t="shared" si="311"/>
        <v>3640000</v>
      </c>
      <c r="E1168" s="3">
        <f>700*1400</f>
        <v>980000</v>
      </c>
      <c r="F1168" s="3">
        <f>1300*1400</f>
        <v>1820000</v>
      </c>
      <c r="G1168" s="3">
        <f>300*1400</f>
        <v>420000</v>
      </c>
      <c r="H1168" s="3">
        <v>0</v>
      </c>
      <c r="I1168" s="3">
        <f>300*1400</f>
        <v>420000</v>
      </c>
      <c r="J1168" s="3">
        <v>0</v>
      </c>
      <c r="K1168" s="4">
        <v>0</v>
      </c>
      <c r="L1168" s="3">
        <v>0</v>
      </c>
      <c r="M1168" s="3">
        <v>800</v>
      </c>
      <c r="N1168" s="3">
        <f t="shared" si="309"/>
        <v>5280000</v>
      </c>
      <c r="O1168" s="3">
        <v>0</v>
      </c>
      <c r="P1168" s="3">
        <v>0</v>
      </c>
      <c r="Q1168" s="3">
        <v>872</v>
      </c>
      <c r="R1168" s="3">
        <f t="shared" si="310"/>
        <v>2790400</v>
      </c>
      <c r="S1168" s="3">
        <v>0</v>
      </c>
      <c r="T1168" s="3">
        <v>0</v>
      </c>
      <c r="U1168" s="3">
        <v>170211.16</v>
      </c>
      <c r="V1168" s="5">
        <f t="shared" si="312"/>
        <v>6600</v>
      </c>
    </row>
    <row r="1169" spans="1:22" ht="27" customHeight="1" x14ac:dyDescent="0.25">
      <c r="A1169" s="15" t="s">
        <v>1942</v>
      </c>
      <c r="B1169" s="24" t="s">
        <v>345</v>
      </c>
      <c r="C1169" s="2">
        <f t="shared" si="296"/>
        <v>5672203.2699999996</v>
      </c>
      <c r="D1169" s="3">
        <f t="shared" si="311"/>
        <v>2476240</v>
      </c>
      <c r="E1169" s="3">
        <f>700*952.4</f>
        <v>666680</v>
      </c>
      <c r="F1169" s="3">
        <f>1300*952.4</f>
        <v>1238120</v>
      </c>
      <c r="G1169" s="3">
        <f>300*952.4</f>
        <v>285720</v>
      </c>
      <c r="H1169" s="3">
        <v>0</v>
      </c>
      <c r="I1169" s="3">
        <f>300*952.4</f>
        <v>285720</v>
      </c>
      <c r="J1169" s="3">
        <v>0</v>
      </c>
      <c r="K1169" s="4">
        <v>0</v>
      </c>
      <c r="L1169" s="3">
        <v>0</v>
      </c>
      <c r="M1169" s="3">
        <v>0</v>
      </c>
      <c r="N1169" s="3">
        <v>0</v>
      </c>
      <c r="O1169" s="3">
        <v>0</v>
      </c>
      <c r="P1169" s="3">
        <v>0</v>
      </c>
      <c r="Q1169" s="3">
        <v>950</v>
      </c>
      <c r="R1169" s="3">
        <f t="shared" si="310"/>
        <v>3040000</v>
      </c>
      <c r="S1169" s="3">
        <v>0</v>
      </c>
      <c r="T1169" s="3">
        <v>0</v>
      </c>
      <c r="U1169" s="3">
        <v>155963.26999999999</v>
      </c>
      <c r="V1169" s="5" t="e">
        <f t="shared" si="312"/>
        <v>#DIV/0!</v>
      </c>
    </row>
    <row r="1170" spans="1:22" ht="27" customHeight="1" x14ac:dyDescent="0.25">
      <c r="A1170" s="15" t="s">
        <v>1943</v>
      </c>
      <c r="B1170" s="24" t="s">
        <v>349</v>
      </c>
      <c r="C1170" s="2">
        <f t="shared" si="296"/>
        <v>8368197.0700000003</v>
      </c>
      <c r="D1170" s="3">
        <f t="shared" si="311"/>
        <v>2020720</v>
      </c>
      <c r="E1170" s="3">
        <f>700*777.2</f>
        <v>544040</v>
      </c>
      <c r="F1170" s="3">
        <f>1300*777.2</f>
        <v>1010360.0000000001</v>
      </c>
      <c r="G1170" s="3">
        <f>300*777.2</f>
        <v>233160</v>
      </c>
      <c r="H1170" s="3">
        <v>0</v>
      </c>
      <c r="I1170" s="3">
        <f>300*777.2</f>
        <v>233160</v>
      </c>
      <c r="J1170" s="3">
        <v>0</v>
      </c>
      <c r="K1170" s="4">
        <v>0</v>
      </c>
      <c r="L1170" s="3">
        <v>0</v>
      </c>
      <c r="M1170" s="3">
        <v>560.29999999999995</v>
      </c>
      <c r="N1170" s="3">
        <f>M1170*6600</f>
        <v>3697979.9999999995</v>
      </c>
      <c r="O1170" s="3">
        <v>0</v>
      </c>
      <c r="P1170" s="3">
        <v>0</v>
      </c>
      <c r="Q1170" s="3">
        <v>784</v>
      </c>
      <c r="R1170" s="3">
        <f t="shared" si="310"/>
        <v>2508800</v>
      </c>
      <c r="S1170" s="3">
        <v>0</v>
      </c>
      <c r="T1170" s="3">
        <v>0</v>
      </c>
      <c r="U1170" s="3">
        <v>140697.07</v>
      </c>
      <c r="V1170" s="5">
        <f t="shared" si="312"/>
        <v>6600</v>
      </c>
    </row>
    <row r="1171" spans="1:22" ht="27" customHeight="1" x14ac:dyDescent="0.25">
      <c r="A1171" s="15" t="s">
        <v>1944</v>
      </c>
      <c r="B1171" s="24" t="s">
        <v>350</v>
      </c>
      <c r="C1171" s="2">
        <f t="shared" si="296"/>
        <v>8432434.8499999996</v>
      </c>
      <c r="D1171" s="3">
        <f t="shared" si="311"/>
        <v>2026700</v>
      </c>
      <c r="E1171" s="3">
        <f>700*779.5</f>
        <v>545650</v>
      </c>
      <c r="F1171" s="3">
        <f>1300*779.5</f>
        <v>1013350</v>
      </c>
      <c r="G1171" s="3">
        <f>300*779.5</f>
        <v>233850</v>
      </c>
      <c r="H1171" s="3">
        <v>0</v>
      </c>
      <c r="I1171" s="3">
        <f>300*779.5</f>
        <v>233850</v>
      </c>
      <c r="J1171" s="3">
        <v>0</v>
      </c>
      <c r="K1171" s="4">
        <v>0</v>
      </c>
      <c r="L1171" s="3">
        <v>0</v>
      </c>
      <c r="M1171" s="3">
        <v>569</v>
      </c>
      <c r="N1171" s="3">
        <f>M1171*6600</f>
        <v>3755400</v>
      </c>
      <c r="O1171" s="3">
        <v>0</v>
      </c>
      <c r="P1171" s="3">
        <v>0</v>
      </c>
      <c r="Q1171" s="3">
        <v>784</v>
      </c>
      <c r="R1171" s="3">
        <f t="shared" si="310"/>
        <v>2508800</v>
      </c>
      <c r="S1171" s="3">
        <v>0</v>
      </c>
      <c r="T1171" s="3">
        <v>0</v>
      </c>
      <c r="U1171" s="3">
        <v>141534.85</v>
      </c>
      <c r="V1171" s="5">
        <f t="shared" si="312"/>
        <v>6600</v>
      </c>
    </row>
    <row r="1172" spans="1:22" ht="27" customHeight="1" x14ac:dyDescent="0.25">
      <c r="A1172" s="15" t="s">
        <v>1945</v>
      </c>
      <c r="B1172" s="24" t="s">
        <v>351</v>
      </c>
      <c r="C1172" s="2">
        <f t="shared" si="296"/>
        <v>8319938.4500000002</v>
      </c>
      <c r="D1172" s="3">
        <f t="shared" si="311"/>
        <v>2026700</v>
      </c>
      <c r="E1172" s="3">
        <f>700*779.5</f>
        <v>545650</v>
      </c>
      <c r="F1172" s="3">
        <f>1300*779.5</f>
        <v>1013350</v>
      </c>
      <c r="G1172" s="3">
        <f>300*779.5</f>
        <v>233850</v>
      </c>
      <c r="H1172" s="3">
        <v>0</v>
      </c>
      <c r="I1172" s="3">
        <f>300*779.5</f>
        <v>233850</v>
      </c>
      <c r="J1172" s="3">
        <v>0</v>
      </c>
      <c r="K1172" s="4">
        <v>0</v>
      </c>
      <c r="L1172" s="3">
        <v>0</v>
      </c>
      <c r="M1172" s="3">
        <v>561.29999999999995</v>
      </c>
      <c r="N1172" s="3">
        <f>M1172*6600</f>
        <v>3704579.9999999995</v>
      </c>
      <c r="O1172" s="3">
        <v>0</v>
      </c>
      <c r="P1172" s="3">
        <v>0</v>
      </c>
      <c r="Q1172" s="3">
        <v>755</v>
      </c>
      <c r="R1172" s="3">
        <f t="shared" si="310"/>
        <v>2416000</v>
      </c>
      <c r="S1172" s="3">
        <v>0</v>
      </c>
      <c r="T1172" s="3">
        <v>0</v>
      </c>
      <c r="U1172" s="3">
        <v>172658.45</v>
      </c>
      <c r="V1172" s="5">
        <f t="shared" si="312"/>
        <v>6600</v>
      </c>
    </row>
    <row r="1173" spans="1:22" ht="27" customHeight="1" x14ac:dyDescent="0.25">
      <c r="A1173" s="15" t="s">
        <v>1946</v>
      </c>
      <c r="B1173" s="24" t="s">
        <v>352</v>
      </c>
      <c r="C1173" s="2">
        <f t="shared" si="296"/>
        <v>8292878.4500000002</v>
      </c>
      <c r="D1173" s="3">
        <f t="shared" si="311"/>
        <v>2026700</v>
      </c>
      <c r="E1173" s="3">
        <f>700*779.5</f>
        <v>545650</v>
      </c>
      <c r="F1173" s="3">
        <f>1300*779.5</f>
        <v>1013350</v>
      </c>
      <c r="G1173" s="3">
        <f>300*779.5</f>
        <v>233850</v>
      </c>
      <c r="H1173" s="3">
        <v>0</v>
      </c>
      <c r="I1173" s="3">
        <f>300*779.5</f>
        <v>233850</v>
      </c>
      <c r="J1173" s="3">
        <v>0</v>
      </c>
      <c r="K1173" s="4">
        <v>0</v>
      </c>
      <c r="L1173" s="3">
        <v>0</v>
      </c>
      <c r="M1173" s="3">
        <v>557.20000000000005</v>
      </c>
      <c r="N1173" s="3">
        <f>M1173*6600</f>
        <v>3677520.0000000005</v>
      </c>
      <c r="O1173" s="3">
        <v>0</v>
      </c>
      <c r="P1173" s="3">
        <v>0</v>
      </c>
      <c r="Q1173" s="3">
        <v>755</v>
      </c>
      <c r="R1173" s="3">
        <f t="shared" si="310"/>
        <v>2416000</v>
      </c>
      <c r="S1173" s="3">
        <v>0</v>
      </c>
      <c r="T1173" s="3">
        <v>0</v>
      </c>
      <c r="U1173" s="3">
        <v>172658.45</v>
      </c>
      <c r="V1173" s="5">
        <f t="shared" si="312"/>
        <v>6600</v>
      </c>
    </row>
    <row r="1174" spans="1:22" ht="27" customHeight="1" x14ac:dyDescent="0.25">
      <c r="A1174" s="15" t="s">
        <v>1947</v>
      </c>
      <c r="B1174" s="33" t="s">
        <v>993</v>
      </c>
      <c r="C1174" s="2">
        <f>D1174+L1174+N1174+P1174+R1174+S1174+T1174+U1174</f>
        <v>5216000</v>
      </c>
      <c r="D1174" s="3">
        <f>SUM(E1174:J1174)</f>
        <v>0</v>
      </c>
      <c r="E1174" s="3">
        <v>0</v>
      </c>
      <c r="F1174" s="3">
        <v>0</v>
      </c>
      <c r="G1174" s="3">
        <v>0</v>
      </c>
      <c r="H1174" s="3">
        <v>0</v>
      </c>
      <c r="I1174" s="3">
        <v>0</v>
      </c>
      <c r="J1174" s="3">
        <v>0</v>
      </c>
      <c r="K1174" s="4">
        <v>0</v>
      </c>
      <c r="L1174" s="3">
        <v>0</v>
      </c>
      <c r="M1174" s="3">
        <v>0</v>
      </c>
      <c r="N1174" s="3">
        <v>0</v>
      </c>
      <c r="O1174" s="3">
        <v>0</v>
      </c>
      <c r="P1174" s="3">
        <v>0</v>
      </c>
      <c r="Q1174" s="34">
        <v>1630</v>
      </c>
      <c r="R1174" s="13">
        <f>Q1174*3200</f>
        <v>5216000</v>
      </c>
      <c r="S1174" s="3">
        <v>0</v>
      </c>
      <c r="T1174" s="3">
        <v>0</v>
      </c>
      <c r="U1174" s="3">
        <v>0</v>
      </c>
      <c r="V1174" s="5" t="e">
        <f>N1174/M1174</f>
        <v>#DIV/0!</v>
      </c>
    </row>
    <row r="1175" spans="1:22" ht="27" customHeight="1" x14ac:dyDescent="0.25">
      <c r="A1175" s="15" t="s">
        <v>1948</v>
      </c>
      <c r="B1175" s="33" t="s">
        <v>1810</v>
      </c>
      <c r="C1175" s="2">
        <f>D1175+L1175+N1175+P1175+R1175+S1175+T1175+U1175</f>
        <v>23896100</v>
      </c>
      <c r="D1175" s="3">
        <f>SUM(E1175:J1175)</f>
        <v>23696100</v>
      </c>
      <c r="E1175" s="3">
        <f>700*7898.7</f>
        <v>5529090</v>
      </c>
      <c r="F1175" s="3">
        <f>1300*7898.7</f>
        <v>10268310</v>
      </c>
      <c r="G1175" s="3">
        <f>300*7898.7</f>
        <v>2369610</v>
      </c>
      <c r="H1175" s="3">
        <f>400*7898.7</f>
        <v>3159480</v>
      </c>
      <c r="I1175" s="3">
        <f>300*7898.7</f>
        <v>2369610</v>
      </c>
      <c r="J1175" s="3">
        <v>0</v>
      </c>
      <c r="K1175" s="4">
        <v>0</v>
      </c>
      <c r="L1175" s="3">
        <v>0</v>
      </c>
      <c r="M1175" s="3">
        <v>0</v>
      </c>
      <c r="N1175" s="3">
        <v>0</v>
      </c>
      <c r="O1175" s="3">
        <v>0</v>
      </c>
      <c r="P1175" s="3">
        <v>0</v>
      </c>
      <c r="Q1175" s="34">
        <v>0</v>
      </c>
      <c r="R1175" s="13">
        <v>0</v>
      </c>
      <c r="S1175" s="3">
        <v>0</v>
      </c>
      <c r="T1175" s="3">
        <v>0</v>
      </c>
      <c r="U1175" s="3">
        <v>200000</v>
      </c>
      <c r="V1175" s="5" t="e">
        <f>N1175/M1175</f>
        <v>#DIV/0!</v>
      </c>
    </row>
    <row r="1176" spans="1:22" ht="27" customHeight="1" x14ac:dyDescent="0.25">
      <c r="A1176" s="15" t="s">
        <v>1949</v>
      </c>
      <c r="B1176" s="24" t="s">
        <v>353</v>
      </c>
      <c r="C1176" s="2">
        <f t="shared" si="296"/>
        <v>5983087.7999999998</v>
      </c>
      <c r="D1176" s="3">
        <f t="shared" si="311"/>
        <v>1279460</v>
      </c>
      <c r="E1176" s="3">
        <f>700*492.1</f>
        <v>344470</v>
      </c>
      <c r="F1176" s="3">
        <f>1300*492.1</f>
        <v>639730</v>
      </c>
      <c r="G1176" s="3">
        <f>300*492.1</f>
        <v>147630</v>
      </c>
      <c r="H1176" s="3">
        <v>0</v>
      </c>
      <c r="I1176" s="3">
        <f>300*492.1</f>
        <v>147630</v>
      </c>
      <c r="J1176" s="3">
        <v>0</v>
      </c>
      <c r="K1176" s="4">
        <v>0</v>
      </c>
      <c r="L1176" s="3">
        <v>0</v>
      </c>
      <c r="M1176" s="3">
        <v>405.85</v>
      </c>
      <c r="N1176" s="3">
        <f>M1176*6600</f>
        <v>2678610</v>
      </c>
      <c r="O1176" s="3">
        <v>0</v>
      </c>
      <c r="P1176" s="3">
        <v>0</v>
      </c>
      <c r="Q1176" s="3">
        <v>585</v>
      </c>
      <c r="R1176" s="3">
        <f t="shared" si="310"/>
        <v>1872000</v>
      </c>
      <c r="S1176" s="3">
        <v>0</v>
      </c>
      <c r="T1176" s="3">
        <v>0</v>
      </c>
      <c r="U1176" s="3">
        <v>153017.79999999999</v>
      </c>
      <c r="V1176" s="5">
        <f t="shared" si="312"/>
        <v>6600</v>
      </c>
    </row>
    <row r="1177" spans="1:22" ht="45" customHeight="1" x14ac:dyDescent="0.25">
      <c r="A1177" s="51" t="s">
        <v>931</v>
      </c>
      <c r="B1177" s="51"/>
      <c r="C1177" s="2">
        <f>SUM(C1178:C1180)</f>
        <v>8914400</v>
      </c>
      <c r="D1177" s="2">
        <f t="shared" ref="D1177:U1177" si="313">SUM(D1178:D1180)</f>
        <v>0</v>
      </c>
      <c r="E1177" s="2">
        <f t="shared" si="313"/>
        <v>0</v>
      </c>
      <c r="F1177" s="2">
        <f t="shared" si="313"/>
        <v>0</v>
      </c>
      <c r="G1177" s="2">
        <f t="shared" si="313"/>
        <v>0</v>
      </c>
      <c r="H1177" s="2">
        <f t="shared" si="313"/>
        <v>0</v>
      </c>
      <c r="I1177" s="2">
        <f t="shared" si="313"/>
        <v>0</v>
      </c>
      <c r="J1177" s="2">
        <f t="shared" si="313"/>
        <v>0</v>
      </c>
      <c r="K1177" s="18">
        <f t="shared" si="313"/>
        <v>0</v>
      </c>
      <c r="L1177" s="2">
        <f t="shared" si="313"/>
        <v>0</v>
      </c>
      <c r="M1177" s="2">
        <f t="shared" si="313"/>
        <v>912</v>
      </c>
      <c r="N1177" s="2">
        <f t="shared" si="313"/>
        <v>4058400</v>
      </c>
      <c r="O1177" s="2">
        <f t="shared" si="313"/>
        <v>0</v>
      </c>
      <c r="P1177" s="2">
        <f t="shared" si="313"/>
        <v>0</v>
      </c>
      <c r="Q1177" s="2">
        <f t="shared" si="313"/>
        <v>1330</v>
      </c>
      <c r="R1177" s="2">
        <f t="shared" si="313"/>
        <v>4256000</v>
      </c>
      <c r="S1177" s="2">
        <f t="shared" si="313"/>
        <v>0</v>
      </c>
      <c r="T1177" s="2">
        <f t="shared" si="313"/>
        <v>0</v>
      </c>
      <c r="U1177" s="2">
        <f t="shared" si="313"/>
        <v>600000</v>
      </c>
      <c r="V1177" s="20">
        <f>C1177</f>
        <v>8914400</v>
      </c>
    </row>
    <row r="1178" spans="1:22" ht="25.15" customHeight="1" x14ac:dyDescent="0.25">
      <c r="A1178" s="15" t="s">
        <v>1950</v>
      </c>
      <c r="B1178" s="24" t="s">
        <v>992</v>
      </c>
      <c r="C1178" s="2">
        <f>D1178+L1178+N1178+P1178+R1178+S1178+T1178+U1178</f>
        <v>300000</v>
      </c>
      <c r="D1178" s="3">
        <f>SUM(E1178:J1178)</f>
        <v>0</v>
      </c>
      <c r="E1178" s="3">
        <v>0</v>
      </c>
      <c r="F1178" s="3">
        <v>0</v>
      </c>
      <c r="G1178" s="3">
        <v>0</v>
      </c>
      <c r="H1178" s="3">
        <v>0</v>
      </c>
      <c r="I1178" s="3">
        <v>0</v>
      </c>
      <c r="J1178" s="3">
        <v>0</v>
      </c>
      <c r="K1178" s="4">
        <v>0</v>
      </c>
      <c r="L1178" s="3">
        <v>0</v>
      </c>
      <c r="M1178" s="3">
        <v>0</v>
      </c>
      <c r="N1178" s="3">
        <v>0</v>
      </c>
      <c r="O1178" s="3">
        <v>0</v>
      </c>
      <c r="P1178" s="3">
        <v>0</v>
      </c>
      <c r="Q1178" s="3">
        <v>0</v>
      </c>
      <c r="R1178" s="3">
        <f>Q1178*3200</f>
        <v>0</v>
      </c>
      <c r="S1178" s="3">
        <v>0</v>
      </c>
      <c r="T1178" s="3">
        <v>0</v>
      </c>
      <c r="U1178" s="3">
        <v>300000</v>
      </c>
      <c r="V1178" s="20"/>
    </row>
    <row r="1179" spans="1:22" ht="25.15" customHeight="1" x14ac:dyDescent="0.25">
      <c r="A1179" s="15" t="s">
        <v>1951</v>
      </c>
      <c r="B1179" s="24" t="s">
        <v>932</v>
      </c>
      <c r="C1179" s="2">
        <f>D1179+L1179+N1179+P1179+R1179+S1179+T1179+U1179</f>
        <v>8314400</v>
      </c>
      <c r="D1179" s="3">
        <f>SUM(E1179:J1179)</f>
        <v>0</v>
      </c>
      <c r="E1179" s="3">
        <v>0</v>
      </c>
      <c r="F1179" s="3">
        <v>0</v>
      </c>
      <c r="G1179" s="3">
        <v>0</v>
      </c>
      <c r="H1179" s="3">
        <v>0</v>
      </c>
      <c r="I1179" s="3">
        <v>0</v>
      </c>
      <c r="J1179" s="3">
        <v>0</v>
      </c>
      <c r="K1179" s="4">
        <v>0</v>
      </c>
      <c r="L1179" s="3">
        <v>0</v>
      </c>
      <c r="M1179" s="3">
        <v>912</v>
      </c>
      <c r="N1179" s="3">
        <f>M1179*4450</f>
        <v>4058400</v>
      </c>
      <c r="O1179" s="3">
        <v>0</v>
      </c>
      <c r="P1179" s="3">
        <v>0</v>
      </c>
      <c r="Q1179" s="3">
        <v>1330</v>
      </c>
      <c r="R1179" s="3">
        <f>Q1179*3200</f>
        <v>4256000</v>
      </c>
      <c r="S1179" s="3">
        <v>0</v>
      </c>
      <c r="T1179" s="3">
        <v>0</v>
      </c>
      <c r="U1179" s="3">
        <v>0</v>
      </c>
      <c r="V1179" s="5">
        <f>N1179/M1179</f>
        <v>4450</v>
      </c>
    </row>
    <row r="1180" spans="1:22" ht="25.15" customHeight="1" x14ac:dyDescent="0.25">
      <c r="A1180" s="15" t="s">
        <v>1952</v>
      </c>
      <c r="B1180" s="24" t="s">
        <v>991</v>
      </c>
      <c r="C1180" s="2">
        <f>D1180+L1180+N1180+P1180+R1180+S1180+T1180+U1180</f>
        <v>300000</v>
      </c>
      <c r="D1180" s="3">
        <f>SUM(E1180:J1180)</f>
        <v>0</v>
      </c>
      <c r="E1180" s="3">
        <v>0</v>
      </c>
      <c r="F1180" s="3">
        <v>0</v>
      </c>
      <c r="G1180" s="3">
        <v>0</v>
      </c>
      <c r="H1180" s="3">
        <v>0</v>
      </c>
      <c r="I1180" s="3">
        <v>0</v>
      </c>
      <c r="J1180" s="3">
        <v>0</v>
      </c>
      <c r="K1180" s="4">
        <v>0</v>
      </c>
      <c r="L1180" s="3">
        <v>0</v>
      </c>
      <c r="M1180" s="3">
        <v>0</v>
      </c>
      <c r="N1180" s="3">
        <v>0</v>
      </c>
      <c r="O1180" s="3">
        <v>0</v>
      </c>
      <c r="P1180" s="3">
        <v>0</v>
      </c>
      <c r="Q1180" s="3">
        <v>0</v>
      </c>
      <c r="R1180" s="3">
        <f>Q1180*3200</f>
        <v>0</v>
      </c>
      <c r="S1180" s="3">
        <v>0</v>
      </c>
      <c r="T1180" s="3">
        <v>0</v>
      </c>
      <c r="U1180" s="3">
        <v>300000</v>
      </c>
    </row>
    <row r="1181" spans="1:22" ht="45" customHeight="1" x14ac:dyDescent="0.25">
      <c r="A1181" s="51" t="s">
        <v>356</v>
      </c>
      <c r="B1181" s="51"/>
      <c r="C1181" s="2">
        <f>SUM(C1182)</f>
        <v>3109600</v>
      </c>
      <c r="D1181" s="2">
        <f t="shared" ref="D1181:U1181" si="314">SUM(D1182)</f>
        <v>0</v>
      </c>
      <c r="E1181" s="2">
        <f t="shared" si="314"/>
        <v>0</v>
      </c>
      <c r="F1181" s="2">
        <f t="shared" si="314"/>
        <v>0</v>
      </c>
      <c r="G1181" s="2">
        <f t="shared" si="314"/>
        <v>0</v>
      </c>
      <c r="H1181" s="2">
        <f t="shared" si="314"/>
        <v>0</v>
      </c>
      <c r="I1181" s="2">
        <f t="shared" si="314"/>
        <v>0</v>
      </c>
      <c r="J1181" s="2">
        <f t="shared" si="314"/>
        <v>0</v>
      </c>
      <c r="K1181" s="18">
        <f t="shared" si="314"/>
        <v>0</v>
      </c>
      <c r="L1181" s="2">
        <f t="shared" si="314"/>
        <v>0</v>
      </c>
      <c r="M1181" s="2">
        <f t="shared" si="314"/>
        <v>280</v>
      </c>
      <c r="N1181" s="2">
        <f t="shared" si="314"/>
        <v>1848000</v>
      </c>
      <c r="O1181" s="2">
        <f t="shared" si="314"/>
        <v>0</v>
      </c>
      <c r="P1181" s="2">
        <f t="shared" si="314"/>
        <v>0</v>
      </c>
      <c r="Q1181" s="2">
        <f t="shared" si="314"/>
        <v>363</v>
      </c>
      <c r="R1181" s="2">
        <f t="shared" si="314"/>
        <v>1161600</v>
      </c>
      <c r="S1181" s="2">
        <f t="shared" si="314"/>
        <v>0</v>
      </c>
      <c r="T1181" s="2">
        <f t="shared" si="314"/>
        <v>0</v>
      </c>
      <c r="U1181" s="2">
        <f t="shared" si="314"/>
        <v>100000</v>
      </c>
      <c r="V1181" s="20">
        <f>C1181</f>
        <v>3109600</v>
      </c>
    </row>
    <row r="1182" spans="1:22" ht="25.15" customHeight="1" x14ac:dyDescent="0.25">
      <c r="A1182" s="21" t="s">
        <v>1953</v>
      </c>
      <c r="B1182" s="24" t="s">
        <v>1176</v>
      </c>
      <c r="C1182" s="2">
        <f>D1182+L1182+N1182+P1182+R1182+S1182+T1182+U1182</f>
        <v>3109600</v>
      </c>
      <c r="D1182" s="3">
        <f>SUM(E1182:J1182)</f>
        <v>0</v>
      </c>
      <c r="E1182" s="3">
        <v>0</v>
      </c>
      <c r="F1182" s="3">
        <v>0</v>
      </c>
      <c r="G1182" s="3">
        <v>0</v>
      </c>
      <c r="H1182" s="3">
        <v>0</v>
      </c>
      <c r="I1182" s="3">
        <v>0</v>
      </c>
      <c r="J1182" s="3">
        <v>0</v>
      </c>
      <c r="K1182" s="4">
        <v>0</v>
      </c>
      <c r="L1182" s="3">
        <v>0</v>
      </c>
      <c r="M1182" s="3">
        <v>280</v>
      </c>
      <c r="N1182" s="3">
        <f>M1182*6600</f>
        <v>1848000</v>
      </c>
      <c r="O1182" s="3">
        <v>0</v>
      </c>
      <c r="P1182" s="3">
        <v>0</v>
      </c>
      <c r="Q1182" s="3">
        <v>363</v>
      </c>
      <c r="R1182" s="3">
        <f>Q1182*3200</f>
        <v>1161600</v>
      </c>
      <c r="S1182" s="3">
        <v>0</v>
      </c>
      <c r="T1182" s="3">
        <v>0</v>
      </c>
      <c r="U1182" s="3">
        <v>100000</v>
      </c>
      <c r="V1182" s="5">
        <f>N1182/M1182</f>
        <v>6600</v>
      </c>
    </row>
    <row r="1183" spans="1:22" ht="45" customHeight="1" x14ac:dyDescent="0.25">
      <c r="A1183" s="51" t="s">
        <v>357</v>
      </c>
      <c r="B1183" s="51"/>
      <c r="C1183" s="2">
        <f>SUM(C1184)</f>
        <v>3133400</v>
      </c>
      <c r="D1183" s="2">
        <f t="shared" ref="D1183:U1183" si="315">SUM(D1184)</f>
        <v>0</v>
      </c>
      <c r="E1183" s="2">
        <f t="shared" si="315"/>
        <v>0</v>
      </c>
      <c r="F1183" s="2">
        <f t="shared" si="315"/>
        <v>0</v>
      </c>
      <c r="G1183" s="2">
        <f t="shared" si="315"/>
        <v>0</v>
      </c>
      <c r="H1183" s="2">
        <f t="shared" si="315"/>
        <v>0</v>
      </c>
      <c r="I1183" s="2">
        <f t="shared" si="315"/>
        <v>0</v>
      </c>
      <c r="J1183" s="2">
        <f t="shared" si="315"/>
        <v>0</v>
      </c>
      <c r="K1183" s="18">
        <f t="shared" si="315"/>
        <v>0</v>
      </c>
      <c r="L1183" s="2">
        <f t="shared" si="315"/>
        <v>0</v>
      </c>
      <c r="M1183" s="2">
        <f t="shared" si="315"/>
        <v>255</v>
      </c>
      <c r="N1183" s="2">
        <f t="shared" si="315"/>
        <v>1683000</v>
      </c>
      <c r="O1183" s="2">
        <f t="shared" si="315"/>
        <v>0</v>
      </c>
      <c r="P1183" s="2">
        <f t="shared" si="315"/>
        <v>0</v>
      </c>
      <c r="Q1183" s="2">
        <f t="shared" si="315"/>
        <v>422</v>
      </c>
      <c r="R1183" s="2">
        <f t="shared" si="315"/>
        <v>1350400</v>
      </c>
      <c r="S1183" s="2">
        <f t="shared" si="315"/>
        <v>0</v>
      </c>
      <c r="T1183" s="2">
        <f t="shared" si="315"/>
        <v>0</v>
      </c>
      <c r="U1183" s="2">
        <f t="shared" si="315"/>
        <v>100000</v>
      </c>
      <c r="V1183" s="20">
        <f>C1183</f>
        <v>3133400</v>
      </c>
    </row>
    <row r="1184" spans="1:22" ht="25.15" customHeight="1" x14ac:dyDescent="0.25">
      <c r="A1184" s="21" t="s">
        <v>2016</v>
      </c>
      <c r="B1184" s="24" t="s">
        <v>355</v>
      </c>
      <c r="C1184" s="2">
        <f>D1184+L1184+N1184+P1184+R1184+S1184+T1184+U1184</f>
        <v>3133400</v>
      </c>
      <c r="D1184" s="3">
        <f>SUM(E1184:J1184)</f>
        <v>0</v>
      </c>
      <c r="E1184" s="3">
        <v>0</v>
      </c>
      <c r="F1184" s="3">
        <f>1050*0</f>
        <v>0</v>
      </c>
      <c r="G1184" s="3">
        <f>350*0</f>
        <v>0</v>
      </c>
      <c r="H1184" s="3">
        <f>400*0</f>
        <v>0</v>
      </c>
      <c r="I1184" s="3">
        <f>250*0</f>
        <v>0</v>
      </c>
      <c r="J1184" s="3">
        <v>0</v>
      </c>
      <c r="K1184" s="4">
        <v>0</v>
      </c>
      <c r="L1184" s="3">
        <v>0</v>
      </c>
      <c r="M1184" s="3">
        <v>255</v>
      </c>
      <c r="N1184" s="3">
        <f>M1184*6600</f>
        <v>1683000</v>
      </c>
      <c r="O1184" s="3">
        <v>0</v>
      </c>
      <c r="P1184" s="3">
        <v>0</v>
      </c>
      <c r="Q1184" s="3">
        <v>422</v>
      </c>
      <c r="R1184" s="3">
        <f>Q1184*3200</f>
        <v>1350400</v>
      </c>
      <c r="S1184" s="3">
        <v>0</v>
      </c>
      <c r="T1184" s="3">
        <v>0</v>
      </c>
      <c r="U1184" s="3">
        <v>100000</v>
      </c>
      <c r="V1184" s="5">
        <f>N1184/M1184</f>
        <v>6600</v>
      </c>
    </row>
    <row r="1185" spans="1:21" x14ac:dyDescent="0.25">
      <c r="A1185" s="45"/>
      <c r="B1185" s="6"/>
      <c r="C1185" s="19"/>
      <c r="D1185" s="6"/>
      <c r="E1185" s="6"/>
      <c r="F1185" s="6"/>
      <c r="G1185" s="6"/>
      <c r="H1185" s="6"/>
      <c r="I1185" s="6"/>
      <c r="J1185" s="6"/>
      <c r="K1185" s="46"/>
      <c r="L1185" s="6"/>
      <c r="M1185" s="6"/>
      <c r="N1185" s="6"/>
      <c r="O1185" s="19"/>
      <c r="P1185" s="19"/>
      <c r="Q1185" s="19"/>
      <c r="R1185" s="19"/>
      <c r="S1185" s="19"/>
      <c r="T1185" s="19"/>
      <c r="U1185" s="19"/>
    </row>
    <row r="1186" spans="1:21" x14ac:dyDescent="0.25">
      <c r="A1186" s="45"/>
      <c r="B1186" s="6"/>
      <c r="C1186" s="6"/>
      <c r="D1186" s="6"/>
      <c r="E1186" s="6"/>
      <c r="F1186" s="6"/>
      <c r="G1186" s="6"/>
      <c r="H1186" s="6"/>
      <c r="I1186" s="6"/>
      <c r="J1186" s="6"/>
      <c r="K1186" s="46"/>
      <c r="L1186" s="6"/>
      <c r="M1186" s="6"/>
      <c r="N1186" s="6"/>
      <c r="O1186" s="19"/>
      <c r="P1186" s="19"/>
      <c r="Q1186" s="19"/>
      <c r="R1186" s="19"/>
      <c r="S1186" s="19"/>
      <c r="T1186" s="19"/>
      <c r="U1186" s="19"/>
    </row>
  </sheetData>
  <sortState ref="A616:IX625">
    <sortCondition ref="B616:B625"/>
  </sortState>
  <mergeCells count="161">
    <mergeCell ref="A1183:B1183"/>
    <mergeCell ref="A26:B26"/>
    <mergeCell ref="A116:B116"/>
    <mergeCell ref="A1147:B1147"/>
    <mergeCell ref="A775:B775"/>
    <mergeCell ref="A1115:B1115"/>
    <mergeCell ref="A1127:B1127"/>
    <mergeCell ref="A1112:B1112"/>
    <mergeCell ref="A1145:B1145"/>
    <mergeCell ref="A1181:B1181"/>
    <mergeCell ref="A1151:B1151"/>
    <mergeCell ref="A1129:B1129"/>
    <mergeCell ref="A1134:B1134"/>
    <mergeCell ref="A854:B854"/>
    <mergeCell ref="A859:B859"/>
    <mergeCell ref="A1141:B1141"/>
    <mergeCell ref="A683:B683"/>
    <mergeCell ref="A827:B827"/>
    <mergeCell ref="A808:B808"/>
    <mergeCell ref="A788:B788"/>
    <mergeCell ref="A721:B721"/>
    <mergeCell ref="A818:B818"/>
    <mergeCell ref="A764:B764"/>
    <mergeCell ref="A1136:B1136"/>
    <mergeCell ref="S4:S5"/>
    <mergeCell ref="A244:B244"/>
    <mergeCell ref="A251:B251"/>
    <mergeCell ref="A286:B286"/>
    <mergeCell ref="A68:B68"/>
    <mergeCell ref="A678:B678"/>
    <mergeCell ref="A104:B104"/>
    <mergeCell ref="A114:B114"/>
    <mergeCell ref="A237:B237"/>
    <mergeCell ref="A262:B262"/>
    <mergeCell ref="A242:B242"/>
    <mergeCell ref="A647:B647"/>
    <mergeCell ref="A674:B674"/>
    <mergeCell ref="A418:B418"/>
    <mergeCell ref="A632:B632"/>
    <mergeCell ref="A59:B59"/>
    <mergeCell ref="A66:B66"/>
    <mergeCell ref="A86:B86"/>
    <mergeCell ref="A338:B338"/>
    <mergeCell ref="A96:B96"/>
    <mergeCell ref="A630:B630"/>
    <mergeCell ref="A416:B416"/>
    <mergeCell ref="A399:B399"/>
    <mergeCell ref="A61:B61"/>
    <mergeCell ref="A1117:B1117"/>
    <mergeCell ref="A1177:B1177"/>
    <mergeCell ref="A1149:B1149"/>
    <mergeCell ref="A777:B777"/>
    <mergeCell ref="A727:B727"/>
    <mergeCell ref="A754:B754"/>
    <mergeCell ref="A1110:B1110"/>
    <mergeCell ref="A746:B746"/>
    <mergeCell ref="A1138:B1138"/>
    <mergeCell ref="A784:B784"/>
    <mergeCell ref="A1103:B1103"/>
    <mergeCell ref="A831:B831"/>
    <mergeCell ref="A851:B851"/>
    <mergeCell ref="A1107:B1107"/>
    <mergeCell ref="A1121:B1121"/>
    <mergeCell ref="A772:B772"/>
    <mergeCell ref="A768:B768"/>
    <mergeCell ref="A1105:B1105"/>
    <mergeCell ref="A255:B255"/>
    <mergeCell ref="A64:B64"/>
    <mergeCell ref="A89:B89"/>
    <mergeCell ref="A120:B120"/>
    <mergeCell ref="A118:B118"/>
    <mergeCell ref="A270:B270"/>
    <mergeCell ref="A247:B247"/>
    <mergeCell ref="A289:B289"/>
    <mergeCell ref="A737:B737"/>
    <mergeCell ref="A715:B715"/>
    <mergeCell ref="A343:B343"/>
    <mergeCell ref="A257:B257"/>
    <mergeCell ref="A285:B285"/>
    <mergeCell ref="A719:B719"/>
    <mergeCell ref="A284:U284"/>
    <mergeCell ref="A320:B320"/>
    <mergeCell ref="A311:B311"/>
    <mergeCell ref="A259:B259"/>
    <mergeCell ref="A323:B323"/>
    <mergeCell ref="A315:B315"/>
    <mergeCell ref="A264:B264"/>
    <mergeCell ref="A268:B268"/>
    <mergeCell ref="A266:B266"/>
    <mergeCell ref="A677:B677"/>
    <mergeCell ref="A1:U1"/>
    <mergeCell ref="A3:A6"/>
    <mergeCell ref="B3:B6"/>
    <mergeCell ref="A45:B45"/>
    <mergeCell ref="A28:B28"/>
    <mergeCell ref="A49:B49"/>
    <mergeCell ref="A47:B47"/>
    <mergeCell ref="A38:B38"/>
    <mergeCell ref="A33:B33"/>
    <mergeCell ref="D4:J4"/>
    <mergeCell ref="U4:U5"/>
    <mergeCell ref="T4:T5"/>
    <mergeCell ref="Q4:R5"/>
    <mergeCell ref="O4:P5"/>
    <mergeCell ref="M4:N5"/>
    <mergeCell ref="K4:L5"/>
    <mergeCell ref="A8:B8"/>
    <mergeCell ref="A9:U9"/>
    <mergeCell ref="A10:B10"/>
    <mergeCell ref="A11:B11"/>
    <mergeCell ref="A24:B24"/>
    <mergeCell ref="A30:B30"/>
    <mergeCell ref="A35:B35"/>
    <mergeCell ref="T3:U3"/>
    <mergeCell ref="A57:B57"/>
    <mergeCell ref="A53:B53"/>
    <mergeCell ref="A55:B55"/>
    <mergeCell ref="C3:C5"/>
    <mergeCell ref="A43:B43"/>
    <mergeCell ref="D3:S3"/>
    <mergeCell ref="A762:B762"/>
    <mergeCell ref="A748:B748"/>
    <mergeCell ref="A423:B423"/>
    <mergeCell ref="A710:B710"/>
    <mergeCell ref="A346:B346"/>
    <mergeCell ref="A382:B382"/>
    <mergeCell ref="A352:B352"/>
    <mergeCell ref="A341:B341"/>
    <mergeCell ref="A635:B635"/>
    <mergeCell ref="A627:B627"/>
    <mergeCell ref="A360:B360"/>
    <mergeCell ref="A425:B425"/>
    <mergeCell ref="A362:B362"/>
    <mergeCell ref="A397:B397"/>
    <mergeCell ref="A348:B348"/>
    <mergeCell ref="A389:B389"/>
    <mergeCell ref="A676:U676"/>
    <mergeCell ref="A318:B318"/>
    <mergeCell ref="A309:B309"/>
    <mergeCell ref="A756:B756"/>
    <mergeCell ref="A786:B786"/>
    <mergeCell ref="A849:B849"/>
    <mergeCell ref="A766:B766"/>
    <mergeCell ref="A857:B857"/>
    <mergeCell ref="A733:B733"/>
    <mergeCell ref="A806:B806"/>
    <mergeCell ref="A770:B770"/>
    <mergeCell ref="A645:B645"/>
    <mergeCell ref="A672:B672"/>
    <mergeCell ref="A658:B658"/>
    <mergeCell ref="A651:B651"/>
    <mergeCell ref="A653:B653"/>
    <mergeCell ref="A356:B356"/>
    <mergeCell ref="A655:B655"/>
    <mergeCell ref="A420:B420"/>
    <mergeCell ref="A328:B328"/>
    <mergeCell ref="A336:B336"/>
    <mergeCell ref="A741:B741"/>
    <mergeCell ref="A735:B735"/>
    <mergeCell ref="A712:B712"/>
    <mergeCell ref="A725:B725"/>
  </mergeCells>
  <printOptions horizontalCentered="1"/>
  <pageMargins left="0.31496062992125984" right="0.31496062992125984" top="0.35433070866141736" bottom="0.35433070866141736" header="0.11811023622047245" footer="0.31496062992125984"/>
  <pageSetup paperSize="9" scale="38" firstPageNumber="37" fitToHeight="0" orientation="landscape" useFirstPageNumber="1" r:id="rId1"/>
  <headerFooter>
    <oddHeader>&amp;C&amp;P</oddHeader>
  </headerFooter>
  <rowBreaks count="22" manualBreakCount="22">
    <brk id="39" max="20" man="1"/>
    <brk id="86" max="20" man="1"/>
    <brk id="138" max="20" man="1"/>
    <brk id="196" max="20" man="1"/>
    <brk id="250" max="20" man="1"/>
    <brk id="300" max="20" man="1"/>
    <brk id="347" max="20" man="1"/>
    <brk id="398" max="20" man="1"/>
    <brk id="451" max="20" man="1"/>
    <brk id="509" max="20" man="1"/>
    <brk id="567" max="20" man="1"/>
    <brk id="625" max="20" man="1"/>
    <brk id="673" max="20" man="1"/>
    <brk id="724" max="20" man="1"/>
    <brk id="770" max="20" man="1"/>
    <brk id="818" max="20" man="1"/>
    <brk id="868" max="20" man="1"/>
    <brk id="924" max="20" man="1"/>
    <brk id="980" max="20" man="1"/>
    <brk id="1036" max="20" man="1"/>
    <brk id="1092" max="20" man="1"/>
    <brk id="1138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Прод. прилож</vt:lpstr>
      <vt:lpstr>'Прод. прилож'!Заголовки_для_печати</vt:lpstr>
      <vt:lpstr>'Прод. прилож'!Область_печати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Sivakova_OV</dc:creator>
  <cp:lastModifiedBy>Пользователь</cp:lastModifiedBy>
  <cp:lastPrinted>2022-08-01T13:23:03Z</cp:lastPrinted>
  <dcterms:created xsi:type="dcterms:W3CDTF">2012-12-13T11:50:40Z</dcterms:created>
  <dcterms:modified xsi:type="dcterms:W3CDTF">2022-08-17T10:16:22Z</dcterms:modified>
</cp:coreProperties>
</file>