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18915" yWindow="-405" windowWidth="9900" windowHeight="12675" tabRatio="300"/>
  </bookViews>
  <sheets>
    <sheet name="Прод. прилож" sheetId="13" r:id="rId1"/>
  </sheets>
  <externalReferences>
    <externalReference r:id="rId2"/>
  </externalReferences>
  <definedNames>
    <definedName name="_xlnm._FilterDatabase" localSheetId="0" hidden="1">'Прод. прилож'!#REF!</definedName>
    <definedName name="_xlnm.Print_Titles" localSheetId="0">'Прод. прилож'!$7:$7</definedName>
    <definedName name="мп" localSheetId="0">#REF!</definedName>
    <definedName name="_xlnm.Print_Area" localSheetId="0">'Прод. прилож'!$A$1:$U$1100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</workbook>
</file>

<file path=xl/calcChain.xml><?xml version="1.0" encoding="utf-8"?>
<calcChain xmlns="http://schemas.openxmlformats.org/spreadsheetml/2006/main">
  <c r="H437" i="13" l="1"/>
  <c r="V552" i="13" l="1"/>
  <c r="J552" i="13"/>
  <c r="I552" i="13"/>
  <c r="H552" i="13"/>
  <c r="G552" i="13"/>
  <c r="F552" i="13"/>
  <c r="E552" i="13"/>
  <c r="N437" i="13"/>
  <c r="U401" i="13"/>
  <c r="T401" i="13"/>
  <c r="S401" i="13"/>
  <c r="R401" i="13"/>
  <c r="Q401" i="13"/>
  <c r="P401" i="13"/>
  <c r="O401" i="13"/>
  <c r="N401" i="13"/>
  <c r="M401" i="13"/>
  <c r="L401" i="13"/>
  <c r="K401" i="13"/>
  <c r="J401" i="13"/>
  <c r="I401" i="13"/>
  <c r="H401" i="13"/>
  <c r="G401" i="13"/>
  <c r="F401" i="13"/>
  <c r="E401" i="13"/>
  <c r="U820" i="13"/>
  <c r="T820" i="13"/>
  <c r="S820" i="13"/>
  <c r="R820" i="13"/>
  <c r="Q820" i="13"/>
  <c r="P820" i="13"/>
  <c r="O820" i="13"/>
  <c r="N820" i="13"/>
  <c r="M820" i="13"/>
  <c r="L820" i="13"/>
  <c r="K820" i="13"/>
  <c r="J820" i="13"/>
  <c r="H820" i="13"/>
  <c r="F820" i="13"/>
  <c r="D552" i="13" l="1"/>
  <c r="C552" i="13" s="1"/>
  <c r="U1096" i="13"/>
  <c r="T1096" i="13"/>
  <c r="S1096" i="13"/>
  <c r="Q1096" i="13"/>
  <c r="P1096" i="13"/>
  <c r="O1096" i="13"/>
  <c r="M1096" i="13"/>
  <c r="L1096" i="13"/>
  <c r="K1096" i="13"/>
  <c r="J1096" i="13"/>
  <c r="E1096" i="13"/>
  <c r="N1097" i="13"/>
  <c r="V1097" i="13" s="1"/>
  <c r="R1097" i="13"/>
  <c r="R1096" i="13" s="1"/>
  <c r="I1097" i="13"/>
  <c r="I1096" i="13" s="1"/>
  <c r="H1097" i="13"/>
  <c r="H1096" i="13" s="1"/>
  <c r="G1097" i="13"/>
  <c r="G1096" i="13" s="1"/>
  <c r="F1097" i="13"/>
  <c r="N761" i="13"/>
  <c r="V761" i="13" s="1"/>
  <c r="R760" i="13"/>
  <c r="I761" i="13"/>
  <c r="I760" i="13" s="1"/>
  <c r="H761" i="13"/>
  <c r="H760" i="13" s="1"/>
  <c r="G761" i="13"/>
  <c r="G760" i="13" s="1"/>
  <c r="F761" i="13"/>
  <c r="F760" i="13" s="1"/>
  <c r="U760" i="13"/>
  <c r="T760" i="13"/>
  <c r="S760" i="13"/>
  <c r="Q760" i="13"/>
  <c r="P760" i="13"/>
  <c r="O760" i="13"/>
  <c r="M760" i="13"/>
  <c r="L760" i="13"/>
  <c r="K760" i="13"/>
  <c r="J760" i="13"/>
  <c r="E760" i="13"/>
  <c r="D761" i="13" l="1"/>
  <c r="C761" i="13" s="1"/>
  <c r="D1097" i="13"/>
  <c r="D1096" i="13" s="1"/>
  <c r="F1096" i="13"/>
  <c r="N1096" i="13"/>
  <c r="N760" i="13"/>
  <c r="N759" i="13"/>
  <c r="V759" i="13" s="1"/>
  <c r="D759" i="13"/>
  <c r="D16" i="13"/>
  <c r="C16" i="13" s="1"/>
  <c r="V16" i="13"/>
  <c r="N69" i="13"/>
  <c r="D760" i="13" l="1"/>
  <c r="C760" i="13" s="1"/>
  <c r="V760" i="13" s="1"/>
  <c r="C1097" i="13"/>
  <c r="C1096" i="13" s="1"/>
  <c r="V1096" i="13" s="1"/>
  <c r="C759" i="13"/>
  <c r="N57" i="13"/>
  <c r="V57" i="13" s="1"/>
  <c r="R36" i="13"/>
  <c r="P36" i="13"/>
  <c r="N25" i="13"/>
  <c r="V25" i="13" s="1"/>
  <c r="N22" i="13"/>
  <c r="V22" i="13" s="1"/>
  <c r="N13" i="13"/>
  <c r="V13" i="13" s="1"/>
  <c r="N12" i="13"/>
  <c r="V12" i="13" s="1"/>
  <c r="R13" i="13"/>
  <c r="R12" i="13"/>
  <c r="V343" i="13"/>
  <c r="V341" i="13"/>
  <c r="V339" i="13"/>
  <c r="V338" i="13"/>
  <c r="V337" i="13"/>
  <c r="V336" i="13"/>
  <c r="V335" i="13"/>
  <c r="V334" i="13"/>
  <c r="V333" i="13"/>
  <c r="V332" i="13"/>
  <c r="V331" i="13"/>
  <c r="V327" i="13"/>
  <c r="V325" i="13"/>
  <c r="V320" i="13"/>
  <c r="V318" i="13"/>
  <c r="V317" i="13"/>
  <c r="V313" i="13"/>
  <c r="V307" i="13"/>
  <c r="V306" i="13"/>
  <c r="V305" i="13"/>
  <c r="V300" i="13"/>
  <c r="V298" i="13"/>
  <c r="V297" i="13"/>
  <c r="V296" i="13"/>
  <c r="V295" i="13"/>
  <c r="V293" i="13"/>
  <c r="V292" i="13"/>
  <c r="V291" i="13"/>
  <c r="V289" i="13"/>
  <c r="V288" i="13"/>
  <c r="V287" i="13"/>
  <c r="V286" i="13"/>
  <c r="V284" i="13"/>
  <c r="V282" i="13"/>
  <c r="V281" i="13"/>
  <c r="V279" i="13"/>
  <c r="V278" i="13"/>
  <c r="V277" i="13"/>
  <c r="V274" i="13"/>
  <c r="V273" i="13"/>
  <c r="V272" i="13"/>
  <c r="V271" i="13"/>
  <c r="V270" i="13"/>
  <c r="V269" i="13"/>
  <c r="V268" i="13"/>
  <c r="V267" i="13"/>
  <c r="V266" i="13"/>
  <c r="V265" i="13"/>
  <c r="V264" i="13"/>
  <c r="V263" i="13"/>
  <c r="V262" i="13"/>
  <c r="V259" i="13"/>
  <c r="V258" i="13"/>
  <c r="V257" i="13"/>
  <c r="V256" i="13"/>
  <c r="V255" i="13"/>
  <c r="V254" i="13"/>
  <c r="V253" i="13"/>
  <c r="V252" i="13"/>
  <c r="V250" i="13"/>
  <c r="V249" i="13"/>
  <c r="V248" i="13"/>
  <c r="V247" i="13"/>
  <c r="V246" i="13"/>
  <c r="V245" i="13"/>
  <c r="V244" i="13"/>
  <c r="V243" i="13"/>
  <c r="V242" i="13"/>
  <c r="V241" i="13"/>
  <c r="V240" i="13"/>
  <c r="V239" i="13"/>
  <c r="V236" i="13"/>
  <c r="V235" i="13"/>
  <c r="V234" i="13"/>
  <c r="V233" i="13"/>
  <c r="V232" i="13"/>
  <c r="V231" i="13"/>
  <c r="V230" i="13"/>
  <c r="V229" i="13"/>
  <c r="V228" i="13"/>
  <c r="V227" i="13"/>
  <c r="V225" i="13"/>
  <c r="V224" i="13"/>
  <c r="V223" i="13"/>
  <c r="V222" i="13"/>
  <c r="V221" i="13"/>
  <c r="V220" i="13"/>
  <c r="V219" i="13"/>
  <c r="V218" i="13"/>
  <c r="V217" i="13"/>
  <c r="V216" i="13"/>
  <c r="V215" i="13"/>
  <c r="V214" i="13"/>
  <c r="V213" i="13"/>
  <c r="V212" i="13"/>
  <c r="V211" i="13"/>
  <c r="V210" i="13"/>
  <c r="V209" i="13"/>
  <c r="V208" i="13"/>
  <c r="V207" i="13"/>
  <c r="V206" i="13"/>
  <c r="V205" i="13"/>
  <c r="V204" i="13"/>
  <c r="V203" i="13"/>
  <c r="V202" i="13"/>
  <c r="V201" i="13"/>
  <c r="V200" i="13"/>
  <c r="V199" i="13"/>
  <c r="V198" i="13"/>
  <c r="V197" i="13"/>
  <c r="V196" i="13"/>
  <c r="V195" i="13"/>
  <c r="V194" i="13"/>
  <c r="V193" i="13"/>
  <c r="V192" i="13"/>
  <c r="V191" i="13"/>
  <c r="V190" i="13"/>
  <c r="V189" i="13"/>
  <c r="V188" i="13"/>
  <c r="V187" i="13"/>
  <c r="V186" i="13"/>
  <c r="V183" i="13"/>
  <c r="V182" i="13"/>
  <c r="V181" i="13"/>
  <c r="V180" i="13"/>
  <c r="V179" i="13"/>
  <c r="V178" i="13"/>
  <c r="V177" i="13"/>
  <c r="V175" i="13"/>
  <c r="V174" i="13"/>
  <c r="V173" i="13"/>
  <c r="V172" i="13"/>
  <c r="V171" i="13"/>
  <c r="V170" i="13"/>
  <c r="V169" i="13"/>
  <c r="V168" i="13"/>
  <c r="V167" i="13"/>
  <c r="V166" i="13"/>
  <c r="V161" i="13"/>
  <c r="V160" i="13"/>
  <c r="V158" i="13"/>
  <c r="V157" i="13"/>
  <c r="V156" i="13"/>
  <c r="V155" i="13"/>
  <c r="V154" i="13"/>
  <c r="V153" i="13"/>
  <c r="V152" i="13"/>
  <c r="V151" i="13"/>
  <c r="V150" i="13"/>
  <c r="V149" i="13"/>
  <c r="V148" i="13"/>
  <c r="V147" i="13"/>
  <c r="V146" i="13"/>
  <c r="V145" i="13"/>
  <c r="V144" i="13"/>
  <c r="V143" i="13"/>
  <c r="V142" i="13"/>
  <c r="V141" i="13"/>
  <c r="V140" i="13"/>
  <c r="V138" i="13"/>
  <c r="V137" i="13"/>
  <c r="V135" i="13"/>
  <c r="V129" i="13"/>
  <c r="V128" i="13"/>
  <c r="V127" i="13"/>
  <c r="V126" i="13"/>
  <c r="V125" i="13"/>
  <c r="V124" i="13"/>
  <c r="V119" i="13"/>
  <c r="V117" i="13"/>
  <c r="V116" i="13"/>
  <c r="V115" i="13"/>
  <c r="V113" i="13"/>
  <c r="V111" i="13"/>
  <c r="V110" i="13"/>
  <c r="V109" i="13"/>
  <c r="V108" i="13"/>
  <c r="V107" i="13"/>
  <c r="V106" i="13"/>
  <c r="V104" i="13"/>
  <c r="V103" i="13"/>
  <c r="V101" i="13"/>
  <c r="V96" i="13"/>
  <c r="V90" i="13"/>
  <c r="V83" i="13"/>
  <c r="V77" i="13"/>
  <c r="V76" i="13"/>
  <c r="V72" i="13"/>
  <c r="V70" i="13"/>
  <c r="V69" i="13"/>
  <c r="V67" i="13"/>
  <c r="V63" i="13"/>
  <c r="V61" i="13"/>
  <c r="V59" i="13"/>
  <c r="V54" i="13"/>
  <c r="V49" i="13"/>
  <c r="V47" i="13"/>
  <c r="V46" i="13"/>
  <c r="V45" i="13"/>
  <c r="V44" i="13"/>
  <c r="V42" i="13"/>
  <c r="V41" i="13"/>
  <c r="V39" i="13"/>
  <c r="V38" i="13"/>
  <c r="V36" i="13"/>
  <c r="V34" i="13"/>
  <c r="V24" i="13"/>
  <c r="V23" i="13"/>
  <c r="V21" i="13"/>
  <c r="V19" i="13"/>
  <c r="V18" i="13"/>
  <c r="V17" i="13"/>
  <c r="V15" i="13"/>
  <c r="U716" i="13"/>
  <c r="T716" i="13"/>
  <c r="S716" i="13"/>
  <c r="Q716" i="13"/>
  <c r="P716" i="13"/>
  <c r="O716" i="13"/>
  <c r="M716" i="13"/>
  <c r="L716" i="13"/>
  <c r="K716" i="13"/>
  <c r="J716" i="13"/>
  <c r="N805" i="13" l="1"/>
  <c r="V805" i="13" s="1"/>
  <c r="N1045" i="13"/>
  <c r="V1045" i="13" s="1"/>
  <c r="N1044" i="13"/>
  <c r="V1044" i="13" s="1"/>
  <c r="N1043" i="13"/>
  <c r="V1043" i="13" s="1"/>
  <c r="N1042" i="13"/>
  <c r="V1042" i="13" s="1"/>
  <c r="N1000" i="13"/>
  <c r="V1000" i="13" s="1"/>
  <c r="N987" i="13"/>
  <c r="V987" i="13" s="1"/>
  <c r="N978" i="13"/>
  <c r="V978" i="13" s="1"/>
  <c r="N915" i="13"/>
  <c r="V915" i="13" s="1"/>
  <c r="N874" i="13"/>
  <c r="V874" i="13" s="1"/>
  <c r="N873" i="13"/>
  <c r="V873" i="13" s="1"/>
  <c r="N850" i="13"/>
  <c r="V850" i="13" s="1"/>
  <c r="N812" i="13"/>
  <c r="V812" i="13" s="1"/>
  <c r="N780" i="13"/>
  <c r="V780" i="13" s="1"/>
  <c r="N776" i="13"/>
  <c r="V776" i="13" s="1"/>
  <c r="N774" i="13"/>
  <c r="V774" i="13" s="1"/>
  <c r="N768" i="13"/>
  <c r="V768" i="13" s="1"/>
  <c r="N690" i="13"/>
  <c r="V690" i="13" s="1"/>
  <c r="N624" i="13"/>
  <c r="V624" i="13" s="1"/>
  <c r="N620" i="13"/>
  <c r="V620" i="13" s="1"/>
  <c r="N499" i="13"/>
  <c r="V499" i="13" s="1"/>
  <c r="N492" i="13"/>
  <c r="V492" i="13" s="1"/>
  <c r="N491" i="13"/>
  <c r="V491" i="13" s="1"/>
  <c r="N490" i="13"/>
  <c r="V490" i="13" s="1"/>
  <c r="N487" i="13"/>
  <c r="V487" i="13" s="1"/>
  <c r="N483" i="13"/>
  <c r="V483" i="13" s="1"/>
  <c r="N481" i="13"/>
  <c r="V481" i="13" s="1"/>
  <c r="N471" i="13"/>
  <c r="V471" i="13" s="1"/>
  <c r="N434" i="13"/>
  <c r="V434" i="13" s="1"/>
  <c r="N417" i="13"/>
  <c r="V417" i="13" s="1"/>
  <c r="N416" i="13"/>
  <c r="V416" i="13" s="1"/>
  <c r="N415" i="13"/>
  <c r="V415" i="13" s="1"/>
  <c r="N388" i="13"/>
  <c r="V388" i="13" s="1"/>
  <c r="N368" i="13"/>
  <c r="V368" i="13" s="1"/>
  <c r="N365" i="13"/>
  <c r="V365" i="13" s="1"/>
  <c r="N364" i="13"/>
  <c r="V364" i="13" s="1"/>
  <c r="N363" i="13"/>
  <c r="V363" i="13" s="1"/>
  <c r="N360" i="13"/>
  <c r="V360" i="13" s="1"/>
  <c r="N359" i="13"/>
  <c r="V359" i="13" s="1"/>
  <c r="N353" i="13"/>
  <c r="V353" i="13" s="1"/>
  <c r="N348" i="13"/>
  <c r="V348" i="13" s="1"/>
  <c r="N349" i="13"/>
  <c r="V349" i="13" s="1"/>
  <c r="N352" i="13"/>
  <c r="V352" i="13" s="1"/>
  <c r="N351" i="13"/>
  <c r="V351" i="13" s="1"/>
  <c r="N358" i="13"/>
  <c r="V358" i="13" s="1"/>
  <c r="N357" i="13"/>
  <c r="V357" i="13" s="1"/>
  <c r="N356" i="13"/>
  <c r="V356" i="13" s="1"/>
  <c r="N355" i="13"/>
  <c r="V355" i="13" s="1"/>
  <c r="N354" i="13"/>
  <c r="V354" i="13" s="1"/>
  <c r="N362" i="13"/>
  <c r="V362" i="13" s="1"/>
  <c r="N361" i="13"/>
  <c r="V361" i="13" s="1"/>
  <c r="N370" i="13"/>
  <c r="V370" i="13" s="1"/>
  <c r="N375" i="13"/>
  <c r="V375" i="13" s="1"/>
  <c r="N374" i="13"/>
  <c r="V374" i="13" s="1"/>
  <c r="N379" i="13"/>
  <c r="V379" i="13" s="1"/>
  <c r="N378" i="13"/>
  <c r="V378" i="13" s="1"/>
  <c r="N377" i="13"/>
  <c r="V377" i="13" s="1"/>
  <c r="N384" i="13"/>
  <c r="V384" i="13" s="1"/>
  <c r="N383" i="13"/>
  <c r="V383" i="13" s="1"/>
  <c r="N386" i="13"/>
  <c r="V386" i="13" s="1"/>
  <c r="N393" i="13"/>
  <c r="V393" i="13" s="1"/>
  <c r="N392" i="13"/>
  <c r="V392" i="13" s="1"/>
  <c r="N398" i="13"/>
  <c r="V398" i="13" s="1"/>
  <c r="N397" i="13"/>
  <c r="V397" i="13" s="1"/>
  <c r="N396" i="13"/>
  <c r="V396" i="13" s="1"/>
  <c r="N400" i="13"/>
  <c r="V400" i="13" s="1"/>
  <c r="N405" i="13"/>
  <c r="V405" i="13" s="1"/>
  <c r="N404" i="13"/>
  <c r="V404" i="13" s="1"/>
  <c r="N407" i="13"/>
  <c r="V407" i="13" s="1"/>
  <c r="N410" i="13"/>
  <c r="V410" i="13" s="1"/>
  <c r="N413" i="13"/>
  <c r="V413" i="13" s="1"/>
  <c r="N412" i="13"/>
  <c r="V412" i="13" s="1"/>
  <c r="N420" i="13"/>
  <c r="V420" i="13" s="1"/>
  <c r="N419" i="13"/>
  <c r="V419" i="13" s="1"/>
  <c r="N423" i="13"/>
  <c r="V423" i="13" s="1"/>
  <c r="N422" i="13"/>
  <c r="V422" i="13" s="1"/>
  <c r="N427" i="13"/>
  <c r="V427" i="13" s="1"/>
  <c r="N426" i="13"/>
  <c r="V426" i="13" s="1"/>
  <c r="N425" i="13"/>
  <c r="V425" i="13" s="1"/>
  <c r="N429" i="13"/>
  <c r="V429" i="13" s="1"/>
  <c r="N432" i="13"/>
  <c r="V432" i="13" s="1"/>
  <c r="N442" i="13"/>
  <c r="V442" i="13" s="1"/>
  <c r="N441" i="13"/>
  <c r="V441" i="13" s="1"/>
  <c r="N440" i="13"/>
  <c r="V440" i="13" s="1"/>
  <c r="N439" i="13"/>
  <c r="V439" i="13" s="1"/>
  <c r="N438" i="13"/>
  <c r="V438" i="13" s="1"/>
  <c r="V437" i="13"/>
  <c r="N436" i="13"/>
  <c r="V436" i="13" s="1"/>
  <c r="N444" i="13"/>
  <c r="V444" i="13" s="1"/>
  <c r="N452" i="13"/>
  <c r="V452" i="13" s="1"/>
  <c r="N451" i="13"/>
  <c r="V451" i="13" s="1"/>
  <c r="N450" i="13"/>
  <c r="V450" i="13" s="1"/>
  <c r="N449" i="13"/>
  <c r="V449" i="13" s="1"/>
  <c r="N448" i="13"/>
  <c r="V448" i="13" s="1"/>
  <c r="N447" i="13"/>
  <c r="V447" i="13" s="1"/>
  <c r="N446" i="13"/>
  <c r="V446" i="13" s="1"/>
  <c r="N454" i="13"/>
  <c r="V454" i="13" s="1"/>
  <c r="N462" i="13"/>
  <c r="V462" i="13" s="1"/>
  <c r="N461" i="13"/>
  <c r="V461" i="13" s="1"/>
  <c r="N460" i="13"/>
  <c r="V460" i="13" s="1"/>
  <c r="N459" i="13"/>
  <c r="V459" i="13" s="1"/>
  <c r="N458" i="13"/>
  <c r="V458" i="13" s="1"/>
  <c r="N457" i="13"/>
  <c r="V457" i="13" s="1"/>
  <c r="N456" i="13"/>
  <c r="V456" i="13" s="1"/>
  <c r="N468" i="13"/>
  <c r="V468" i="13" s="1"/>
  <c r="N469" i="13"/>
  <c r="V469" i="13" s="1"/>
  <c r="N470" i="13"/>
  <c r="V470" i="13" s="1"/>
  <c r="N472" i="13"/>
  <c r="V472" i="13" s="1"/>
  <c r="N474" i="13"/>
  <c r="V474" i="13" s="1"/>
  <c r="N476" i="13"/>
  <c r="V476" i="13" s="1"/>
  <c r="N480" i="13"/>
  <c r="V480" i="13" s="1"/>
  <c r="N479" i="13"/>
  <c r="V479" i="13" s="1"/>
  <c r="N485" i="13"/>
  <c r="V485" i="13" s="1"/>
  <c r="N484" i="13"/>
  <c r="V484" i="13" s="1"/>
  <c r="N489" i="13"/>
  <c r="V489" i="13" s="1"/>
  <c r="N488" i="13"/>
  <c r="V488" i="13" s="1"/>
  <c r="N497" i="13"/>
  <c r="V497" i="13" s="1"/>
  <c r="N496" i="13"/>
  <c r="V496" i="13" s="1"/>
  <c r="N510" i="13"/>
  <c r="V510" i="13" s="1"/>
  <c r="N509" i="13"/>
  <c r="V509" i="13" s="1"/>
  <c r="N508" i="13"/>
  <c r="V508" i="13" s="1"/>
  <c r="N507" i="13"/>
  <c r="V507" i="13" s="1"/>
  <c r="N506" i="13"/>
  <c r="V506" i="13" s="1"/>
  <c r="N505" i="13"/>
  <c r="V505" i="13" s="1"/>
  <c r="N504" i="13"/>
  <c r="V504" i="13" s="1"/>
  <c r="N503" i="13"/>
  <c r="V503" i="13" s="1"/>
  <c r="N502" i="13"/>
  <c r="V502" i="13" s="1"/>
  <c r="N519" i="13"/>
  <c r="V519" i="13" s="1"/>
  <c r="N518" i="13"/>
  <c r="V518" i="13" s="1"/>
  <c r="N517" i="13"/>
  <c r="V517" i="13" s="1"/>
  <c r="N516" i="13"/>
  <c r="V516" i="13" s="1"/>
  <c r="N515" i="13"/>
  <c r="V515" i="13" s="1"/>
  <c r="N514" i="13"/>
  <c r="V514" i="13" s="1"/>
  <c r="N513" i="13"/>
  <c r="V513" i="13" s="1"/>
  <c r="N512" i="13"/>
  <c r="V512" i="13" s="1"/>
  <c r="N531" i="13"/>
  <c r="V531" i="13" s="1"/>
  <c r="N530" i="13"/>
  <c r="V530" i="13" s="1"/>
  <c r="N529" i="13"/>
  <c r="V529" i="13" s="1"/>
  <c r="N528" i="13"/>
  <c r="V528" i="13" s="1"/>
  <c r="N527" i="13"/>
  <c r="V527" i="13" s="1"/>
  <c r="N526" i="13"/>
  <c r="V526" i="13" s="1"/>
  <c r="N525" i="13"/>
  <c r="V525" i="13" s="1"/>
  <c r="N524" i="13"/>
  <c r="V524" i="13" s="1"/>
  <c r="N523" i="13"/>
  <c r="V523" i="13" s="1"/>
  <c r="N522" i="13"/>
  <c r="V522" i="13" s="1"/>
  <c r="N540" i="13"/>
  <c r="V540" i="13" s="1"/>
  <c r="N539" i="13"/>
  <c r="V539" i="13" s="1"/>
  <c r="N538" i="13"/>
  <c r="V538" i="13" s="1"/>
  <c r="N537" i="13"/>
  <c r="V537" i="13" s="1"/>
  <c r="N536" i="13"/>
  <c r="V536" i="13" s="1"/>
  <c r="N535" i="13"/>
  <c r="V535" i="13" s="1"/>
  <c r="N550" i="13"/>
  <c r="V550" i="13" s="1"/>
  <c r="N549" i="13"/>
  <c r="V549" i="13" s="1"/>
  <c r="N548" i="13"/>
  <c r="V548" i="13" s="1"/>
  <c r="N547" i="13"/>
  <c r="V547" i="13" s="1"/>
  <c r="N546" i="13"/>
  <c r="V546" i="13" s="1"/>
  <c r="N545" i="13"/>
  <c r="V545" i="13" s="1"/>
  <c r="N544" i="13"/>
  <c r="V544" i="13" s="1"/>
  <c r="N543" i="13"/>
  <c r="V543" i="13" s="1"/>
  <c r="N542" i="13"/>
  <c r="V542" i="13" s="1"/>
  <c r="N555" i="13"/>
  <c r="V555" i="13" s="1"/>
  <c r="N554" i="13"/>
  <c r="V554" i="13" s="1"/>
  <c r="N570" i="13"/>
  <c r="V570" i="13" s="1"/>
  <c r="N569" i="13"/>
  <c r="V569" i="13" s="1"/>
  <c r="N568" i="13"/>
  <c r="V568" i="13" s="1"/>
  <c r="N567" i="13"/>
  <c r="V567" i="13" s="1"/>
  <c r="N566" i="13"/>
  <c r="V566" i="13" s="1"/>
  <c r="N565" i="13"/>
  <c r="V565" i="13" s="1"/>
  <c r="N564" i="13"/>
  <c r="V564" i="13" s="1"/>
  <c r="N563" i="13"/>
  <c r="V563" i="13" s="1"/>
  <c r="N562" i="13"/>
  <c r="V562" i="13" s="1"/>
  <c r="N561" i="13"/>
  <c r="V561" i="13" s="1"/>
  <c r="N560" i="13"/>
  <c r="V560" i="13" s="1"/>
  <c r="N559" i="13"/>
  <c r="V559" i="13" s="1"/>
  <c r="N558" i="13"/>
  <c r="V558" i="13" s="1"/>
  <c r="N557" i="13"/>
  <c r="V557" i="13" s="1"/>
  <c r="N556" i="13"/>
  <c r="V556" i="13" s="1"/>
  <c r="N583" i="13"/>
  <c r="V583" i="13" s="1"/>
  <c r="N582" i="13"/>
  <c r="V582" i="13" s="1"/>
  <c r="N581" i="13"/>
  <c r="V581" i="13" s="1"/>
  <c r="N580" i="13"/>
  <c r="V580" i="13" s="1"/>
  <c r="N579" i="13"/>
  <c r="V579" i="13" s="1"/>
  <c r="N578" i="13"/>
  <c r="V578" i="13" s="1"/>
  <c r="N577" i="13"/>
  <c r="V577" i="13" s="1"/>
  <c r="N576" i="13"/>
  <c r="V576" i="13" s="1"/>
  <c r="N575" i="13"/>
  <c r="V575" i="13" s="1"/>
  <c r="N574" i="13"/>
  <c r="V574" i="13" s="1"/>
  <c r="N573" i="13"/>
  <c r="V573" i="13" s="1"/>
  <c r="N572" i="13"/>
  <c r="V572" i="13" s="1"/>
  <c r="N571" i="13"/>
  <c r="V571" i="13" s="1"/>
  <c r="N594" i="13"/>
  <c r="V594" i="13" s="1"/>
  <c r="N593" i="13"/>
  <c r="V593" i="13" s="1"/>
  <c r="N592" i="13"/>
  <c r="V592" i="13" s="1"/>
  <c r="N591" i="13"/>
  <c r="V591" i="13" s="1"/>
  <c r="N590" i="13"/>
  <c r="V590" i="13" s="1"/>
  <c r="N589" i="13"/>
  <c r="V589" i="13" s="1"/>
  <c r="N588" i="13"/>
  <c r="V588" i="13" s="1"/>
  <c r="N587" i="13"/>
  <c r="V587" i="13" s="1"/>
  <c r="N586" i="13"/>
  <c r="V586" i="13" s="1"/>
  <c r="N585" i="13"/>
  <c r="V585" i="13" s="1"/>
  <c r="N609" i="13"/>
  <c r="V609" i="13" s="1"/>
  <c r="N608" i="13"/>
  <c r="V608" i="13" s="1"/>
  <c r="N607" i="13"/>
  <c r="V607" i="13" s="1"/>
  <c r="N606" i="13"/>
  <c r="V606" i="13" s="1"/>
  <c r="N605" i="13"/>
  <c r="V605" i="13" s="1"/>
  <c r="N604" i="13"/>
  <c r="V604" i="13" s="1"/>
  <c r="N603" i="13"/>
  <c r="V603" i="13" s="1"/>
  <c r="N602" i="13"/>
  <c r="V602" i="13" s="1"/>
  <c r="N601" i="13"/>
  <c r="V601" i="13" s="1"/>
  <c r="N600" i="13"/>
  <c r="V600" i="13" s="1"/>
  <c r="N599" i="13"/>
  <c r="V599" i="13" s="1"/>
  <c r="N598" i="13"/>
  <c r="V598" i="13" s="1"/>
  <c r="N597" i="13"/>
  <c r="V597" i="13" s="1"/>
  <c r="N596" i="13"/>
  <c r="V596" i="13" s="1"/>
  <c r="N595" i="13"/>
  <c r="V595" i="13" s="1"/>
  <c r="N619" i="13"/>
  <c r="V619" i="13" s="1"/>
  <c r="N618" i="13"/>
  <c r="V618" i="13" s="1"/>
  <c r="N617" i="13"/>
  <c r="V617" i="13" s="1"/>
  <c r="N616" i="13"/>
  <c r="V616" i="13" s="1"/>
  <c r="N615" i="13"/>
  <c r="V615" i="13" s="1"/>
  <c r="N614" i="13"/>
  <c r="V614" i="13" s="1"/>
  <c r="N613" i="13"/>
  <c r="V613" i="13" s="1"/>
  <c r="N612" i="13"/>
  <c r="V612" i="13" s="1"/>
  <c r="N611" i="13"/>
  <c r="V611" i="13" s="1"/>
  <c r="N610" i="13"/>
  <c r="V610" i="13" s="1"/>
  <c r="N623" i="13"/>
  <c r="V623" i="13" s="1"/>
  <c r="N622" i="13"/>
  <c r="V622" i="13" s="1"/>
  <c r="N621" i="13"/>
  <c r="V621" i="13" s="1"/>
  <c r="N632" i="13"/>
  <c r="V632" i="13" s="1"/>
  <c r="N631" i="13"/>
  <c r="V631" i="13" s="1"/>
  <c r="N630" i="13"/>
  <c r="V630" i="13" s="1"/>
  <c r="N629" i="13"/>
  <c r="V629" i="13" s="1"/>
  <c r="N628" i="13"/>
  <c r="V628" i="13" s="1"/>
  <c r="N627" i="13"/>
  <c r="V627" i="13" s="1"/>
  <c r="N626" i="13"/>
  <c r="V626" i="13" s="1"/>
  <c r="N625" i="13"/>
  <c r="V625" i="13" s="1"/>
  <c r="N635" i="13"/>
  <c r="V635" i="13" s="1"/>
  <c r="N634" i="13"/>
  <c r="V634" i="13" s="1"/>
  <c r="N645" i="13"/>
  <c r="V645" i="13" s="1"/>
  <c r="N644" i="13"/>
  <c r="V644" i="13" s="1"/>
  <c r="N643" i="13"/>
  <c r="V643" i="13" s="1"/>
  <c r="N642" i="13"/>
  <c r="V642" i="13" s="1"/>
  <c r="N641" i="13"/>
  <c r="V641" i="13" s="1"/>
  <c r="N640" i="13"/>
  <c r="V640" i="13" s="1"/>
  <c r="N639" i="13"/>
  <c r="V639" i="13" s="1"/>
  <c r="N638" i="13"/>
  <c r="V638" i="13" s="1"/>
  <c r="N647" i="13"/>
  <c r="V647" i="13" s="1"/>
  <c r="N665" i="13"/>
  <c r="V665" i="13" s="1"/>
  <c r="N664" i="13"/>
  <c r="V664" i="13" s="1"/>
  <c r="N663" i="13"/>
  <c r="V663" i="13" s="1"/>
  <c r="N662" i="13"/>
  <c r="V662" i="13" s="1"/>
  <c r="N661" i="13"/>
  <c r="V661" i="13" s="1"/>
  <c r="N660" i="13"/>
  <c r="V660" i="13" s="1"/>
  <c r="N659" i="13"/>
  <c r="V659" i="13" s="1"/>
  <c r="N658" i="13"/>
  <c r="V658" i="13" s="1"/>
  <c r="N657" i="13"/>
  <c r="V657" i="13" s="1"/>
  <c r="N656" i="13"/>
  <c r="V656" i="13" s="1"/>
  <c r="N655" i="13"/>
  <c r="V655" i="13" s="1"/>
  <c r="N654" i="13"/>
  <c r="V654" i="13" s="1"/>
  <c r="N653" i="13"/>
  <c r="V653" i="13" s="1"/>
  <c r="N652" i="13"/>
  <c r="V652" i="13" s="1"/>
  <c r="N651" i="13"/>
  <c r="V651" i="13" s="1"/>
  <c r="N650" i="13"/>
  <c r="V650" i="13" s="1"/>
  <c r="N649" i="13"/>
  <c r="V649" i="13" s="1"/>
  <c r="N670" i="13"/>
  <c r="V670" i="13" s="1"/>
  <c r="N669" i="13"/>
  <c r="V669" i="13" s="1"/>
  <c r="N668" i="13"/>
  <c r="V668" i="13" s="1"/>
  <c r="N667" i="13"/>
  <c r="V667" i="13" s="1"/>
  <c r="N675" i="13"/>
  <c r="V675" i="13" s="1"/>
  <c r="N689" i="13"/>
  <c r="V689" i="13" s="1"/>
  <c r="N688" i="13"/>
  <c r="V688" i="13" s="1"/>
  <c r="N687" i="13"/>
  <c r="V687" i="13" s="1"/>
  <c r="N686" i="13"/>
  <c r="V686" i="13" s="1"/>
  <c r="N685" i="13"/>
  <c r="V685" i="13" s="1"/>
  <c r="N684" i="13"/>
  <c r="V684" i="13" s="1"/>
  <c r="N683" i="13"/>
  <c r="V683" i="13" s="1"/>
  <c r="N682" i="13"/>
  <c r="V682" i="13" s="1"/>
  <c r="N681" i="13"/>
  <c r="V681" i="13" s="1"/>
  <c r="N680" i="13"/>
  <c r="V680" i="13" s="1"/>
  <c r="N679" i="13"/>
  <c r="V679" i="13" s="1"/>
  <c r="N678" i="13"/>
  <c r="V678" i="13" s="1"/>
  <c r="N677" i="13"/>
  <c r="V677" i="13" s="1"/>
  <c r="N676" i="13"/>
  <c r="V676" i="13" s="1"/>
  <c r="N706" i="13"/>
  <c r="V706" i="13" s="1"/>
  <c r="N705" i="13"/>
  <c r="V705" i="13" s="1"/>
  <c r="N704" i="13"/>
  <c r="V704" i="13" s="1"/>
  <c r="N703" i="13"/>
  <c r="V703" i="13" s="1"/>
  <c r="N702" i="13"/>
  <c r="V702" i="13" s="1"/>
  <c r="N701" i="13"/>
  <c r="V701" i="13" s="1"/>
  <c r="N700" i="13"/>
  <c r="V700" i="13" s="1"/>
  <c r="N699" i="13"/>
  <c r="V699" i="13" s="1"/>
  <c r="N698" i="13"/>
  <c r="V698" i="13" s="1"/>
  <c r="N697" i="13"/>
  <c r="V697" i="13" s="1"/>
  <c r="N696" i="13"/>
  <c r="V696" i="13" s="1"/>
  <c r="N695" i="13"/>
  <c r="V695" i="13" s="1"/>
  <c r="N694" i="13"/>
  <c r="V694" i="13" s="1"/>
  <c r="N693" i="13"/>
  <c r="V693" i="13" s="1"/>
  <c r="N692" i="13"/>
  <c r="V692" i="13" s="1"/>
  <c r="N691" i="13"/>
  <c r="V691" i="13" s="1"/>
  <c r="N710" i="13"/>
  <c r="V710" i="13" s="1"/>
  <c r="N709" i="13"/>
  <c r="V709" i="13" s="1"/>
  <c r="N708" i="13"/>
  <c r="V708" i="13" s="1"/>
  <c r="N715" i="13"/>
  <c r="V715" i="13" s="1"/>
  <c r="N714" i="13"/>
  <c r="V714" i="13" s="1"/>
  <c r="N722" i="13"/>
  <c r="V722" i="13" s="1"/>
  <c r="N721" i="13"/>
  <c r="V721" i="13" s="1"/>
  <c r="N720" i="13"/>
  <c r="V720" i="13" s="1"/>
  <c r="N719" i="13"/>
  <c r="V719" i="13" s="1"/>
  <c r="N718" i="13"/>
  <c r="V718" i="13" s="1"/>
  <c r="N717" i="13"/>
  <c r="N724" i="13"/>
  <c r="V724" i="13" s="1"/>
  <c r="N728" i="13"/>
  <c r="V728" i="13" s="1"/>
  <c r="N732" i="13"/>
  <c r="V732" i="13" s="1"/>
  <c r="N731" i="13"/>
  <c r="V731" i="13" s="1"/>
  <c r="N730" i="13"/>
  <c r="V730" i="13" s="1"/>
  <c r="N734" i="13"/>
  <c r="V734" i="13" s="1"/>
  <c r="N737" i="13"/>
  <c r="V737" i="13" s="1"/>
  <c r="N736" i="13"/>
  <c r="V736" i="13" s="1"/>
  <c r="N738" i="13"/>
  <c r="V738" i="13" s="1"/>
  <c r="N740" i="13"/>
  <c r="V740" i="13" s="1"/>
  <c r="N742" i="13"/>
  <c r="V742" i="13" s="1"/>
  <c r="N750" i="13"/>
  <c r="V750" i="13" s="1"/>
  <c r="N749" i="13"/>
  <c r="V749" i="13" s="1"/>
  <c r="N748" i="13"/>
  <c r="V748" i="13" s="1"/>
  <c r="N747" i="13"/>
  <c r="V747" i="13" s="1"/>
  <c r="N746" i="13"/>
  <c r="V746" i="13" s="1"/>
  <c r="N745" i="13"/>
  <c r="V745" i="13" s="1"/>
  <c r="N744" i="13"/>
  <c r="V744" i="13" s="1"/>
  <c r="N756" i="13"/>
  <c r="V756" i="13" s="1"/>
  <c r="N755" i="13"/>
  <c r="V755" i="13" s="1"/>
  <c r="N754" i="13"/>
  <c r="V754" i="13" s="1"/>
  <c r="N753" i="13"/>
  <c r="V753" i="13" s="1"/>
  <c r="N752" i="13"/>
  <c r="V752" i="13" s="1"/>
  <c r="N758" i="13"/>
  <c r="V758" i="13" s="1"/>
  <c r="N766" i="13"/>
  <c r="V766" i="13" s="1"/>
  <c r="N765" i="13"/>
  <c r="V765" i="13" s="1"/>
  <c r="N770" i="13"/>
  <c r="V770" i="13" s="1"/>
  <c r="N772" i="13"/>
  <c r="V772" i="13" s="1"/>
  <c r="N775" i="13"/>
  <c r="V775" i="13" s="1"/>
  <c r="N779" i="13"/>
  <c r="V779" i="13" s="1"/>
  <c r="N778" i="13"/>
  <c r="V778" i="13" s="1"/>
  <c r="N777" i="13"/>
  <c r="V777" i="13" s="1"/>
  <c r="N786" i="13"/>
  <c r="V786" i="13" s="1"/>
  <c r="N785" i="13"/>
  <c r="V785" i="13" s="1"/>
  <c r="N784" i="13"/>
  <c r="V784" i="13" s="1"/>
  <c r="N783" i="13"/>
  <c r="V783" i="13" s="1"/>
  <c r="N782" i="13"/>
  <c r="V782" i="13" s="1"/>
  <c r="N789" i="13"/>
  <c r="V789" i="13" s="1"/>
  <c r="N788" i="13"/>
  <c r="V788" i="13" s="1"/>
  <c r="N793" i="13"/>
  <c r="V793" i="13" s="1"/>
  <c r="N792" i="13"/>
  <c r="V792" i="13" s="1"/>
  <c r="N799" i="13"/>
  <c r="V799" i="13" s="1"/>
  <c r="N798" i="13"/>
  <c r="V798" i="13" s="1"/>
  <c r="N803" i="13"/>
  <c r="V803" i="13" s="1"/>
  <c r="N802" i="13"/>
  <c r="V802" i="13" s="1"/>
  <c r="N801" i="13"/>
  <c r="V801" i="13" s="1"/>
  <c r="N811" i="13"/>
  <c r="V811" i="13" s="1"/>
  <c r="N810" i="13"/>
  <c r="V810" i="13" s="1"/>
  <c r="N813" i="13"/>
  <c r="V813" i="13" s="1"/>
  <c r="N815" i="13"/>
  <c r="V815" i="13" s="1"/>
  <c r="N824" i="13"/>
  <c r="V824" i="13" s="1"/>
  <c r="N823" i="13"/>
  <c r="V823" i="13" s="1"/>
  <c r="N826" i="13"/>
  <c r="V826" i="13" s="1"/>
  <c r="N828" i="13"/>
  <c r="V828" i="13" s="1"/>
  <c r="N830" i="13"/>
  <c r="V830" i="13" s="1"/>
  <c r="N832" i="13"/>
  <c r="V832" i="13" s="1"/>
  <c r="N835" i="13"/>
  <c r="V835" i="13" s="1"/>
  <c r="N834" i="13"/>
  <c r="V834" i="13" s="1"/>
  <c r="N837" i="13"/>
  <c r="V837" i="13" s="1"/>
  <c r="N839" i="13"/>
  <c r="V839" i="13" s="1"/>
  <c r="N848" i="13"/>
  <c r="V848" i="13" s="1"/>
  <c r="N847" i="13"/>
  <c r="V847" i="13" s="1"/>
  <c r="N846" i="13"/>
  <c r="V846" i="13" s="1"/>
  <c r="N845" i="13"/>
  <c r="V845" i="13" s="1"/>
  <c r="N844" i="13"/>
  <c r="V844" i="13" s="1"/>
  <c r="N843" i="13"/>
  <c r="V843" i="13" s="1"/>
  <c r="N842" i="13"/>
  <c r="V842" i="13" s="1"/>
  <c r="N841" i="13"/>
  <c r="V841" i="13" s="1"/>
  <c r="N855" i="13"/>
  <c r="V855" i="13" s="1"/>
  <c r="N854" i="13"/>
  <c r="V854" i="13" s="1"/>
  <c r="N853" i="13"/>
  <c r="V853" i="13" s="1"/>
  <c r="N852" i="13"/>
  <c r="V852" i="13" s="1"/>
  <c r="N851" i="13"/>
  <c r="V851" i="13" s="1"/>
  <c r="N859" i="13"/>
  <c r="V859" i="13" s="1"/>
  <c r="N858" i="13"/>
  <c r="V858" i="13" s="1"/>
  <c r="N857" i="13"/>
  <c r="V857" i="13" s="1"/>
  <c r="N864" i="13"/>
  <c r="V864" i="13" s="1"/>
  <c r="N863" i="13"/>
  <c r="V863" i="13" s="1"/>
  <c r="N862" i="13"/>
  <c r="V862" i="13" s="1"/>
  <c r="N861" i="13"/>
  <c r="V861" i="13" s="1"/>
  <c r="N866" i="13"/>
  <c r="V866" i="13" s="1"/>
  <c r="N871" i="13"/>
  <c r="V871" i="13" s="1"/>
  <c r="N872" i="13"/>
  <c r="V872" i="13" s="1"/>
  <c r="N876" i="13"/>
  <c r="V876" i="13" s="1"/>
  <c r="N875" i="13"/>
  <c r="V875" i="13" s="1"/>
  <c r="N880" i="13"/>
  <c r="V880" i="13" s="1"/>
  <c r="N879" i="13"/>
  <c r="V879" i="13" s="1"/>
  <c r="N883" i="13"/>
  <c r="V883" i="13" s="1"/>
  <c r="N882" i="13"/>
  <c r="V882" i="13" s="1"/>
  <c r="N885" i="13"/>
  <c r="V885" i="13" s="1"/>
  <c r="N891" i="13"/>
  <c r="V891" i="13" s="1"/>
  <c r="N890" i="13"/>
  <c r="V890" i="13" s="1"/>
  <c r="N889" i="13"/>
  <c r="V889" i="13" s="1"/>
  <c r="N888" i="13"/>
  <c r="V888" i="13" s="1"/>
  <c r="N887" i="13"/>
  <c r="V887" i="13" s="1"/>
  <c r="N896" i="13"/>
  <c r="V896" i="13" s="1"/>
  <c r="N895" i="13"/>
  <c r="V895" i="13" s="1"/>
  <c r="N894" i="13"/>
  <c r="V894" i="13" s="1"/>
  <c r="N893" i="13"/>
  <c r="V893" i="13" s="1"/>
  <c r="N907" i="13"/>
  <c r="V907" i="13" s="1"/>
  <c r="N906" i="13"/>
  <c r="V906" i="13" s="1"/>
  <c r="N905" i="13"/>
  <c r="V905" i="13" s="1"/>
  <c r="N904" i="13"/>
  <c r="V904" i="13" s="1"/>
  <c r="N903" i="13"/>
  <c r="V903" i="13" s="1"/>
  <c r="N902" i="13"/>
  <c r="V902" i="13" s="1"/>
  <c r="N901" i="13"/>
  <c r="V901" i="13" s="1"/>
  <c r="N900" i="13"/>
  <c r="V900" i="13" s="1"/>
  <c r="N899" i="13"/>
  <c r="V899" i="13" s="1"/>
  <c r="N898" i="13"/>
  <c r="V898" i="13" s="1"/>
  <c r="N897" i="13"/>
  <c r="V897" i="13" s="1"/>
  <c r="N914" i="13"/>
  <c r="V914" i="13" s="1"/>
  <c r="N913" i="13"/>
  <c r="V913" i="13" s="1"/>
  <c r="N912" i="13"/>
  <c r="V912" i="13" s="1"/>
  <c r="N911" i="13"/>
  <c r="V911" i="13" s="1"/>
  <c r="N910" i="13"/>
  <c r="V910" i="13" s="1"/>
  <c r="N909" i="13"/>
  <c r="V909" i="13" s="1"/>
  <c r="N908" i="13"/>
  <c r="V908" i="13" s="1"/>
  <c r="N919" i="13"/>
  <c r="V919" i="13" s="1"/>
  <c r="N918" i="13"/>
  <c r="V918" i="13" s="1"/>
  <c r="N917" i="13"/>
  <c r="V917" i="13" s="1"/>
  <c r="N916" i="13"/>
  <c r="V916" i="13" s="1"/>
  <c r="N932" i="13"/>
  <c r="V932" i="13" s="1"/>
  <c r="N931" i="13"/>
  <c r="V931" i="13" s="1"/>
  <c r="N930" i="13"/>
  <c r="V930" i="13" s="1"/>
  <c r="N929" i="13"/>
  <c r="V929" i="13" s="1"/>
  <c r="N928" i="13"/>
  <c r="V928" i="13" s="1"/>
  <c r="N927" i="13"/>
  <c r="V927" i="13" s="1"/>
  <c r="N926" i="13"/>
  <c r="V926" i="13" s="1"/>
  <c r="N925" i="13"/>
  <c r="V925" i="13" s="1"/>
  <c r="N924" i="13"/>
  <c r="V924" i="13" s="1"/>
  <c r="N923" i="13"/>
  <c r="V923" i="13" s="1"/>
  <c r="N922" i="13"/>
  <c r="V922" i="13" s="1"/>
  <c r="N921" i="13"/>
  <c r="V921" i="13" s="1"/>
  <c r="N920" i="13"/>
  <c r="V920" i="13" s="1"/>
  <c r="N937" i="13"/>
  <c r="V937" i="13" s="1"/>
  <c r="N936" i="13"/>
  <c r="V936" i="13" s="1"/>
  <c r="N935" i="13"/>
  <c r="V935" i="13" s="1"/>
  <c r="N934" i="13"/>
  <c r="V934" i="13" s="1"/>
  <c r="N946" i="13"/>
  <c r="V946" i="13" s="1"/>
  <c r="N945" i="13"/>
  <c r="V945" i="13" s="1"/>
  <c r="N944" i="13"/>
  <c r="V944" i="13" s="1"/>
  <c r="N943" i="13"/>
  <c r="V943" i="13" s="1"/>
  <c r="N942" i="13"/>
  <c r="V942" i="13" s="1"/>
  <c r="N941" i="13"/>
  <c r="V941" i="13" s="1"/>
  <c r="N940" i="13"/>
  <c r="V940" i="13" s="1"/>
  <c r="N939" i="13"/>
  <c r="V939" i="13" s="1"/>
  <c r="N938" i="13"/>
  <c r="V938" i="13" s="1"/>
  <c r="N955" i="13"/>
  <c r="V955" i="13" s="1"/>
  <c r="N954" i="13"/>
  <c r="V954" i="13" s="1"/>
  <c r="N953" i="13"/>
  <c r="V953" i="13" s="1"/>
  <c r="N952" i="13"/>
  <c r="V952" i="13" s="1"/>
  <c r="N951" i="13"/>
  <c r="V951" i="13" s="1"/>
  <c r="N950" i="13"/>
  <c r="V950" i="13" s="1"/>
  <c r="N949" i="13"/>
  <c r="V949" i="13" s="1"/>
  <c r="N948" i="13"/>
  <c r="V948" i="13" s="1"/>
  <c r="N947" i="13"/>
  <c r="V947" i="13" s="1"/>
  <c r="N963" i="13"/>
  <c r="V963" i="13" s="1"/>
  <c r="N962" i="13"/>
  <c r="V962" i="13" s="1"/>
  <c r="N961" i="13"/>
  <c r="V961" i="13" s="1"/>
  <c r="N960" i="13"/>
  <c r="V960" i="13" s="1"/>
  <c r="N959" i="13"/>
  <c r="V959" i="13" s="1"/>
  <c r="N958" i="13"/>
  <c r="V958" i="13" s="1"/>
  <c r="N957" i="13"/>
  <c r="V957" i="13" s="1"/>
  <c r="N956" i="13"/>
  <c r="V956" i="13" s="1"/>
  <c r="N970" i="13"/>
  <c r="V970" i="13" s="1"/>
  <c r="N969" i="13"/>
  <c r="V969" i="13" s="1"/>
  <c r="N968" i="13"/>
  <c r="V968" i="13" s="1"/>
  <c r="N967" i="13"/>
  <c r="V967" i="13" s="1"/>
  <c r="N966" i="13"/>
  <c r="V966" i="13" s="1"/>
  <c r="N977" i="13"/>
  <c r="V977" i="13" s="1"/>
  <c r="N976" i="13"/>
  <c r="V976" i="13" s="1"/>
  <c r="N975" i="13"/>
  <c r="V975" i="13" s="1"/>
  <c r="N974" i="13"/>
  <c r="V974" i="13" s="1"/>
  <c r="N973" i="13"/>
  <c r="V973" i="13" s="1"/>
  <c r="N972" i="13"/>
  <c r="V972" i="13" s="1"/>
  <c r="N971" i="13"/>
  <c r="V971" i="13" s="1"/>
  <c r="N979" i="13"/>
  <c r="V979" i="13" s="1"/>
  <c r="N986" i="13"/>
  <c r="V986" i="13" s="1"/>
  <c r="N985" i="13"/>
  <c r="V985" i="13" s="1"/>
  <c r="N984" i="13"/>
  <c r="V984" i="13" s="1"/>
  <c r="N983" i="13"/>
  <c r="V983" i="13" s="1"/>
  <c r="N982" i="13"/>
  <c r="V982" i="13" s="1"/>
  <c r="N981" i="13"/>
  <c r="V981" i="13" s="1"/>
  <c r="N980" i="13"/>
  <c r="V980" i="13" s="1"/>
  <c r="N995" i="13"/>
  <c r="V995" i="13" s="1"/>
  <c r="N994" i="13"/>
  <c r="V994" i="13" s="1"/>
  <c r="N993" i="13"/>
  <c r="V993" i="13" s="1"/>
  <c r="N992" i="13"/>
  <c r="V992" i="13" s="1"/>
  <c r="N991" i="13"/>
  <c r="V991" i="13" s="1"/>
  <c r="N990" i="13"/>
  <c r="V990" i="13" s="1"/>
  <c r="N989" i="13"/>
  <c r="V989" i="13" s="1"/>
  <c r="N988" i="13"/>
  <c r="V988" i="13" s="1"/>
  <c r="N998" i="13"/>
  <c r="V998" i="13" s="1"/>
  <c r="N997" i="13"/>
  <c r="V997" i="13" s="1"/>
  <c r="N999" i="13"/>
  <c r="V999" i="13" s="1"/>
  <c r="N1003" i="13"/>
  <c r="V1003" i="13" s="1"/>
  <c r="N1002" i="13"/>
  <c r="V1002" i="13" s="1"/>
  <c r="N1001" i="13"/>
  <c r="V1001" i="13" s="1"/>
  <c r="N1004" i="13"/>
  <c r="V1004" i="13" s="1"/>
  <c r="N1012" i="13"/>
  <c r="V1012" i="13" s="1"/>
  <c r="N1011" i="13"/>
  <c r="V1011" i="13" s="1"/>
  <c r="N1010" i="13"/>
  <c r="V1010" i="13" s="1"/>
  <c r="N1009" i="13"/>
  <c r="V1009" i="13" s="1"/>
  <c r="N1008" i="13"/>
  <c r="V1008" i="13" s="1"/>
  <c r="N1007" i="13"/>
  <c r="V1007" i="13" s="1"/>
  <c r="N1006" i="13"/>
  <c r="V1006" i="13" s="1"/>
  <c r="N1005" i="13"/>
  <c r="V1005" i="13" s="1"/>
  <c r="N1023" i="13"/>
  <c r="V1023" i="13" s="1"/>
  <c r="N1022" i="13"/>
  <c r="V1022" i="13" s="1"/>
  <c r="N1021" i="13"/>
  <c r="V1021" i="13" s="1"/>
  <c r="N1020" i="13"/>
  <c r="V1020" i="13" s="1"/>
  <c r="N1019" i="13"/>
  <c r="V1019" i="13" s="1"/>
  <c r="N1018" i="13"/>
  <c r="V1018" i="13" s="1"/>
  <c r="N1017" i="13"/>
  <c r="V1017" i="13" s="1"/>
  <c r="N1016" i="13"/>
  <c r="V1016" i="13" s="1"/>
  <c r="N1015" i="13"/>
  <c r="V1015" i="13" s="1"/>
  <c r="N1014" i="13"/>
  <c r="V1014" i="13" s="1"/>
  <c r="N1013" i="13"/>
  <c r="V1013" i="13" s="1"/>
  <c r="N1028" i="13"/>
  <c r="V1028" i="13" s="1"/>
  <c r="N1027" i="13"/>
  <c r="V1027" i="13" s="1"/>
  <c r="N1026" i="13"/>
  <c r="V1026" i="13" s="1"/>
  <c r="N1025" i="13"/>
  <c r="V1025" i="13" s="1"/>
  <c r="N1040" i="13"/>
  <c r="V1040" i="13" s="1"/>
  <c r="N1039" i="13"/>
  <c r="V1039" i="13" s="1"/>
  <c r="N1038" i="13"/>
  <c r="V1038" i="13" s="1"/>
  <c r="N1037" i="13"/>
  <c r="V1037" i="13" s="1"/>
  <c r="N1036" i="13"/>
  <c r="V1036" i="13" s="1"/>
  <c r="N1035" i="13"/>
  <c r="V1035" i="13" s="1"/>
  <c r="N1034" i="13"/>
  <c r="V1034" i="13" s="1"/>
  <c r="N1033" i="13"/>
  <c r="V1033" i="13" s="1"/>
  <c r="N1032" i="13"/>
  <c r="V1032" i="13" s="1"/>
  <c r="N1031" i="13"/>
  <c r="V1031" i="13" s="1"/>
  <c r="N1053" i="13"/>
  <c r="V1053" i="13" s="1"/>
  <c r="N1052" i="13"/>
  <c r="V1052" i="13" s="1"/>
  <c r="N1051" i="13"/>
  <c r="V1051" i="13" s="1"/>
  <c r="N1050" i="13"/>
  <c r="V1050" i="13" s="1"/>
  <c r="N1049" i="13"/>
  <c r="V1049" i="13" s="1"/>
  <c r="N1048" i="13"/>
  <c r="V1048" i="13" s="1"/>
  <c r="N1047" i="13"/>
  <c r="V1047" i="13" s="1"/>
  <c r="N1046" i="13"/>
  <c r="V1046" i="13" s="1"/>
  <c r="N1057" i="13"/>
  <c r="V1057" i="13" s="1"/>
  <c r="N1061" i="13"/>
  <c r="V1061" i="13" s="1"/>
  <c r="N1065" i="13"/>
  <c r="V1065" i="13" s="1"/>
  <c r="N1064" i="13"/>
  <c r="V1064" i="13" s="1"/>
  <c r="N1063" i="13"/>
  <c r="V1063" i="13" s="1"/>
  <c r="N726" i="13"/>
  <c r="V726" i="13" s="1"/>
  <c r="N1068" i="13"/>
  <c r="V1068" i="13" s="1"/>
  <c r="N1067" i="13"/>
  <c r="V1067" i="13" s="1"/>
  <c r="N1071" i="13"/>
  <c r="V1071" i="13" s="1"/>
  <c r="N1070" i="13"/>
  <c r="V1070" i="13" s="1"/>
  <c r="N1073" i="13"/>
  <c r="V1073" i="13" s="1"/>
  <c r="N1077" i="13"/>
  <c r="V1077" i="13" s="1"/>
  <c r="N1080" i="13"/>
  <c r="V1080" i="13" s="1"/>
  <c r="N1079" i="13"/>
  <c r="V1079" i="13" s="1"/>
  <c r="N1086" i="13"/>
  <c r="V1086" i="13" s="1"/>
  <c r="N1085" i="13"/>
  <c r="V1085" i="13" s="1"/>
  <c r="N1084" i="13"/>
  <c r="V1084" i="13" s="1"/>
  <c r="N1095" i="13"/>
  <c r="V1095" i="13" s="1"/>
  <c r="N1094" i="13"/>
  <c r="V1094" i="13" s="1"/>
  <c r="N1093" i="13"/>
  <c r="V1093" i="13" s="1"/>
  <c r="N1092" i="13"/>
  <c r="V1092" i="13" s="1"/>
  <c r="N1091" i="13"/>
  <c r="V1091" i="13" s="1"/>
  <c r="N1090" i="13"/>
  <c r="V1090" i="13" s="1"/>
  <c r="N1089" i="13"/>
  <c r="V1089" i="13" s="1"/>
  <c r="N1088" i="13"/>
  <c r="V1088" i="13" s="1"/>
  <c r="N1099" i="13"/>
  <c r="V1099" i="13" s="1"/>
  <c r="N1100" i="13"/>
  <c r="V1100" i="13" s="1"/>
  <c r="V1087" i="13"/>
  <c r="V1082" i="13"/>
  <c r="V1075" i="13"/>
  <c r="V1059" i="13"/>
  <c r="V1055" i="13"/>
  <c r="V1041" i="13"/>
  <c r="V1030" i="13"/>
  <c r="V1029" i="13"/>
  <c r="V1024" i="13"/>
  <c r="V996" i="13"/>
  <c r="V965" i="13"/>
  <c r="V964" i="13"/>
  <c r="V933" i="13"/>
  <c r="V892" i="13"/>
  <c r="V886" i="13"/>
  <c r="V877" i="13"/>
  <c r="V870" i="13"/>
  <c r="V868" i="13"/>
  <c r="V849" i="13"/>
  <c r="V836" i="13"/>
  <c r="V821" i="13"/>
  <c r="V808" i="13"/>
  <c r="V807" i="13"/>
  <c r="V796" i="13"/>
  <c r="V795" i="13"/>
  <c r="V791" i="13"/>
  <c r="V781" i="13"/>
  <c r="V773" i="13"/>
  <c r="V771" i="13"/>
  <c r="V769" i="13"/>
  <c r="V751" i="13"/>
  <c r="V725" i="13"/>
  <c r="V723" i="13"/>
  <c r="V674" i="13"/>
  <c r="V673" i="13"/>
  <c r="V672" i="13"/>
  <c r="V671" i="13"/>
  <c r="V666" i="13"/>
  <c r="V648" i="13"/>
  <c r="V646" i="13"/>
  <c r="V637" i="13"/>
  <c r="V636" i="13"/>
  <c r="V633" i="13"/>
  <c r="V584" i="13"/>
  <c r="V553" i="13"/>
  <c r="V551" i="13"/>
  <c r="V541" i="13"/>
  <c r="V534" i="13"/>
  <c r="V533" i="13"/>
  <c r="V532" i="13"/>
  <c r="V521" i="13"/>
  <c r="V520" i="13"/>
  <c r="V511" i="13"/>
  <c r="V501" i="13"/>
  <c r="V494" i="13"/>
  <c r="V486" i="13"/>
  <c r="V482" i="13"/>
  <c r="V478" i="13"/>
  <c r="V464" i="13"/>
  <c r="V463" i="13"/>
  <c r="V435" i="13"/>
  <c r="V430" i="13"/>
  <c r="V428" i="13"/>
  <c r="V402" i="13"/>
  <c r="V395" i="13"/>
  <c r="V390" i="13"/>
  <c r="V389" i="13"/>
  <c r="V381" i="13"/>
  <c r="V373" i="13"/>
  <c r="V372" i="13"/>
  <c r="V367" i="13"/>
  <c r="V366" i="13"/>
  <c r="R1100" i="13"/>
  <c r="R1099" i="13"/>
  <c r="R1095" i="13"/>
  <c r="R1094" i="13"/>
  <c r="R1093" i="13"/>
  <c r="R1092" i="13"/>
  <c r="R1091" i="13"/>
  <c r="R1090" i="13"/>
  <c r="R1089" i="13"/>
  <c r="R1088" i="13"/>
  <c r="R1087" i="13"/>
  <c r="R1086" i="13"/>
  <c r="R1085" i="13"/>
  <c r="R1084" i="13"/>
  <c r="R1082" i="13"/>
  <c r="R1079" i="13"/>
  <c r="R1077" i="13"/>
  <c r="R1073" i="13"/>
  <c r="R1071" i="13"/>
  <c r="R1070" i="13"/>
  <c r="R726" i="13"/>
  <c r="R1068" i="13"/>
  <c r="R1067" i="13"/>
  <c r="R1065" i="13"/>
  <c r="R1064" i="13"/>
  <c r="R1063" i="13"/>
  <c r="R1061" i="13"/>
  <c r="R1057" i="13"/>
  <c r="R1055" i="13"/>
  <c r="R1053" i="13"/>
  <c r="R1052" i="13"/>
  <c r="R1051" i="13"/>
  <c r="R1050" i="13"/>
  <c r="R1049" i="13"/>
  <c r="R1048" i="13"/>
  <c r="R1047" i="13"/>
  <c r="R1046" i="13"/>
  <c r="R1045" i="13"/>
  <c r="R1044" i="13"/>
  <c r="R1043" i="13"/>
  <c r="R1042" i="13"/>
  <c r="R1041" i="13"/>
  <c r="R1040" i="13"/>
  <c r="R1039" i="13"/>
  <c r="R1038" i="13"/>
  <c r="R1037" i="13"/>
  <c r="R1036" i="13"/>
  <c r="R1035" i="13"/>
  <c r="R1034" i="13"/>
  <c r="R1033" i="13"/>
  <c r="R1032" i="13"/>
  <c r="R1031" i="13"/>
  <c r="R1030" i="13"/>
  <c r="R1029" i="13"/>
  <c r="R1028" i="13"/>
  <c r="R1027" i="13"/>
  <c r="R1026" i="13"/>
  <c r="R1025" i="13"/>
  <c r="R1024" i="13"/>
  <c r="R1023" i="13"/>
  <c r="R1022" i="13"/>
  <c r="R1021" i="13"/>
  <c r="R1020" i="13"/>
  <c r="R1019" i="13"/>
  <c r="R1018" i="13"/>
  <c r="R1017" i="13"/>
  <c r="R1016" i="13"/>
  <c r="R1015" i="13"/>
  <c r="R1014" i="13"/>
  <c r="R1013" i="13"/>
  <c r="R1012" i="13"/>
  <c r="R1011" i="13"/>
  <c r="R1010" i="13"/>
  <c r="R1009" i="13"/>
  <c r="R1008" i="13"/>
  <c r="R1007" i="13"/>
  <c r="R1006" i="13"/>
  <c r="R1005" i="13"/>
  <c r="R1004" i="13"/>
  <c r="R1003" i="13"/>
  <c r="R1002" i="13"/>
  <c r="R1001" i="13"/>
  <c r="R1000" i="13"/>
  <c r="R999" i="13"/>
  <c r="R998" i="13"/>
  <c r="R997" i="13"/>
  <c r="R996" i="13"/>
  <c r="R995" i="13"/>
  <c r="R994" i="13"/>
  <c r="R993" i="13"/>
  <c r="R992" i="13"/>
  <c r="R991" i="13"/>
  <c r="R990" i="13"/>
  <c r="R989" i="13"/>
  <c r="R988" i="13"/>
  <c r="R987" i="13"/>
  <c r="R986" i="13"/>
  <c r="R985" i="13"/>
  <c r="R984" i="13"/>
  <c r="R983" i="13"/>
  <c r="R982" i="13"/>
  <c r="R981" i="13"/>
  <c r="R980" i="13"/>
  <c r="R979" i="13"/>
  <c r="R978" i="13"/>
  <c r="R977" i="13"/>
  <c r="R976" i="13"/>
  <c r="R975" i="13"/>
  <c r="R974" i="13"/>
  <c r="R973" i="13"/>
  <c r="R972" i="13"/>
  <c r="R971" i="13"/>
  <c r="R970" i="13"/>
  <c r="R969" i="13"/>
  <c r="R968" i="13"/>
  <c r="R967" i="13"/>
  <c r="R966" i="13"/>
  <c r="R965" i="13"/>
  <c r="R964" i="13"/>
  <c r="R963" i="13"/>
  <c r="R962" i="13"/>
  <c r="R961" i="13"/>
  <c r="R960" i="13"/>
  <c r="R959" i="13"/>
  <c r="R958" i="13"/>
  <c r="R957" i="13"/>
  <c r="R956" i="13"/>
  <c r="R955" i="13"/>
  <c r="R954" i="13"/>
  <c r="R953" i="13"/>
  <c r="R952" i="13"/>
  <c r="R951" i="13"/>
  <c r="R950" i="13"/>
  <c r="R949" i="13"/>
  <c r="R948" i="13"/>
  <c r="R947" i="13"/>
  <c r="R946" i="13"/>
  <c r="R945" i="13"/>
  <c r="R944" i="13"/>
  <c r="R943" i="13"/>
  <c r="R942" i="13"/>
  <c r="R941" i="13"/>
  <c r="R940" i="13"/>
  <c r="R939" i="13"/>
  <c r="R938" i="13"/>
  <c r="R937" i="13"/>
  <c r="R936" i="13"/>
  <c r="R935" i="13"/>
  <c r="R934" i="13"/>
  <c r="R933" i="13"/>
  <c r="R932" i="13"/>
  <c r="R931" i="13"/>
  <c r="R930" i="13"/>
  <c r="R929" i="13"/>
  <c r="R928" i="13"/>
  <c r="R927" i="13"/>
  <c r="R926" i="13"/>
  <c r="R925" i="13"/>
  <c r="R924" i="13"/>
  <c r="R923" i="13"/>
  <c r="R922" i="13"/>
  <c r="R921" i="13"/>
  <c r="R920" i="13"/>
  <c r="R919" i="13"/>
  <c r="R918" i="13"/>
  <c r="R917" i="13"/>
  <c r="R916" i="13"/>
  <c r="R915" i="13"/>
  <c r="R914" i="13"/>
  <c r="R913" i="13"/>
  <c r="R912" i="13"/>
  <c r="R911" i="13"/>
  <c r="R910" i="13"/>
  <c r="R909" i="13"/>
  <c r="R908" i="13"/>
  <c r="R907" i="13"/>
  <c r="R906" i="13"/>
  <c r="R905" i="13"/>
  <c r="R904" i="13"/>
  <c r="R903" i="13"/>
  <c r="R902" i="13"/>
  <c r="R901" i="13"/>
  <c r="R900" i="13"/>
  <c r="R899" i="13"/>
  <c r="R898" i="13"/>
  <c r="R897" i="13"/>
  <c r="R896" i="13"/>
  <c r="R895" i="13"/>
  <c r="R894" i="13"/>
  <c r="R893" i="13"/>
  <c r="R892" i="13"/>
  <c r="R891" i="13"/>
  <c r="R890" i="13"/>
  <c r="R889" i="13"/>
  <c r="R888" i="13"/>
  <c r="R887" i="13"/>
  <c r="R886" i="13"/>
  <c r="R885" i="13"/>
  <c r="R883" i="13"/>
  <c r="R882" i="13"/>
  <c r="R880" i="13"/>
  <c r="R879" i="13"/>
  <c r="R877" i="13"/>
  <c r="R876" i="13"/>
  <c r="R875" i="13"/>
  <c r="R874" i="13"/>
  <c r="R873" i="13"/>
  <c r="R872" i="13"/>
  <c r="R871" i="13"/>
  <c r="R870" i="13"/>
  <c r="R869" i="13"/>
  <c r="R868" i="13"/>
  <c r="R866" i="13"/>
  <c r="R864" i="13"/>
  <c r="R863" i="13"/>
  <c r="R862" i="13"/>
  <c r="R861" i="13"/>
  <c r="R859" i="13"/>
  <c r="R858" i="13"/>
  <c r="R857" i="13"/>
  <c r="R855" i="13"/>
  <c r="R854" i="13"/>
  <c r="R853" i="13"/>
  <c r="R852" i="13"/>
  <c r="R851" i="13"/>
  <c r="R850" i="13"/>
  <c r="R849" i="13"/>
  <c r="R848" i="13"/>
  <c r="R847" i="13"/>
  <c r="R846" i="13"/>
  <c r="R845" i="13"/>
  <c r="R844" i="13"/>
  <c r="R843" i="13"/>
  <c r="R842" i="13"/>
  <c r="R841" i="13"/>
  <c r="R834" i="13"/>
  <c r="R832" i="13"/>
  <c r="R828" i="13"/>
  <c r="R819" i="13"/>
  <c r="R818" i="13"/>
  <c r="R817" i="13"/>
  <c r="R815" i="13"/>
  <c r="R813" i="13"/>
  <c r="R812" i="13"/>
  <c r="R811" i="13"/>
  <c r="R810" i="13"/>
  <c r="R808" i="13"/>
  <c r="R807" i="13"/>
  <c r="R805" i="13"/>
  <c r="R803" i="13"/>
  <c r="R802" i="13"/>
  <c r="R801" i="13"/>
  <c r="R799" i="13"/>
  <c r="R798" i="13"/>
  <c r="R796" i="13"/>
  <c r="R795" i="13"/>
  <c r="R793" i="13"/>
  <c r="R792" i="13"/>
  <c r="R791" i="13"/>
  <c r="R789" i="13"/>
  <c r="R788" i="13"/>
  <c r="R786" i="13"/>
  <c r="R785" i="13"/>
  <c r="R784" i="13"/>
  <c r="R783" i="13"/>
  <c r="R782" i="13"/>
  <c r="R781" i="13"/>
  <c r="R780" i="13"/>
  <c r="R779" i="13"/>
  <c r="R778" i="13"/>
  <c r="R777" i="13"/>
  <c r="R776" i="13"/>
  <c r="R775" i="13"/>
  <c r="R774" i="13"/>
  <c r="R773" i="13"/>
  <c r="R772" i="13"/>
  <c r="R771" i="13"/>
  <c r="R770" i="13"/>
  <c r="R769" i="13"/>
  <c r="R768" i="13"/>
  <c r="R766" i="13"/>
  <c r="R765" i="13"/>
  <c r="R758" i="13"/>
  <c r="R756" i="13"/>
  <c r="R755" i="13"/>
  <c r="R754" i="13"/>
  <c r="R753" i="13"/>
  <c r="R752" i="13"/>
  <c r="R751" i="13"/>
  <c r="R750" i="13"/>
  <c r="R749" i="13"/>
  <c r="R748" i="13"/>
  <c r="R747" i="13"/>
  <c r="R746" i="13"/>
  <c r="R745" i="13"/>
  <c r="R744" i="13"/>
  <c r="R742" i="13"/>
  <c r="R740" i="13"/>
  <c r="R738" i="13"/>
  <c r="R737" i="13"/>
  <c r="R736" i="13"/>
  <c r="R734" i="13"/>
  <c r="R732" i="13"/>
  <c r="R731" i="13"/>
  <c r="R730" i="13"/>
  <c r="R728" i="13"/>
  <c r="R725" i="13"/>
  <c r="R724" i="13"/>
  <c r="R723" i="13"/>
  <c r="R722" i="13"/>
  <c r="R721" i="13"/>
  <c r="R720" i="13"/>
  <c r="R719" i="13"/>
  <c r="R718" i="13"/>
  <c r="R717" i="13"/>
  <c r="R715" i="13"/>
  <c r="R714" i="13"/>
  <c r="R712" i="13"/>
  <c r="R710" i="13"/>
  <c r="R709" i="13"/>
  <c r="R708" i="13"/>
  <c r="R706" i="13"/>
  <c r="R705" i="13"/>
  <c r="R704" i="13"/>
  <c r="R703" i="13"/>
  <c r="R702" i="13"/>
  <c r="R701" i="13"/>
  <c r="R700" i="13"/>
  <c r="R699" i="13"/>
  <c r="R698" i="13"/>
  <c r="R697" i="13"/>
  <c r="R696" i="13"/>
  <c r="R695" i="13"/>
  <c r="R694" i="13"/>
  <c r="R693" i="13"/>
  <c r="R692" i="13"/>
  <c r="R691" i="13"/>
  <c r="R690" i="13"/>
  <c r="R689" i="13"/>
  <c r="R688" i="13"/>
  <c r="R687" i="13"/>
  <c r="R686" i="13"/>
  <c r="R685" i="13"/>
  <c r="R684" i="13"/>
  <c r="R683" i="13"/>
  <c r="R682" i="13"/>
  <c r="R681" i="13"/>
  <c r="R680" i="13"/>
  <c r="R679" i="13"/>
  <c r="R678" i="13"/>
  <c r="R677" i="13"/>
  <c r="R676" i="13"/>
  <c r="R675" i="13"/>
  <c r="R674" i="13"/>
  <c r="R673" i="13"/>
  <c r="R672" i="13"/>
  <c r="R671" i="13"/>
  <c r="R670" i="13"/>
  <c r="R669" i="13"/>
  <c r="R668" i="13"/>
  <c r="R667" i="13"/>
  <c r="R666" i="13"/>
  <c r="R665" i="13"/>
  <c r="R664" i="13"/>
  <c r="R663" i="13"/>
  <c r="R662" i="13"/>
  <c r="R661" i="13"/>
  <c r="R660" i="13"/>
  <c r="R659" i="13"/>
  <c r="R658" i="13"/>
  <c r="R657" i="13"/>
  <c r="R656" i="13"/>
  <c r="R655" i="13"/>
  <c r="R654" i="13"/>
  <c r="R653" i="13"/>
  <c r="R652" i="13"/>
  <c r="R651" i="13"/>
  <c r="R650" i="13"/>
  <c r="R649" i="13"/>
  <c r="R648" i="13"/>
  <c r="R647" i="13"/>
  <c r="R646" i="13"/>
  <c r="R645" i="13"/>
  <c r="R644" i="13"/>
  <c r="R643" i="13"/>
  <c r="R642" i="13"/>
  <c r="R641" i="13"/>
  <c r="R640" i="13"/>
  <c r="R639" i="13"/>
  <c r="R638" i="13"/>
  <c r="R637" i="13"/>
  <c r="R636" i="13"/>
  <c r="R635" i="13"/>
  <c r="R634" i="13"/>
  <c r="R633" i="13"/>
  <c r="R632" i="13"/>
  <c r="R631" i="13"/>
  <c r="R630" i="13"/>
  <c r="R629" i="13"/>
  <c r="R628" i="13"/>
  <c r="R627" i="13"/>
  <c r="R626" i="13"/>
  <c r="R625" i="13"/>
  <c r="R624" i="13"/>
  <c r="R623" i="13"/>
  <c r="R622" i="13"/>
  <c r="R621" i="13"/>
  <c r="R620" i="13"/>
  <c r="R619" i="13"/>
  <c r="R618" i="13"/>
  <c r="R617" i="13"/>
  <c r="R616" i="13"/>
  <c r="R615" i="13"/>
  <c r="R614" i="13"/>
  <c r="R613" i="13"/>
  <c r="R612" i="13"/>
  <c r="R611" i="13"/>
  <c r="R610" i="13"/>
  <c r="R609" i="13"/>
  <c r="R608" i="13"/>
  <c r="R607" i="13"/>
  <c r="R606" i="13"/>
  <c r="R605" i="13"/>
  <c r="R604" i="13"/>
  <c r="R603" i="13"/>
  <c r="R602" i="13"/>
  <c r="R601" i="13"/>
  <c r="R600" i="13"/>
  <c r="R599" i="13"/>
  <c r="R598" i="13"/>
  <c r="R597" i="13"/>
  <c r="R596" i="13"/>
  <c r="R595" i="13"/>
  <c r="R594" i="13"/>
  <c r="R593" i="13"/>
  <c r="R592" i="13"/>
  <c r="R591" i="13"/>
  <c r="R590" i="13"/>
  <c r="R589" i="13"/>
  <c r="R588" i="13"/>
  <c r="R587" i="13"/>
  <c r="R586" i="13"/>
  <c r="R585" i="13"/>
  <c r="R584" i="13"/>
  <c r="R583" i="13"/>
  <c r="R582" i="13"/>
  <c r="R581" i="13"/>
  <c r="R580" i="13"/>
  <c r="R579" i="13"/>
  <c r="R578" i="13"/>
  <c r="R577" i="13"/>
  <c r="R576" i="13"/>
  <c r="R575" i="13"/>
  <c r="R574" i="13"/>
  <c r="R573" i="13"/>
  <c r="R572" i="13"/>
  <c r="R571" i="13"/>
  <c r="R570" i="13"/>
  <c r="R569" i="13"/>
  <c r="R568" i="13"/>
  <c r="R567" i="13"/>
  <c r="R566" i="13"/>
  <c r="R565" i="13"/>
  <c r="R564" i="13"/>
  <c r="R563" i="13"/>
  <c r="R562" i="13"/>
  <c r="R561" i="13"/>
  <c r="R560" i="13"/>
  <c r="R559" i="13"/>
  <c r="R558" i="13"/>
  <c r="R557" i="13"/>
  <c r="R556" i="13"/>
  <c r="R555" i="13"/>
  <c r="R554" i="13"/>
  <c r="R553" i="13"/>
  <c r="R551" i="13"/>
  <c r="R550" i="13"/>
  <c r="R549" i="13"/>
  <c r="R548" i="13"/>
  <c r="R547" i="13"/>
  <c r="R546" i="13"/>
  <c r="R545" i="13"/>
  <c r="R544" i="13"/>
  <c r="R543" i="13"/>
  <c r="R542" i="13"/>
  <c r="R541" i="13"/>
  <c r="R540" i="13"/>
  <c r="R539" i="13"/>
  <c r="R538" i="13"/>
  <c r="R537" i="13"/>
  <c r="R536" i="13"/>
  <c r="R535" i="13"/>
  <c r="R534" i="13"/>
  <c r="R533" i="13"/>
  <c r="R532" i="13"/>
  <c r="R531" i="13"/>
  <c r="R530" i="13"/>
  <c r="R529" i="13"/>
  <c r="R528" i="13"/>
  <c r="R527" i="13"/>
  <c r="R526" i="13"/>
  <c r="R525" i="13"/>
  <c r="R524" i="13"/>
  <c r="R523" i="13"/>
  <c r="R522" i="13"/>
  <c r="R521" i="13"/>
  <c r="R520" i="13"/>
  <c r="R519" i="13"/>
  <c r="R518" i="13"/>
  <c r="R517" i="13"/>
  <c r="R516" i="13"/>
  <c r="R515" i="13"/>
  <c r="R514" i="13"/>
  <c r="R513" i="13"/>
  <c r="R512" i="13"/>
  <c r="R511" i="13"/>
  <c r="R510" i="13"/>
  <c r="R509" i="13"/>
  <c r="R508" i="13"/>
  <c r="R507" i="13"/>
  <c r="R506" i="13"/>
  <c r="R505" i="13"/>
  <c r="R504" i="13"/>
  <c r="R503" i="13"/>
  <c r="R502" i="13"/>
  <c r="R501" i="13"/>
  <c r="R499" i="13"/>
  <c r="R497" i="13"/>
  <c r="R496" i="13"/>
  <c r="R494" i="13"/>
  <c r="R492" i="13"/>
  <c r="R491" i="13"/>
  <c r="R490" i="13"/>
  <c r="R489" i="13"/>
  <c r="R488" i="13"/>
  <c r="R487" i="13"/>
  <c r="R486" i="13"/>
  <c r="R485" i="13"/>
  <c r="R484" i="13"/>
  <c r="R483" i="13"/>
  <c r="R482" i="13"/>
  <c r="R481" i="13"/>
  <c r="R480" i="13"/>
  <c r="R479" i="13"/>
  <c r="R478" i="13"/>
  <c r="R476" i="13"/>
  <c r="R474" i="13"/>
  <c r="R472" i="13"/>
  <c r="R471" i="13"/>
  <c r="R470" i="13"/>
  <c r="R469" i="13"/>
  <c r="R468" i="13"/>
  <c r="R467" i="13"/>
  <c r="R466" i="13"/>
  <c r="R464" i="13"/>
  <c r="R463" i="13"/>
  <c r="R462" i="13"/>
  <c r="R461" i="13"/>
  <c r="R460" i="13"/>
  <c r="R459" i="13"/>
  <c r="R458" i="13"/>
  <c r="R457" i="13"/>
  <c r="R456" i="13"/>
  <c r="R454" i="13"/>
  <c r="R452" i="13"/>
  <c r="R451" i="13"/>
  <c r="R450" i="13"/>
  <c r="R449" i="13"/>
  <c r="R448" i="13"/>
  <c r="R447" i="13"/>
  <c r="R446" i="13"/>
  <c r="R445" i="13"/>
  <c r="R444" i="13"/>
  <c r="R442" i="13"/>
  <c r="R441" i="13"/>
  <c r="R440" i="13"/>
  <c r="R439" i="13"/>
  <c r="R438" i="13"/>
  <c r="R436" i="13"/>
  <c r="R435" i="13"/>
  <c r="R434" i="13"/>
  <c r="R430" i="13"/>
  <c r="R407" i="13"/>
  <c r="R395" i="13"/>
  <c r="R384" i="13"/>
  <c r="R381" i="13"/>
  <c r="R377" i="13"/>
  <c r="R367" i="13"/>
  <c r="R364" i="13"/>
  <c r="R363" i="13"/>
  <c r="R355" i="13"/>
  <c r="R353" i="13"/>
  <c r="R349" i="13"/>
  <c r="R348" i="13"/>
  <c r="D933" i="13"/>
  <c r="D553" i="13"/>
  <c r="R716" i="13" l="1"/>
  <c r="V717" i="13"/>
  <c r="N716" i="13"/>
  <c r="C933" i="13"/>
  <c r="C553" i="13"/>
  <c r="N467" i="13"/>
  <c r="V467" i="13" s="1"/>
  <c r="N466" i="13"/>
  <c r="V466" i="13" s="1"/>
  <c r="R342" i="13"/>
  <c r="N342" i="13"/>
  <c r="V342" i="13" s="1"/>
  <c r="R340" i="13"/>
  <c r="N340" i="13"/>
  <c r="V340" i="13" s="1"/>
  <c r="N344" i="13"/>
  <c r="V344" i="13" s="1"/>
  <c r="N32" i="13"/>
  <c r="V32" i="13" s="1"/>
  <c r="N322" i="13"/>
  <c r="D322" i="13"/>
  <c r="D321" i="13" s="1"/>
  <c r="U321" i="13"/>
  <c r="T321" i="13"/>
  <c r="S321" i="13"/>
  <c r="R321" i="13"/>
  <c r="Q321" i="13"/>
  <c r="P321" i="13"/>
  <c r="O321" i="13"/>
  <c r="M321" i="13"/>
  <c r="L321" i="13"/>
  <c r="K321" i="13"/>
  <c r="J321" i="13"/>
  <c r="I321" i="13"/>
  <c r="H321" i="13"/>
  <c r="G321" i="13"/>
  <c r="F321" i="13"/>
  <c r="E321" i="13"/>
  <c r="N321" i="13" l="1"/>
  <c r="C321" i="13" s="1"/>
  <c r="V322" i="13"/>
  <c r="C322" i="13"/>
  <c r="C24" i="13" l="1"/>
  <c r="C23" i="13"/>
  <c r="C22" i="13"/>
  <c r="C21" i="13"/>
  <c r="C19" i="13"/>
  <c r="C18" i="13"/>
  <c r="C17" i="13"/>
  <c r="U1098" i="13"/>
  <c r="T1098" i="13"/>
  <c r="S1098" i="13"/>
  <c r="R1098" i="13"/>
  <c r="Q1098" i="13"/>
  <c r="P1098" i="13"/>
  <c r="O1098" i="13"/>
  <c r="N1098" i="13"/>
  <c r="M1098" i="13"/>
  <c r="L1098" i="13"/>
  <c r="K1098" i="13"/>
  <c r="J1098" i="13"/>
  <c r="U1083" i="13"/>
  <c r="T1083" i="13"/>
  <c r="S1083" i="13"/>
  <c r="R1083" i="13"/>
  <c r="Q1083" i="13"/>
  <c r="P1083" i="13"/>
  <c r="O1083" i="13"/>
  <c r="N1083" i="13"/>
  <c r="M1083" i="13"/>
  <c r="L1083" i="13"/>
  <c r="K1083" i="13"/>
  <c r="J1083" i="13"/>
  <c r="U1081" i="13"/>
  <c r="T1081" i="13"/>
  <c r="S1081" i="13"/>
  <c r="Q1081" i="13"/>
  <c r="P1081" i="13"/>
  <c r="O1081" i="13"/>
  <c r="N1081" i="13"/>
  <c r="M1081" i="13"/>
  <c r="L1081" i="13"/>
  <c r="K1081" i="13"/>
  <c r="J1081" i="13"/>
  <c r="U1078" i="13"/>
  <c r="T1078" i="13"/>
  <c r="S1078" i="13"/>
  <c r="Q1078" i="13"/>
  <c r="P1078" i="13"/>
  <c r="O1078" i="13"/>
  <c r="M1078" i="13"/>
  <c r="L1078" i="13"/>
  <c r="K1078" i="13"/>
  <c r="J1078" i="13"/>
  <c r="I1078" i="13"/>
  <c r="H1078" i="13"/>
  <c r="G1078" i="13"/>
  <c r="F1078" i="13"/>
  <c r="E1078" i="13"/>
  <c r="U1076" i="13"/>
  <c r="T1076" i="13"/>
  <c r="S1076" i="13"/>
  <c r="R1076" i="13"/>
  <c r="Q1076" i="13"/>
  <c r="P1076" i="13"/>
  <c r="O1076" i="13"/>
  <c r="N1076" i="13"/>
  <c r="M1076" i="13"/>
  <c r="L1076" i="13"/>
  <c r="K1076" i="13"/>
  <c r="J1076" i="13"/>
  <c r="U1074" i="13"/>
  <c r="T1074" i="13"/>
  <c r="S1074" i="13"/>
  <c r="R1074" i="13"/>
  <c r="Q1074" i="13"/>
  <c r="P1074" i="13"/>
  <c r="O1074" i="13"/>
  <c r="N1074" i="13"/>
  <c r="M1074" i="13"/>
  <c r="L1074" i="13"/>
  <c r="K1074" i="13"/>
  <c r="J1074" i="13"/>
  <c r="U1072" i="13"/>
  <c r="T1072" i="13"/>
  <c r="S1072" i="13"/>
  <c r="R1072" i="13"/>
  <c r="Q1072" i="13"/>
  <c r="P1072" i="13"/>
  <c r="O1072" i="13"/>
  <c r="N1072" i="13"/>
  <c r="M1072" i="13"/>
  <c r="L1072" i="13"/>
  <c r="K1072" i="13"/>
  <c r="J1072" i="13"/>
  <c r="I1072" i="13"/>
  <c r="H1072" i="13"/>
  <c r="G1072" i="13"/>
  <c r="F1072" i="13"/>
  <c r="E1072" i="13"/>
  <c r="U1069" i="13"/>
  <c r="T1069" i="13"/>
  <c r="S1069" i="13"/>
  <c r="R1069" i="13"/>
  <c r="Q1069" i="13"/>
  <c r="P1069" i="13"/>
  <c r="O1069" i="13"/>
  <c r="N1069" i="13"/>
  <c r="M1069" i="13"/>
  <c r="L1069" i="13"/>
  <c r="K1069" i="13"/>
  <c r="J1069" i="13"/>
  <c r="I1069" i="13"/>
  <c r="H1069" i="13"/>
  <c r="G1069" i="13"/>
  <c r="F1069" i="13"/>
  <c r="U1066" i="13"/>
  <c r="T1066" i="13"/>
  <c r="S1066" i="13"/>
  <c r="R1066" i="13"/>
  <c r="Q1066" i="13"/>
  <c r="P1066" i="13"/>
  <c r="O1066" i="13"/>
  <c r="N1066" i="13"/>
  <c r="M1066" i="13"/>
  <c r="L1066" i="13"/>
  <c r="K1066" i="13"/>
  <c r="J1066" i="13"/>
  <c r="U1062" i="13"/>
  <c r="T1062" i="13"/>
  <c r="S1062" i="13"/>
  <c r="R1062" i="13"/>
  <c r="Q1062" i="13"/>
  <c r="P1062" i="13"/>
  <c r="O1062" i="13"/>
  <c r="N1062" i="13"/>
  <c r="M1062" i="13"/>
  <c r="L1062" i="13"/>
  <c r="K1062" i="13"/>
  <c r="J1062" i="13"/>
  <c r="U1060" i="13"/>
  <c r="T1060" i="13"/>
  <c r="S1060" i="13"/>
  <c r="R1060" i="13"/>
  <c r="Q1060" i="13"/>
  <c r="P1060" i="13"/>
  <c r="O1060" i="13"/>
  <c r="N1060" i="13"/>
  <c r="M1060" i="13"/>
  <c r="L1060" i="13"/>
  <c r="K1060" i="13"/>
  <c r="J1060" i="13"/>
  <c r="U1058" i="13"/>
  <c r="T1058" i="13"/>
  <c r="S1058" i="13"/>
  <c r="R1058" i="13"/>
  <c r="Q1058" i="13"/>
  <c r="P1058" i="13"/>
  <c r="O1058" i="13"/>
  <c r="N1058" i="13"/>
  <c r="M1058" i="13"/>
  <c r="L1058" i="13"/>
  <c r="K1058" i="13"/>
  <c r="J1058" i="13"/>
  <c r="U1056" i="13"/>
  <c r="T1056" i="13"/>
  <c r="S1056" i="13"/>
  <c r="R1056" i="13"/>
  <c r="Q1056" i="13"/>
  <c r="P1056" i="13"/>
  <c r="O1056" i="13"/>
  <c r="N1056" i="13"/>
  <c r="M1056" i="13"/>
  <c r="L1056" i="13"/>
  <c r="K1056" i="13"/>
  <c r="U1054" i="13"/>
  <c r="T1054" i="13"/>
  <c r="S1054" i="13"/>
  <c r="R1054" i="13"/>
  <c r="Q1054" i="13"/>
  <c r="P1054" i="13"/>
  <c r="O1054" i="13"/>
  <c r="N1054" i="13"/>
  <c r="M1054" i="13"/>
  <c r="L1054" i="13"/>
  <c r="K1054" i="13"/>
  <c r="U884" i="13"/>
  <c r="T884" i="13"/>
  <c r="S884" i="13"/>
  <c r="Q884" i="13"/>
  <c r="P884" i="13"/>
  <c r="O884" i="13"/>
  <c r="M884" i="13"/>
  <c r="K884" i="13"/>
  <c r="J884" i="13"/>
  <c r="U881" i="13"/>
  <c r="T881" i="13"/>
  <c r="S881" i="13"/>
  <c r="R881" i="13"/>
  <c r="Q881" i="13"/>
  <c r="P881" i="13"/>
  <c r="O881" i="13"/>
  <c r="N881" i="13"/>
  <c r="M881" i="13"/>
  <c r="L881" i="13"/>
  <c r="K881" i="13"/>
  <c r="J881" i="13"/>
  <c r="U878" i="13"/>
  <c r="T878" i="13"/>
  <c r="S878" i="13"/>
  <c r="R878" i="13"/>
  <c r="Q878" i="13"/>
  <c r="P878" i="13"/>
  <c r="O878" i="13"/>
  <c r="N878" i="13"/>
  <c r="M878" i="13"/>
  <c r="L878" i="13"/>
  <c r="K878" i="13"/>
  <c r="U867" i="13"/>
  <c r="T867" i="13"/>
  <c r="S867" i="13"/>
  <c r="R867" i="13"/>
  <c r="Q867" i="13"/>
  <c r="P867" i="13"/>
  <c r="O867" i="13"/>
  <c r="M867" i="13"/>
  <c r="L867" i="13"/>
  <c r="K867" i="13"/>
  <c r="U865" i="13"/>
  <c r="T865" i="13"/>
  <c r="S865" i="13"/>
  <c r="R865" i="13"/>
  <c r="Q865" i="13"/>
  <c r="P865" i="13"/>
  <c r="O865" i="13"/>
  <c r="N865" i="13"/>
  <c r="M865" i="13"/>
  <c r="L865" i="13"/>
  <c r="K865" i="13"/>
  <c r="U860" i="13"/>
  <c r="T860" i="13"/>
  <c r="S860" i="13"/>
  <c r="R860" i="13"/>
  <c r="Q860" i="13"/>
  <c r="P860" i="13"/>
  <c r="O860" i="13"/>
  <c r="N860" i="13"/>
  <c r="M860" i="13"/>
  <c r="L860" i="13"/>
  <c r="K860" i="13"/>
  <c r="F860" i="13"/>
  <c r="U856" i="13"/>
  <c r="T856" i="13"/>
  <c r="S856" i="13"/>
  <c r="R856" i="13"/>
  <c r="Q856" i="13"/>
  <c r="P856" i="13"/>
  <c r="O856" i="13"/>
  <c r="N856" i="13"/>
  <c r="M856" i="13"/>
  <c r="L856" i="13"/>
  <c r="K856" i="13"/>
  <c r="J856" i="13"/>
  <c r="U840" i="13"/>
  <c r="T840" i="13"/>
  <c r="Q840" i="13"/>
  <c r="O840" i="13"/>
  <c r="M840" i="13"/>
  <c r="L840" i="13"/>
  <c r="K840" i="13"/>
  <c r="U838" i="13"/>
  <c r="T838" i="13"/>
  <c r="S838" i="13"/>
  <c r="R838" i="13"/>
  <c r="Q838" i="13"/>
  <c r="P838" i="13"/>
  <c r="O838" i="13"/>
  <c r="N838" i="13"/>
  <c r="M838" i="13"/>
  <c r="L838" i="13"/>
  <c r="K838" i="13"/>
  <c r="J838" i="13"/>
  <c r="I838" i="13"/>
  <c r="H838" i="13"/>
  <c r="G838" i="13"/>
  <c r="F838" i="13"/>
  <c r="E838" i="13"/>
  <c r="U833" i="13"/>
  <c r="T833" i="13"/>
  <c r="S833" i="13"/>
  <c r="R833" i="13"/>
  <c r="Q833" i="13"/>
  <c r="P833" i="13"/>
  <c r="O833" i="13"/>
  <c r="N833" i="13"/>
  <c r="M833" i="13"/>
  <c r="L833" i="13"/>
  <c r="K833" i="13"/>
  <c r="J833" i="13"/>
  <c r="U831" i="13"/>
  <c r="T831" i="13"/>
  <c r="S831" i="13"/>
  <c r="R831" i="13"/>
  <c r="Q831" i="13"/>
  <c r="P831" i="13"/>
  <c r="O831" i="13"/>
  <c r="N831" i="13"/>
  <c r="M831" i="13"/>
  <c r="L831" i="13"/>
  <c r="K831" i="13"/>
  <c r="J831" i="13"/>
  <c r="U829" i="13"/>
  <c r="T829" i="13"/>
  <c r="S829" i="13"/>
  <c r="R829" i="13"/>
  <c r="Q829" i="13"/>
  <c r="P829" i="13"/>
  <c r="O829" i="13"/>
  <c r="N829" i="13"/>
  <c r="M829" i="13"/>
  <c r="L829" i="13"/>
  <c r="K829" i="13"/>
  <c r="J829" i="13"/>
  <c r="I829" i="13"/>
  <c r="H829" i="13"/>
  <c r="G829" i="13"/>
  <c r="F829" i="13"/>
  <c r="E829" i="13"/>
  <c r="U827" i="13"/>
  <c r="T827" i="13"/>
  <c r="S827" i="13"/>
  <c r="R827" i="13"/>
  <c r="Q827" i="13"/>
  <c r="P827" i="13"/>
  <c r="O827" i="13"/>
  <c r="N827" i="13"/>
  <c r="M827" i="13"/>
  <c r="L827" i="13"/>
  <c r="K827" i="13"/>
  <c r="J827" i="13"/>
  <c r="U825" i="13"/>
  <c r="T825" i="13"/>
  <c r="S825" i="13"/>
  <c r="R825" i="13"/>
  <c r="Q825" i="13"/>
  <c r="P825" i="13"/>
  <c r="O825" i="13"/>
  <c r="N825" i="13"/>
  <c r="M825" i="13"/>
  <c r="L825" i="13"/>
  <c r="K825" i="13"/>
  <c r="J825" i="13"/>
  <c r="I825" i="13"/>
  <c r="H825" i="13"/>
  <c r="G825" i="13"/>
  <c r="F825" i="13"/>
  <c r="E825" i="13"/>
  <c r="U822" i="13"/>
  <c r="T822" i="13"/>
  <c r="S822" i="13"/>
  <c r="R822" i="13"/>
  <c r="Q822" i="13"/>
  <c r="P822" i="13"/>
  <c r="O822" i="13"/>
  <c r="N822" i="13"/>
  <c r="M822" i="13"/>
  <c r="L822" i="13"/>
  <c r="K822" i="13"/>
  <c r="J822" i="13"/>
  <c r="I822" i="13"/>
  <c r="H822" i="13"/>
  <c r="G822" i="13"/>
  <c r="F822" i="13"/>
  <c r="E822" i="13"/>
  <c r="U816" i="13"/>
  <c r="T816" i="13"/>
  <c r="S816" i="13"/>
  <c r="R816" i="13"/>
  <c r="Q816" i="13"/>
  <c r="P816" i="13"/>
  <c r="O816" i="13"/>
  <c r="M816" i="13"/>
  <c r="L816" i="13"/>
  <c r="K816" i="13"/>
  <c r="J816" i="13"/>
  <c r="I816" i="13"/>
  <c r="H816" i="13"/>
  <c r="G816" i="13"/>
  <c r="F816" i="13"/>
  <c r="E816" i="13"/>
  <c r="U814" i="13"/>
  <c r="T814" i="13"/>
  <c r="S814" i="13"/>
  <c r="R814" i="13"/>
  <c r="Q814" i="13"/>
  <c r="P814" i="13"/>
  <c r="O814" i="13"/>
  <c r="N814" i="13"/>
  <c r="M814" i="13"/>
  <c r="L814" i="13"/>
  <c r="K814" i="13"/>
  <c r="J814" i="13"/>
  <c r="I814" i="13"/>
  <c r="H814" i="13"/>
  <c r="G814" i="13"/>
  <c r="F814" i="13"/>
  <c r="E814" i="13"/>
  <c r="U809" i="13"/>
  <c r="T809" i="13"/>
  <c r="S809" i="13"/>
  <c r="R809" i="13"/>
  <c r="Q809" i="13"/>
  <c r="P809" i="13"/>
  <c r="O809" i="13"/>
  <c r="N809" i="13"/>
  <c r="M809" i="13"/>
  <c r="L809" i="13"/>
  <c r="K809" i="13"/>
  <c r="J809" i="13"/>
  <c r="I809" i="13"/>
  <c r="H809" i="13"/>
  <c r="G809" i="13"/>
  <c r="F809" i="13"/>
  <c r="E809" i="13"/>
  <c r="U806" i="13"/>
  <c r="T806" i="13"/>
  <c r="S806" i="13"/>
  <c r="R806" i="13"/>
  <c r="Q806" i="13"/>
  <c r="P806" i="13"/>
  <c r="O806" i="13"/>
  <c r="N806" i="13"/>
  <c r="M806" i="13"/>
  <c r="L806" i="13"/>
  <c r="K806" i="13"/>
  <c r="J806" i="13"/>
  <c r="I806" i="13"/>
  <c r="H806" i="13"/>
  <c r="G806" i="13"/>
  <c r="F806" i="13"/>
  <c r="E806" i="13"/>
  <c r="U804" i="13"/>
  <c r="T804" i="13"/>
  <c r="S804" i="13"/>
  <c r="R804" i="13"/>
  <c r="Q804" i="13"/>
  <c r="P804" i="13"/>
  <c r="O804" i="13"/>
  <c r="N804" i="13"/>
  <c r="M804" i="13"/>
  <c r="L804" i="13"/>
  <c r="K804" i="13"/>
  <c r="J804" i="13"/>
  <c r="I804" i="13"/>
  <c r="H804" i="13"/>
  <c r="G804" i="13"/>
  <c r="F804" i="13"/>
  <c r="E804" i="13"/>
  <c r="U800" i="13"/>
  <c r="T800" i="13"/>
  <c r="S800" i="13"/>
  <c r="R800" i="13"/>
  <c r="Q800" i="13"/>
  <c r="P800" i="13"/>
  <c r="O800" i="13"/>
  <c r="N800" i="13"/>
  <c r="M800" i="13"/>
  <c r="L800" i="13"/>
  <c r="K800" i="13"/>
  <c r="U797" i="13"/>
  <c r="T797" i="13"/>
  <c r="S797" i="13"/>
  <c r="R797" i="13"/>
  <c r="Q797" i="13"/>
  <c r="P797" i="13"/>
  <c r="O797" i="13"/>
  <c r="N797" i="13"/>
  <c r="M797" i="13"/>
  <c r="L797" i="13"/>
  <c r="K797" i="13"/>
  <c r="J797" i="13"/>
  <c r="I797" i="13"/>
  <c r="H797" i="13"/>
  <c r="G797" i="13"/>
  <c r="F797" i="13"/>
  <c r="E797" i="13"/>
  <c r="U794" i="13"/>
  <c r="T794" i="13"/>
  <c r="S794" i="13"/>
  <c r="R794" i="13"/>
  <c r="Q794" i="13"/>
  <c r="P794" i="13"/>
  <c r="O794" i="13"/>
  <c r="N794" i="13"/>
  <c r="M794" i="13"/>
  <c r="L794" i="13"/>
  <c r="K794" i="13"/>
  <c r="U790" i="13"/>
  <c r="T790" i="13"/>
  <c r="S790" i="13"/>
  <c r="R790" i="13"/>
  <c r="Q790" i="13"/>
  <c r="P790" i="13"/>
  <c r="O790" i="13"/>
  <c r="M790" i="13"/>
  <c r="L790" i="13"/>
  <c r="K790" i="13"/>
  <c r="J790" i="13"/>
  <c r="I790" i="13"/>
  <c r="H790" i="13"/>
  <c r="G790" i="13"/>
  <c r="F790" i="13"/>
  <c r="E790" i="13"/>
  <c r="U787" i="13"/>
  <c r="T787" i="13"/>
  <c r="S787" i="13"/>
  <c r="Q787" i="13"/>
  <c r="P787" i="13"/>
  <c r="O787" i="13"/>
  <c r="M787" i="13"/>
  <c r="L787" i="13"/>
  <c r="K787" i="13"/>
  <c r="J787" i="13"/>
  <c r="U767" i="13"/>
  <c r="T767" i="13"/>
  <c r="S767" i="13"/>
  <c r="Q767" i="13"/>
  <c r="P767" i="13"/>
  <c r="O767" i="13"/>
  <c r="M767" i="13"/>
  <c r="L767" i="13"/>
  <c r="K767" i="13"/>
  <c r="J767" i="13"/>
  <c r="U764" i="13"/>
  <c r="T764" i="13"/>
  <c r="S764" i="13"/>
  <c r="R764" i="13"/>
  <c r="Q764" i="13"/>
  <c r="P764" i="13"/>
  <c r="O764" i="13"/>
  <c r="N764" i="13"/>
  <c r="M764" i="13"/>
  <c r="L764" i="13"/>
  <c r="K764" i="13"/>
  <c r="J764" i="13"/>
  <c r="I764" i="13"/>
  <c r="H764" i="13"/>
  <c r="G764" i="13"/>
  <c r="F764" i="13"/>
  <c r="E764" i="13"/>
  <c r="U757" i="13"/>
  <c r="T757" i="13"/>
  <c r="S757" i="13"/>
  <c r="R757" i="13"/>
  <c r="Q757" i="13"/>
  <c r="P757" i="13"/>
  <c r="O757" i="13"/>
  <c r="N757" i="13"/>
  <c r="M757" i="13"/>
  <c r="L757" i="13"/>
  <c r="K757" i="13"/>
  <c r="J757" i="13"/>
  <c r="U743" i="13"/>
  <c r="T743" i="13"/>
  <c r="S743" i="13"/>
  <c r="R743" i="13"/>
  <c r="Q743" i="13"/>
  <c r="P743" i="13"/>
  <c r="O743" i="13"/>
  <c r="N743" i="13"/>
  <c r="M743" i="13"/>
  <c r="L743" i="13"/>
  <c r="K743" i="13"/>
  <c r="J743" i="13"/>
  <c r="U741" i="13"/>
  <c r="T741" i="13"/>
  <c r="S741" i="13"/>
  <c r="R741" i="13"/>
  <c r="Q741" i="13"/>
  <c r="P741" i="13"/>
  <c r="O741" i="13"/>
  <c r="N741" i="13"/>
  <c r="M741" i="13"/>
  <c r="L741" i="13"/>
  <c r="K741" i="13"/>
  <c r="J741" i="13"/>
  <c r="I741" i="13"/>
  <c r="H741" i="13"/>
  <c r="G741" i="13"/>
  <c r="F741" i="13"/>
  <c r="E741" i="13"/>
  <c r="U739" i="13"/>
  <c r="T739" i="13"/>
  <c r="S739" i="13"/>
  <c r="R739" i="13"/>
  <c r="Q739" i="13"/>
  <c r="P739" i="13"/>
  <c r="O739" i="13"/>
  <c r="N739" i="13"/>
  <c r="M739" i="13"/>
  <c r="L739" i="13"/>
  <c r="K739" i="13"/>
  <c r="J739" i="13"/>
  <c r="I739" i="13"/>
  <c r="H739" i="13"/>
  <c r="G739" i="13"/>
  <c r="F739" i="13"/>
  <c r="E739" i="13"/>
  <c r="U735" i="13"/>
  <c r="T735" i="13"/>
  <c r="S735" i="13"/>
  <c r="R735" i="13"/>
  <c r="Q735" i="13"/>
  <c r="P735" i="13"/>
  <c r="O735" i="13"/>
  <c r="M735" i="13"/>
  <c r="L735" i="13"/>
  <c r="K735" i="13"/>
  <c r="J735" i="13"/>
  <c r="U733" i="13"/>
  <c r="T733" i="13"/>
  <c r="S733" i="13"/>
  <c r="R733" i="13"/>
  <c r="Q733" i="13"/>
  <c r="P733" i="13"/>
  <c r="O733" i="13"/>
  <c r="N733" i="13"/>
  <c r="M733" i="13"/>
  <c r="L733" i="13"/>
  <c r="K733" i="13"/>
  <c r="J733" i="13"/>
  <c r="U729" i="13"/>
  <c r="T729" i="13"/>
  <c r="S729" i="13"/>
  <c r="Q729" i="13"/>
  <c r="P729" i="13"/>
  <c r="O729" i="13"/>
  <c r="M729" i="13"/>
  <c r="L729" i="13"/>
  <c r="K729" i="13"/>
  <c r="J729" i="13"/>
  <c r="I729" i="13"/>
  <c r="H729" i="13"/>
  <c r="G729" i="13"/>
  <c r="F729" i="13"/>
  <c r="U727" i="13"/>
  <c r="T727" i="13"/>
  <c r="S727" i="13"/>
  <c r="R727" i="13"/>
  <c r="Q727" i="13"/>
  <c r="P727" i="13"/>
  <c r="O727" i="13"/>
  <c r="N727" i="13"/>
  <c r="M727" i="13"/>
  <c r="L727" i="13"/>
  <c r="K727" i="13"/>
  <c r="J727" i="13"/>
  <c r="I727" i="13"/>
  <c r="H727" i="13"/>
  <c r="G727" i="13"/>
  <c r="F727" i="13"/>
  <c r="U713" i="13"/>
  <c r="T713" i="13"/>
  <c r="S713" i="13"/>
  <c r="R713" i="13"/>
  <c r="Q713" i="13"/>
  <c r="P713" i="13"/>
  <c r="O713" i="13"/>
  <c r="N713" i="13"/>
  <c r="M713" i="13"/>
  <c r="L713" i="13"/>
  <c r="K713" i="13"/>
  <c r="J713" i="13"/>
  <c r="U711" i="13"/>
  <c r="T711" i="13"/>
  <c r="S711" i="13"/>
  <c r="Q711" i="13"/>
  <c r="P711" i="13"/>
  <c r="O711" i="13"/>
  <c r="M711" i="13"/>
  <c r="L711" i="13"/>
  <c r="K711" i="13"/>
  <c r="J711" i="13"/>
  <c r="H711" i="13"/>
  <c r="U707" i="13"/>
  <c r="T707" i="13"/>
  <c r="S707" i="13"/>
  <c r="Q707" i="13"/>
  <c r="P707" i="13"/>
  <c r="O707" i="13"/>
  <c r="M707" i="13"/>
  <c r="L707" i="13"/>
  <c r="K707" i="13"/>
  <c r="J707" i="13"/>
  <c r="U500" i="13"/>
  <c r="T500" i="13"/>
  <c r="S500" i="13"/>
  <c r="Q500" i="13"/>
  <c r="P500" i="13"/>
  <c r="O500" i="13"/>
  <c r="M500" i="13"/>
  <c r="K500" i="13"/>
  <c r="U498" i="13"/>
  <c r="T498" i="13"/>
  <c r="S498" i="13"/>
  <c r="R498" i="13"/>
  <c r="Q498" i="13"/>
  <c r="P498" i="13"/>
  <c r="O498" i="13"/>
  <c r="N498" i="13"/>
  <c r="M498" i="13"/>
  <c r="L498" i="13"/>
  <c r="K498" i="13"/>
  <c r="U495" i="13"/>
  <c r="T495" i="13"/>
  <c r="S495" i="13"/>
  <c r="R495" i="13"/>
  <c r="Q495" i="13"/>
  <c r="P495" i="13"/>
  <c r="O495" i="13"/>
  <c r="N495" i="13"/>
  <c r="M495" i="13"/>
  <c r="L495" i="13"/>
  <c r="K495" i="13"/>
  <c r="J495" i="13"/>
  <c r="I495" i="13"/>
  <c r="H495" i="13"/>
  <c r="G495" i="13"/>
  <c r="F495" i="13"/>
  <c r="E495" i="13"/>
  <c r="U493" i="13"/>
  <c r="T493" i="13"/>
  <c r="S493" i="13"/>
  <c r="R493" i="13"/>
  <c r="Q493" i="13"/>
  <c r="P493" i="13"/>
  <c r="O493" i="13"/>
  <c r="N493" i="13"/>
  <c r="M493" i="13"/>
  <c r="L493" i="13"/>
  <c r="K493" i="13"/>
  <c r="J493" i="13"/>
  <c r="I493" i="13"/>
  <c r="H493" i="13"/>
  <c r="G493" i="13"/>
  <c r="F493" i="13"/>
  <c r="E493" i="13"/>
  <c r="U477" i="13"/>
  <c r="T477" i="13"/>
  <c r="S477" i="13"/>
  <c r="Q477" i="13"/>
  <c r="P477" i="13"/>
  <c r="O477" i="13"/>
  <c r="M477" i="13"/>
  <c r="L477" i="13"/>
  <c r="K477" i="13"/>
  <c r="U475" i="13"/>
  <c r="T475" i="13"/>
  <c r="S475" i="13"/>
  <c r="R475" i="13"/>
  <c r="Q475" i="13"/>
  <c r="P475" i="13"/>
  <c r="O475" i="13"/>
  <c r="N475" i="13"/>
  <c r="M475" i="13"/>
  <c r="L475" i="13"/>
  <c r="K475" i="13"/>
  <c r="U473" i="13"/>
  <c r="T473" i="13"/>
  <c r="S473" i="13"/>
  <c r="Q473" i="13"/>
  <c r="P473" i="13"/>
  <c r="O473" i="13"/>
  <c r="M473" i="13"/>
  <c r="L473" i="13"/>
  <c r="K473" i="13"/>
  <c r="J473" i="13"/>
  <c r="I473" i="13"/>
  <c r="H473" i="13"/>
  <c r="G473" i="13"/>
  <c r="F473" i="13"/>
  <c r="E473" i="13"/>
  <c r="U465" i="13"/>
  <c r="T465" i="13"/>
  <c r="S465" i="13"/>
  <c r="Q465" i="13"/>
  <c r="P465" i="13"/>
  <c r="O465" i="13"/>
  <c r="M465" i="13"/>
  <c r="L465" i="13"/>
  <c r="K465" i="13"/>
  <c r="U455" i="13"/>
  <c r="T455" i="13"/>
  <c r="S455" i="13"/>
  <c r="Q455" i="13"/>
  <c r="P455" i="13"/>
  <c r="O455" i="13"/>
  <c r="M455" i="13"/>
  <c r="L455" i="13"/>
  <c r="K455" i="13"/>
  <c r="U453" i="13"/>
  <c r="T453" i="13"/>
  <c r="S453" i="13"/>
  <c r="R453" i="13"/>
  <c r="Q453" i="13"/>
  <c r="P453" i="13"/>
  <c r="O453" i="13"/>
  <c r="N453" i="13"/>
  <c r="M453" i="13"/>
  <c r="L453" i="13"/>
  <c r="K453" i="13"/>
  <c r="U433" i="13"/>
  <c r="T433" i="13"/>
  <c r="Q433" i="13"/>
  <c r="O433" i="13"/>
  <c r="M433" i="13"/>
  <c r="L433" i="13"/>
  <c r="K433" i="13"/>
  <c r="U431" i="13"/>
  <c r="T431" i="13"/>
  <c r="S431" i="13"/>
  <c r="R431" i="13"/>
  <c r="Q431" i="13"/>
  <c r="P431" i="13"/>
  <c r="O431" i="13"/>
  <c r="N431" i="13"/>
  <c r="M431" i="13"/>
  <c r="L431" i="13"/>
  <c r="K431" i="13"/>
  <c r="J431" i="13"/>
  <c r="I431" i="13"/>
  <c r="H431" i="13"/>
  <c r="G431" i="13"/>
  <c r="F431" i="13"/>
  <c r="E431" i="13"/>
  <c r="U424" i="13"/>
  <c r="T424" i="13"/>
  <c r="S424" i="13"/>
  <c r="R424" i="13"/>
  <c r="Q424" i="13"/>
  <c r="P424" i="13"/>
  <c r="O424" i="13"/>
  <c r="N424" i="13"/>
  <c r="M424" i="13"/>
  <c r="L424" i="13"/>
  <c r="K424" i="13"/>
  <c r="J424" i="13"/>
  <c r="I424" i="13"/>
  <c r="H424" i="13"/>
  <c r="G424" i="13"/>
  <c r="F424" i="13"/>
  <c r="E424" i="13"/>
  <c r="U421" i="13"/>
  <c r="T421" i="13"/>
  <c r="S421" i="13"/>
  <c r="R421" i="13"/>
  <c r="Q421" i="13"/>
  <c r="P421" i="13"/>
  <c r="O421" i="13"/>
  <c r="N421" i="13"/>
  <c r="M421" i="13"/>
  <c r="L421" i="13"/>
  <c r="K421" i="13"/>
  <c r="J421" i="13"/>
  <c r="I421" i="13"/>
  <c r="H421" i="13"/>
  <c r="G421" i="13"/>
  <c r="F421" i="13"/>
  <c r="E421" i="13"/>
  <c r="U418" i="13"/>
  <c r="T418" i="13"/>
  <c r="S418" i="13"/>
  <c r="R418" i="13"/>
  <c r="Q418" i="13"/>
  <c r="P418" i="13"/>
  <c r="O418" i="13"/>
  <c r="M418" i="13"/>
  <c r="L418" i="13"/>
  <c r="K418" i="13"/>
  <c r="J418" i="13"/>
  <c r="I418" i="13"/>
  <c r="H418" i="13"/>
  <c r="G418" i="13"/>
  <c r="F418" i="13"/>
  <c r="E418" i="13"/>
  <c r="U414" i="13"/>
  <c r="T414" i="13"/>
  <c r="S414" i="13"/>
  <c r="R414" i="13"/>
  <c r="Q414" i="13"/>
  <c r="P414" i="13"/>
  <c r="O414" i="13"/>
  <c r="M414" i="13"/>
  <c r="L414" i="13"/>
  <c r="K414" i="13"/>
  <c r="J414" i="13"/>
  <c r="I414" i="13"/>
  <c r="H414" i="13"/>
  <c r="G414" i="13"/>
  <c r="F414" i="13"/>
  <c r="E414" i="13"/>
  <c r="U411" i="13"/>
  <c r="T411" i="13"/>
  <c r="S411" i="13"/>
  <c r="R411" i="13"/>
  <c r="Q411" i="13"/>
  <c r="P411" i="13"/>
  <c r="O411" i="13"/>
  <c r="N411" i="13"/>
  <c r="M411" i="13"/>
  <c r="L411" i="13"/>
  <c r="K411" i="13"/>
  <c r="J411" i="13"/>
  <c r="I411" i="13"/>
  <c r="H411" i="13"/>
  <c r="G411" i="13"/>
  <c r="F411" i="13"/>
  <c r="E411" i="13"/>
  <c r="U408" i="13"/>
  <c r="T408" i="13"/>
  <c r="S408" i="13"/>
  <c r="R408" i="13"/>
  <c r="Q408" i="13"/>
  <c r="P408" i="13"/>
  <c r="O408" i="13"/>
  <c r="M408" i="13"/>
  <c r="L408" i="13"/>
  <c r="K408" i="13"/>
  <c r="J408" i="13"/>
  <c r="I408" i="13"/>
  <c r="H408" i="13"/>
  <c r="G408" i="13"/>
  <c r="F408" i="13"/>
  <c r="E408" i="13"/>
  <c r="U406" i="13"/>
  <c r="T406" i="13"/>
  <c r="S406" i="13"/>
  <c r="R406" i="13"/>
  <c r="Q406" i="13"/>
  <c r="P406" i="13"/>
  <c r="O406" i="13"/>
  <c r="N406" i="13"/>
  <c r="M406" i="13"/>
  <c r="L406" i="13"/>
  <c r="K406" i="13"/>
  <c r="J406" i="13"/>
  <c r="U403" i="13"/>
  <c r="T403" i="13"/>
  <c r="S403" i="13"/>
  <c r="R403" i="13"/>
  <c r="Q403" i="13"/>
  <c r="P403" i="13"/>
  <c r="O403" i="13"/>
  <c r="N403" i="13"/>
  <c r="M403" i="13"/>
  <c r="L403" i="13"/>
  <c r="K403" i="13"/>
  <c r="J403" i="13"/>
  <c r="I403" i="13"/>
  <c r="H403" i="13"/>
  <c r="G403" i="13"/>
  <c r="F403" i="13"/>
  <c r="E403" i="13"/>
  <c r="U399" i="13"/>
  <c r="T399" i="13"/>
  <c r="S399" i="13"/>
  <c r="R399" i="13"/>
  <c r="Q399" i="13"/>
  <c r="P399" i="13"/>
  <c r="O399" i="13"/>
  <c r="N399" i="13"/>
  <c r="M399" i="13"/>
  <c r="L399" i="13"/>
  <c r="K399" i="13"/>
  <c r="J399" i="13"/>
  <c r="I399" i="13"/>
  <c r="H399" i="13"/>
  <c r="G399" i="13"/>
  <c r="F399" i="13"/>
  <c r="E399" i="13"/>
  <c r="U391" i="13"/>
  <c r="T391" i="13"/>
  <c r="S391" i="13"/>
  <c r="Q391" i="13"/>
  <c r="P391" i="13"/>
  <c r="O391" i="13"/>
  <c r="M391" i="13"/>
  <c r="L391" i="13"/>
  <c r="K391" i="13"/>
  <c r="J391" i="13"/>
  <c r="U387" i="13"/>
  <c r="T387" i="13"/>
  <c r="S387" i="13"/>
  <c r="R387" i="13"/>
  <c r="Q387" i="13"/>
  <c r="P387" i="13"/>
  <c r="O387" i="13"/>
  <c r="N387" i="13"/>
  <c r="M387" i="13"/>
  <c r="L387" i="13"/>
  <c r="K387" i="13"/>
  <c r="J387" i="13"/>
  <c r="I387" i="13"/>
  <c r="H387" i="13"/>
  <c r="G387" i="13"/>
  <c r="F387" i="13"/>
  <c r="E387" i="13"/>
  <c r="U385" i="13"/>
  <c r="T385" i="13"/>
  <c r="S385" i="13"/>
  <c r="R385" i="13"/>
  <c r="Q385" i="13"/>
  <c r="P385" i="13"/>
  <c r="O385" i="13"/>
  <c r="N385" i="13"/>
  <c r="M385" i="13"/>
  <c r="L385" i="13"/>
  <c r="K385" i="13"/>
  <c r="I385" i="13"/>
  <c r="G385" i="13"/>
  <c r="F385" i="13"/>
  <c r="U382" i="13"/>
  <c r="T382" i="13"/>
  <c r="S382" i="13"/>
  <c r="R382" i="13"/>
  <c r="Q382" i="13"/>
  <c r="P382" i="13"/>
  <c r="O382" i="13"/>
  <c r="N382" i="13"/>
  <c r="M382" i="13"/>
  <c r="L382" i="13"/>
  <c r="K382" i="13"/>
  <c r="J382" i="13"/>
  <c r="I382" i="13"/>
  <c r="H382" i="13"/>
  <c r="G382" i="13"/>
  <c r="F382" i="13"/>
  <c r="E382" i="13"/>
  <c r="U380" i="13"/>
  <c r="T380" i="13"/>
  <c r="S380" i="13"/>
  <c r="R380" i="13"/>
  <c r="Q380" i="13"/>
  <c r="P380" i="13"/>
  <c r="O380" i="13"/>
  <c r="N380" i="13"/>
  <c r="M380" i="13"/>
  <c r="L380" i="13"/>
  <c r="K380" i="13"/>
  <c r="I380" i="13"/>
  <c r="H380" i="13"/>
  <c r="G380" i="13"/>
  <c r="F380" i="13"/>
  <c r="U376" i="13"/>
  <c r="T376" i="13"/>
  <c r="S376" i="13"/>
  <c r="R376" i="13"/>
  <c r="Q376" i="13"/>
  <c r="P376" i="13"/>
  <c r="O376" i="13"/>
  <c r="N376" i="13"/>
  <c r="M376" i="13"/>
  <c r="L376" i="13"/>
  <c r="K376" i="13"/>
  <c r="U371" i="13"/>
  <c r="T371" i="13"/>
  <c r="S371" i="13"/>
  <c r="R371" i="13"/>
  <c r="Q371" i="13"/>
  <c r="P371" i="13"/>
  <c r="O371" i="13"/>
  <c r="N371" i="13"/>
  <c r="M371" i="13"/>
  <c r="L371" i="13"/>
  <c r="K371" i="13"/>
  <c r="U369" i="13"/>
  <c r="T369" i="13"/>
  <c r="S369" i="13"/>
  <c r="R369" i="13"/>
  <c r="Q369" i="13"/>
  <c r="P369" i="13"/>
  <c r="O369" i="13"/>
  <c r="N369" i="13"/>
  <c r="M369" i="13"/>
  <c r="L369" i="13"/>
  <c r="K369" i="13"/>
  <c r="J369" i="13"/>
  <c r="I369" i="13"/>
  <c r="H369" i="13"/>
  <c r="G369" i="13"/>
  <c r="F369" i="13"/>
  <c r="E369" i="13"/>
  <c r="U350" i="13"/>
  <c r="T350" i="13"/>
  <c r="S350" i="13"/>
  <c r="R350" i="13"/>
  <c r="Q350" i="13"/>
  <c r="P350" i="13"/>
  <c r="O350" i="13"/>
  <c r="M350" i="13"/>
  <c r="K350" i="13"/>
  <c r="U347" i="13"/>
  <c r="T347" i="13"/>
  <c r="S347" i="13"/>
  <c r="R347" i="13"/>
  <c r="Q347" i="13"/>
  <c r="P347" i="13"/>
  <c r="O347" i="13"/>
  <c r="N347" i="13"/>
  <c r="M347" i="13"/>
  <c r="L347" i="13"/>
  <c r="K347" i="13"/>
  <c r="U330" i="13"/>
  <c r="T330" i="13"/>
  <c r="S330" i="13"/>
  <c r="Q330" i="13"/>
  <c r="P330" i="13"/>
  <c r="O330" i="13"/>
  <c r="N330" i="13"/>
  <c r="M330" i="13"/>
  <c r="L330" i="13"/>
  <c r="K330" i="13"/>
  <c r="J330" i="13"/>
  <c r="I330" i="13"/>
  <c r="H330" i="13"/>
  <c r="G330" i="13"/>
  <c r="F330" i="13"/>
  <c r="E330" i="13"/>
  <c r="U328" i="13"/>
  <c r="T328" i="13"/>
  <c r="S328" i="13"/>
  <c r="R328" i="13"/>
  <c r="Q328" i="13"/>
  <c r="P328" i="13"/>
  <c r="O328" i="13"/>
  <c r="M328" i="13"/>
  <c r="L328" i="13"/>
  <c r="K328" i="13"/>
  <c r="J328" i="13"/>
  <c r="I328" i="13"/>
  <c r="H328" i="13"/>
  <c r="G328" i="13"/>
  <c r="F328" i="13"/>
  <c r="E328" i="13"/>
  <c r="U326" i="13"/>
  <c r="T326" i="13"/>
  <c r="S326" i="13"/>
  <c r="R326" i="13"/>
  <c r="Q326" i="13"/>
  <c r="P326" i="13"/>
  <c r="O326" i="13"/>
  <c r="N326" i="13"/>
  <c r="M326" i="13"/>
  <c r="L326" i="13"/>
  <c r="K326" i="13"/>
  <c r="U323" i="13"/>
  <c r="T323" i="13"/>
  <c r="S323" i="13"/>
  <c r="R323" i="13"/>
  <c r="Q323" i="13"/>
  <c r="P323" i="13"/>
  <c r="O323" i="13"/>
  <c r="M323" i="13"/>
  <c r="L323" i="13"/>
  <c r="K323" i="13"/>
  <c r="J323" i="13"/>
  <c r="I323" i="13"/>
  <c r="H323" i="13"/>
  <c r="G323" i="13"/>
  <c r="U319" i="13"/>
  <c r="T319" i="13"/>
  <c r="S319" i="13"/>
  <c r="R319" i="13"/>
  <c r="Q319" i="13"/>
  <c r="P319" i="13"/>
  <c r="O319" i="13"/>
  <c r="N319" i="13"/>
  <c r="M319" i="13"/>
  <c r="L319" i="13"/>
  <c r="K319" i="13"/>
  <c r="J319" i="13"/>
  <c r="I319" i="13"/>
  <c r="H319" i="13"/>
  <c r="G319" i="13"/>
  <c r="F319" i="13"/>
  <c r="E319" i="13"/>
  <c r="U316" i="13"/>
  <c r="T316" i="13"/>
  <c r="S316" i="13"/>
  <c r="R316" i="13"/>
  <c r="Q316" i="13"/>
  <c r="P316" i="13"/>
  <c r="O316" i="13"/>
  <c r="N316" i="13"/>
  <c r="M316" i="13"/>
  <c r="L316" i="13"/>
  <c r="K316" i="13"/>
  <c r="J316" i="13"/>
  <c r="I316" i="13"/>
  <c r="H316" i="13"/>
  <c r="G316" i="13"/>
  <c r="F316" i="13"/>
  <c r="E316" i="13"/>
  <c r="U314" i="13"/>
  <c r="T314" i="13"/>
  <c r="S314" i="13"/>
  <c r="Q314" i="13"/>
  <c r="P314" i="13"/>
  <c r="O314" i="13"/>
  <c r="M314" i="13"/>
  <c r="L314" i="13"/>
  <c r="K314" i="13"/>
  <c r="J314" i="13"/>
  <c r="I314" i="13"/>
  <c r="H314" i="13"/>
  <c r="G314" i="13"/>
  <c r="F314" i="13"/>
  <c r="U312" i="13"/>
  <c r="T312" i="13"/>
  <c r="S312" i="13"/>
  <c r="R312" i="13"/>
  <c r="Q312" i="13"/>
  <c r="P312" i="13"/>
  <c r="O312" i="13"/>
  <c r="N312" i="13"/>
  <c r="M312" i="13"/>
  <c r="L312" i="13"/>
  <c r="K312" i="13"/>
  <c r="J312" i="13"/>
  <c r="I312" i="13"/>
  <c r="H312" i="13"/>
  <c r="G312" i="13"/>
  <c r="F312" i="13"/>
  <c r="E312" i="13"/>
  <c r="U308" i="13"/>
  <c r="T308" i="13"/>
  <c r="S308" i="13"/>
  <c r="Q308" i="13"/>
  <c r="P308" i="13"/>
  <c r="O308" i="13"/>
  <c r="M308" i="13"/>
  <c r="L308" i="13"/>
  <c r="K308" i="13"/>
  <c r="U304" i="13"/>
  <c r="T304" i="13"/>
  <c r="S304" i="13"/>
  <c r="R304" i="13"/>
  <c r="Q304" i="13"/>
  <c r="P304" i="13"/>
  <c r="O304" i="13"/>
  <c r="N304" i="13"/>
  <c r="M304" i="13"/>
  <c r="L304" i="13"/>
  <c r="K304" i="13"/>
  <c r="J304" i="13"/>
  <c r="I304" i="13"/>
  <c r="H304" i="13"/>
  <c r="G304" i="13"/>
  <c r="F304" i="13"/>
  <c r="E304" i="13"/>
  <c r="U301" i="13"/>
  <c r="T301" i="13"/>
  <c r="S301" i="13"/>
  <c r="Q301" i="13"/>
  <c r="P301" i="13"/>
  <c r="O301" i="13"/>
  <c r="M301" i="13"/>
  <c r="L301" i="13"/>
  <c r="K301" i="13"/>
  <c r="U299" i="13"/>
  <c r="T299" i="13"/>
  <c r="S299" i="13"/>
  <c r="R299" i="13"/>
  <c r="Q299" i="13"/>
  <c r="P299" i="13"/>
  <c r="O299" i="13"/>
  <c r="N299" i="13"/>
  <c r="M299" i="13"/>
  <c r="L299" i="13"/>
  <c r="K299" i="13"/>
  <c r="J299" i="13"/>
  <c r="I299" i="13"/>
  <c r="H299" i="13"/>
  <c r="G299" i="13"/>
  <c r="F299" i="13"/>
  <c r="E299" i="13"/>
  <c r="U294" i="13"/>
  <c r="T294" i="13"/>
  <c r="S294" i="13"/>
  <c r="R294" i="13"/>
  <c r="Q294" i="13"/>
  <c r="P294" i="13"/>
  <c r="O294" i="13"/>
  <c r="N294" i="13"/>
  <c r="M294" i="13"/>
  <c r="L294" i="13"/>
  <c r="K294" i="13"/>
  <c r="H294" i="13"/>
  <c r="U136" i="13"/>
  <c r="T136" i="13"/>
  <c r="S136" i="13"/>
  <c r="Q136" i="13"/>
  <c r="O136" i="13"/>
  <c r="M136" i="13"/>
  <c r="K136" i="13"/>
  <c r="U134" i="13"/>
  <c r="T134" i="13"/>
  <c r="S134" i="13"/>
  <c r="R134" i="13"/>
  <c r="Q134" i="13"/>
  <c r="P134" i="13"/>
  <c r="O134" i="13"/>
  <c r="N134" i="13"/>
  <c r="M134" i="13"/>
  <c r="L134" i="13"/>
  <c r="K134" i="13"/>
  <c r="U132" i="13"/>
  <c r="T132" i="13"/>
  <c r="S132" i="13"/>
  <c r="Q132" i="13"/>
  <c r="P132" i="13"/>
  <c r="O132" i="13"/>
  <c r="M132" i="13"/>
  <c r="L132" i="13"/>
  <c r="K132" i="13"/>
  <c r="U130" i="13"/>
  <c r="T130" i="13"/>
  <c r="S130" i="13"/>
  <c r="R130" i="13"/>
  <c r="Q130" i="13"/>
  <c r="P130" i="13"/>
  <c r="O130" i="13"/>
  <c r="M130" i="13"/>
  <c r="L130" i="13"/>
  <c r="K130" i="13"/>
  <c r="J130" i="13"/>
  <c r="I130" i="13"/>
  <c r="H130" i="13"/>
  <c r="G130" i="13"/>
  <c r="F130" i="13"/>
  <c r="E130" i="13"/>
  <c r="U120" i="13"/>
  <c r="T120" i="13"/>
  <c r="S120" i="13"/>
  <c r="Q120" i="13"/>
  <c r="P120" i="13"/>
  <c r="O120" i="13"/>
  <c r="M120" i="13"/>
  <c r="L120" i="13"/>
  <c r="K120" i="13"/>
  <c r="U112" i="13"/>
  <c r="T112" i="13"/>
  <c r="S112" i="13"/>
  <c r="R112" i="13"/>
  <c r="Q112" i="13"/>
  <c r="P112" i="13"/>
  <c r="O112" i="13"/>
  <c r="M112" i="13"/>
  <c r="L112" i="13"/>
  <c r="K112" i="13"/>
  <c r="U105" i="13"/>
  <c r="T105" i="13"/>
  <c r="S105" i="13"/>
  <c r="R105" i="13"/>
  <c r="Q105" i="13"/>
  <c r="P105" i="13"/>
  <c r="O105" i="13"/>
  <c r="N105" i="13"/>
  <c r="M105" i="13"/>
  <c r="L105" i="13"/>
  <c r="K105" i="13"/>
  <c r="U102" i="13"/>
  <c r="T102" i="13"/>
  <c r="S102" i="13"/>
  <c r="R102" i="13"/>
  <c r="Q102" i="13"/>
  <c r="P102" i="13"/>
  <c r="O102" i="13"/>
  <c r="N102" i="13"/>
  <c r="M102" i="13"/>
  <c r="L102" i="13"/>
  <c r="K102" i="13"/>
  <c r="U82" i="13"/>
  <c r="T82" i="13"/>
  <c r="Q82" i="13"/>
  <c r="O82" i="13"/>
  <c r="M82" i="13"/>
  <c r="L82" i="13"/>
  <c r="K82" i="13"/>
  <c r="U80" i="13"/>
  <c r="T80" i="13"/>
  <c r="S80" i="13"/>
  <c r="R80" i="13"/>
  <c r="Q80" i="13"/>
  <c r="P80" i="13"/>
  <c r="O80" i="13"/>
  <c r="M80" i="13"/>
  <c r="L80" i="13"/>
  <c r="K80" i="13"/>
  <c r="J80" i="13"/>
  <c r="I80" i="13"/>
  <c r="H80" i="13"/>
  <c r="G80" i="13"/>
  <c r="F80" i="13"/>
  <c r="E80" i="13"/>
  <c r="U78" i="13"/>
  <c r="T78" i="13"/>
  <c r="S78" i="13"/>
  <c r="R78" i="13"/>
  <c r="Q78" i="13"/>
  <c r="P78" i="13"/>
  <c r="O78" i="13"/>
  <c r="M78" i="13"/>
  <c r="L78" i="13"/>
  <c r="K78" i="13"/>
  <c r="J78" i="13"/>
  <c r="I78" i="13"/>
  <c r="H78" i="13"/>
  <c r="G78" i="13"/>
  <c r="F78" i="13"/>
  <c r="E78" i="13"/>
  <c r="U75" i="13"/>
  <c r="T75" i="13"/>
  <c r="S75" i="13"/>
  <c r="R75" i="13"/>
  <c r="Q75" i="13"/>
  <c r="P75" i="13"/>
  <c r="O75" i="13"/>
  <c r="N75" i="13"/>
  <c r="M75" i="13"/>
  <c r="L75" i="13"/>
  <c r="K75" i="13"/>
  <c r="J75" i="13"/>
  <c r="I75" i="13"/>
  <c r="H75" i="13"/>
  <c r="G75" i="13"/>
  <c r="F75" i="13"/>
  <c r="E75" i="13"/>
  <c r="U73" i="13"/>
  <c r="T73" i="13"/>
  <c r="S73" i="13"/>
  <c r="R73" i="13"/>
  <c r="Q73" i="13"/>
  <c r="P73" i="13"/>
  <c r="O73" i="13"/>
  <c r="M73" i="13"/>
  <c r="L73" i="13"/>
  <c r="K73" i="13"/>
  <c r="U71" i="13"/>
  <c r="T71" i="13"/>
  <c r="S71" i="13"/>
  <c r="R71" i="13"/>
  <c r="Q71" i="13"/>
  <c r="P71" i="13"/>
  <c r="O71" i="13"/>
  <c r="N71" i="13"/>
  <c r="M71" i="13"/>
  <c r="L71" i="13"/>
  <c r="K71" i="13"/>
  <c r="J71" i="13"/>
  <c r="I71" i="13"/>
  <c r="H71" i="13"/>
  <c r="G71" i="13"/>
  <c r="F71" i="13"/>
  <c r="E71" i="13"/>
  <c r="U68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E68" i="13"/>
  <c r="U66" i="13"/>
  <c r="T66" i="13"/>
  <c r="S66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U64" i="13"/>
  <c r="T64" i="13"/>
  <c r="S64" i="13"/>
  <c r="R64" i="13"/>
  <c r="Q64" i="13"/>
  <c r="P64" i="13"/>
  <c r="O64" i="13"/>
  <c r="M64" i="13"/>
  <c r="L64" i="13"/>
  <c r="K64" i="13"/>
  <c r="J64" i="13"/>
  <c r="I64" i="13"/>
  <c r="H64" i="13"/>
  <c r="G64" i="13"/>
  <c r="F64" i="13"/>
  <c r="E64" i="13"/>
  <c r="U60" i="13"/>
  <c r="T60" i="13"/>
  <c r="S60" i="13"/>
  <c r="Q60" i="13"/>
  <c r="P60" i="13"/>
  <c r="O60" i="13"/>
  <c r="M60" i="13"/>
  <c r="L60" i="13"/>
  <c r="K60" i="13"/>
  <c r="J60" i="13"/>
  <c r="I60" i="13"/>
  <c r="H60" i="13"/>
  <c r="G60" i="13"/>
  <c r="F60" i="13"/>
  <c r="E60" i="13"/>
  <c r="U58" i="13"/>
  <c r="T58" i="13"/>
  <c r="S58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F58" i="13"/>
  <c r="E58" i="13"/>
  <c r="U55" i="13"/>
  <c r="T55" i="13"/>
  <c r="S55" i="13"/>
  <c r="Q55" i="13"/>
  <c r="P55" i="13"/>
  <c r="O55" i="13"/>
  <c r="M55" i="13"/>
  <c r="L55" i="13"/>
  <c r="K55" i="13"/>
  <c r="J55" i="13"/>
  <c r="I55" i="13"/>
  <c r="H55" i="13"/>
  <c r="G55" i="13"/>
  <c r="F55" i="13"/>
  <c r="E55" i="13"/>
  <c r="D1080" i="13"/>
  <c r="C1080" i="13" s="1"/>
  <c r="D1079" i="13"/>
  <c r="D1073" i="13"/>
  <c r="C1073" i="13" s="1"/>
  <c r="D1067" i="13"/>
  <c r="C1067" i="13" s="1"/>
  <c r="D1065" i="13"/>
  <c r="C1065" i="13" s="1"/>
  <c r="D1063" i="13"/>
  <c r="C1063" i="13" s="1"/>
  <c r="D1053" i="13"/>
  <c r="C1053" i="13" s="1"/>
  <c r="D1052" i="13"/>
  <c r="C1052" i="13" s="1"/>
  <c r="D1051" i="13"/>
  <c r="C1051" i="13" s="1"/>
  <c r="D1050" i="13"/>
  <c r="C1050" i="13" s="1"/>
  <c r="D1049" i="13"/>
  <c r="C1049" i="13" s="1"/>
  <c r="D1048" i="13"/>
  <c r="C1048" i="13" s="1"/>
  <c r="D1047" i="13"/>
  <c r="C1047" i="13" s="1"/>
  <c r="D1046" i="13"/>
  <c r="C1046" i="13" s="1"/>
  <c r="D1042" i="13"/>
  <c r="C1042" i="13" s="1"/>
  <c r="D1041" i="13"/>
  <c r="D1040" i="13"/>
  <c r="C1040" i="13" s="1"/>
  <c r="D1039" i="13"/>
  <c r="C1039" i="13" s="1"/>
  <c r="D1038" i="13"/>
  <c r="C1038" i="13" s="1"/>
  <c r="D1037" i="13"/>
  <c r="C1037" i="13" s="1"/>
  <c r="D1036" i="13"/>
  <c r="C1036" i="13" s="1"/>
  <c r="D1035" i="13"/>
  <c r="C1035" i="13" s="1"/>
  <c r="D1034" i="13"/>
  <c r="C1034" i="13" s="1"/>
  <c r="D1033" i="13"/>
  <c r="C1033" i="13" s="1"/>
  <c r="D1032" i="13"/>
  <c r="C1032" i="13" s="1"/>
  <c r="D1031" i="13"/>
  <c r="C1031" i="13" s="1"/>
  <c r="D1030" i="13"/>
  <c r="C1030" i="13" s="1"/>
  <c r="D1029" i="13"/>
  <c r="C1029" i="13" s="1"/>
  <c r="D1028" i="13"/>
  <c r="C1028" i="13" s="1"/>
  <c r="D1027" i="13"/>
  <c r="C1027" i="13" s="1"/>
  <c r="D1026" i="13"/>
  <c r="C1026" i="13" s="1"/>
  <c r="D1025" i="13"/>
  <c r="C1025" i="13" s="1"/>
  <c r="D1023" i="13"/>
  <c r="C1023" i="13" s="1"/>
  <c r="D1022" i="13"/>
  <c r="C1022" i="13" s="1"/>
  <c r="D1021" i="13"/>
  <c r="C1021" i="13" s="1"/>
  <c r="D1020" i="13"/>
  <c r="C1020" i="13" s="1"/>
  <c r="D1019" i="13"/>
  <c r="C1019" i="13" s="1"/>
  <c r="D1018" i="13"/>
  <c r="C1018" i="13" s="1"/>
  <c r="D1017" i="13"/>
  <c r="C1017" i="13" s="1"/>
  <c r="D1016" i="13"/>
  <c r="C1016" i="13" s="1"/>
  <c r="D1015" i="13"/>
  <c r="C1015" i="13" s="1"/>
  <c r="D1014" i="13"/>
  <c r="C1014" i="13" s="1"/>
  <c r="D1013" i="13"/>
  <c r="C1013" i="13" s="1"/>
  <c r="D1012" i="13"/>
  <c r="C1012" i="13" s="1"/>
  <c r="D1011" i="13"/>
  <c r="C1011" i="13" s="1"/>
  <c r="D1010" i="13"/>
  <c r="C1010" i="13" s="1"/>
  <c r="D1009" i="13"/>
  <c r="C1009" i="13" s="1"/>
  <c r="D1008" i="13"/>
  <c r="C1008" i="13" s="1"/>
  <c r="D1007" i="13"/>
  <c r="C1007" i="13" s="1"/>
  <c r="D1006" i="13"/>
  <c r="C1006" i="13" s="1"/>
  <c r="D1005" i="13"/>
  <c r="C1005" i="13" s="1"/>
  <c r="D1003" i="13"/>
  <c r="C1003" i="13" s="1"/>
  <c r="D1002" i="13"/>
  <c r="C1002" i="13" s="1"/>
  <c r="D1001" i="13"/>
  <c r="C1001" i="13" s="1"/>
  <c r="D1000" i="13"/>
  <c r="C1000" i="13" s="1"/>
  <c r="D999" i="13"/>
  <c r="C999" i="13" s="1"/>
  <c r="D998" i="13"/>
  <c r="C998" i="13" s="1"/>
  <c r="D996" i="13"/>
  <c r="C996" i="13" s="1"/>
  <c r="D995" i="13"/>
  <c r="C995" i="13" s="1"/>
  <c r="D994" i="13"/>
  <c r="C994" i="13" s="1"/>
  <c r="D993" i="13"/>
  <c r="C993" i="13" s="1"/>
  <c r="D991" i="13"/>
  <c r="C991" i="13" s="1"/>
  <c r="D990" i="13"/>
  <c r="C990" i="13" s="1"/>
  <c r="D989" i="13"/>
  <c r="C989" i="13" s="1"/>
  <c r="D988" i="13"/>
  <c r="C988" i="13" s="1"/>
  <c r="D987" i="13"/>
  <c r="C987" i="13" s="1"/>
  <c r="D986" i="13"/>
  <c r="C986" i="13" s="1"/>
  <c r="D985" i="13"/>
  <c r="C985" i="13" s="1"/>
  <c r="D984" i="13"/>
  <c r="C984" i="13" s="1"/>
  <c r="D983" i="13"/>
  <c r="C983" i="13" s="1"/>
  <c r="D982" i="13"/>
  <c r="C982" i="13" s="1"/>
  <c r="D981" i="13"/>
  <c r="C981" i="13" s="1"/>
  <c r="D980" i="13"/>
  <c r="C980" i="13" s="1"/>
  <c r="D979" i="13"/>
  <c r="C979" i="13" s="1"/>
  <c r="D978" i="13"/>
  <c r="C978" i="13" s="1"/>
  <c r="D977" i="13"/>
  <c r="C977" i="13" s="1"/>
  <c r="D976" i="13"/>
  <c r="C976" i="13" s="1"/>
  <c r="D975" i="13"/>
  <c r="C975" i="13" s="1"/>
  <c r="D974" i="13"/>
  <c r="C974" i="13" s="1"/>
  <c r="D973" i="13"/>
  <c r="C973" i="13" s="1"/>
  <c r="D972" i="13"/>
  <c r="C972" i="13" s="1"/>
  <c r="D970" i="13"/>
  <c r="C970" i="13" s="1"/>
  <c r="D969" i="13"/>
  <c r="C969" i="13" s="1"/>
  <c r="D968" i="13"/>
  <c r="C968" i="13" s="1"/>
  <c r="D967" i="13"/>
  <c r="C967" i="13" s="1"/>
  <c r="D966" i="13"/>
  <c r="C966" i="13" s="1"/>
  <c r="D963" i="13"/>
  <c r="C963" i="13" s="1"/>
  <c r="D962" i="13"/>
  <c r="C962" i="13" s="1"/>
  <c r="D961" i="13"/>
  <c r="C961" i="13" s="1"/>
  <c r="D960" i="13"/>
  <c r="C960" i="13" s="1"/>
  <c r="D959" i="13"/>
  <c r="C959" i="13" s="1"/>
  <c r="D958" i="13"/>
  <c r="C958" i="13" s="1"/>
  <c r="D957" i="13"/>
  <c r="C957" i="13" s="1"/>
  <c r="D956" i="13"/>
  <c r="C956" i="13" s="1"/>
  <c r="D955" i="13"/>
  <c r="C955" i="13" s="1"/>
  <c r="D954" i="13"/>
  <c r="C954" i="13" s="1"/>
  <c r="D953" i="13"/>
  <c r="C953" i="13" s="1"/>
  <c r="D952" i="13"/>
  <c r="C952" i="13" s="1"/>
  <c r="D951" i="13"/>
  <c r="C951" i="13" s="1"/>
  <c r="D950" i="13"/>
  <c r="D949" i="13"/>
  <c r="C949" i="13" s="1"/>
  <c r="D948" i="13"/>
  <c r="C948" i="13" s="1"/>
  <c r="D947" i="13"/>
  <c r="C947" i="13" s="1"/>
  <c r="D946" i="13"/>
  <c r="C946" i="13" s="1"/>
  <c r="D945" i="13"/>
  <c r="C945" i="13" s="1"/>
  <c r="D944" i="13"/>
  <c r="C944" i="13" s="1"/>
  <c r="D943" i="13"/>
  <c r="C943" i="13" s="1"/>
  <c r="D942" i="13"/>
  <c r="C942" i="13" s="1"/>
  <c r="D941" i="13"/>
  <c r="C941" i="13" s="1"/>
  <c r="D940" i="13"/>
  <c r="C940" i="13" s="1"/>
  <c r="D938" i="13"/>
  <c r="C938" i="13" s="1"/>
  <c r="D937" i="13"/>
  <c r="C937" i="13" s="1"/>
  <c r="D935" i="13"/>
  <c r="C935" i="13" s="1"/>
  <c r="D934" i="13"/>
  <c r="C934" i="13" s="1"/>
  <c r="D932" i="13"/>
  <c r="C932" i="13" s="1"/>
  <c r="D931" i="13"/>
  <c r="C931" i="13" s="1"/>
  <c r="D930" i="13"/>
  <c r="C930" i="13" s="1"/>
  <c r="D929" i="13"/>
  <c r="C929" i="13" s="1"/>
  <c r="D928" i="13"/>
  <c r="C928" i="13" s="1"/>
  <c r="D927" i="13"/>
  <c r="C927" i="13" s="1"/>
  <c r="D926" i="13"/>
  <c r="C926" i="13" s="1"/>
  <c r="D925" i="13"/>
  <c r="C925" i="13" s="1"/>
  <c r="D924" i="13"/>
  <c r="C924" i="13" s="1"/>
  <c r="D923" i="13"/>
  <c r="C923" i="13" s="1"/>
  <c r="D922" i="13"/>
  <c r="C922" i="13" s="1"/>
  <c r="D921" i="13"/>
  <c r="C921" i="13" s="1"/>
  <c r="D920" i="13"/>
  <c r="C920" i="13" s="1"/>
  <c r="D919" i="13"/>
  <c r="C919" i="13" s="1"/>
  <c r="D918" i="13"/>
  <c r="C918" i="13" s="1"/>
  <c r="D917" i="13"/>
  <c r="C917" i="13" s="1"/>
  <c r="D915" i="13"/>
  <c r="C915" i="13" s="1"/>
  <c r="D914" i="13"/>
  <c r="C914" i="13" s="1"/>
  <c r="D913" i="13"/>
  <c r="C913" i="13" s="1"/>
  <c r="D912" i="13"/>
  <c r="C912" i="13" s="1"/>
  <c r="D911" i="13"/>
  <c r="C911" i="13" s="1"/>
  <c r="D910" i="13"/>
  <c r="C910" i="13" s="1"/>
  <c r="D909" i="13"/>
  <c r="C909" i="13" s="1"/>
  <c r="D907" i="13"/>
  <c r="C907" i="13" s="1"/>
  <c r="D906" i="13"/>
  <c r="C906" i="13" s="1"/>
  <c r="D905" i="13"/>
  <c r="C905" i="13" s="1"/>
  <c r="D904" i="13"/>
  <c r="C904" i="13" s="1"/>
  <c r="D903" i="13"/>
  <c r="C903" i="13" s="1"/>
  <c r="D902" i="13"/>
  <c r="C902" i="13" s="1"/>
  <c r="D901" i="13"/>
  <c r="C901" i="13" s="1"/>
  <c r="D900" i="13"/>
  <c r="D899" i="13"/>
  <c r="C899" i="13" s="1"/>
  <c r="D898" i="13"/>
  <c r="C898" i="13" s="1"/>
  <c r="D897" i="13"/>
  <c r="C897" i="13" s="1"/>
  <c r="D896" i="13"/>
  <c r="C896" i="13" s="1"/>
  <c r="D895" i="13"/>
  <c r="C895" i="13" s="1"/>
  <c r="D894" i="13"/>
  <c r="C894" i="13" s="1"/>
  <c r="D893" i="13"/>
  <c r="C893" i="13" s="1"/>
  <c r="D891" i="13"/>
  <c r="C891" i="13" s="1"/>
  <c r="D890" i="13"/>
  <c r="C890" i="13" s="1"/>
  <c r="D889" i="13"/>
  <c r="C889" i="13" s="1"/>
  <c r="D888" i="13"/>
  <c r="C888" i="13" s="1"/>
  <c r="D887" i="13"/>
  <c r="C887" i="13" s="1"/>
  <c r="D886" i="13"/>
  <c r="D885" i="13"/>
  <c r="C885" i="13" s="1"/>
  <c r="D872" i="13"/>
  <c r="C872" i="13" s="1"/>
  <c r="D869" i="13"/>
  <c r="D852" i="13"/>
  <c r="D850" i="13"/>
  <c r="D849" i="13"/>
  <c r="C849" i="13" s="1"/>
  <c r="D841" i="13"/>
  <c r="D839" i="13"/>
  <c r="C839" i="13" s="1"/>
  <c r="D837" i="13"/>
  <c r="C837" i="13" s="1"/>
  <c r="D835" i="13"/>
  <c r="C835" i="13" s="1"/>
  <c r="D834" i="13"/>
  <c r="C834" i="13" s="1"/>
  <c r="D830" i="13"/>
  <c r="C830" i="13" s="1"/>
  <c r="D826" i="13"/>
  <c r="C826" i="13" s="1"/>
  <c r="D824" i="13"/>
  <c r="C824" i="13" s="1"/>
  <c r="D823" i="13"/>
  <c r="C823" i="13" s="1"/>
  <c r="D402" i="13"/>
  <c r="D819" i="13"/>
  <c r="D818" i="13"/>
  <c r="D817" i="13"/>
  <c r="D815" i="13"/>
  <c r="C815" i="13" s="1"/>
  <c r="D813" i="13"/>
  <c r="C813" i="13" s="1"/>
  <c r="D812" i="13"/>
  <c r="C812" i="13" s="1"/>
  <c r="D811" i="13"/>
  <c r="C811" i="13" s="1"/>
  <c r="D810" i="13"/>
  <c r="C810" i="13" s="1"/>
  <c r="D808" i="13"/>
  <c r="C808" i="13" s="1"/>
  <c r="D807" i="13"/>
  <c r="C807" i="13" s="1"/>
  <c r="D805" i="13"/>
  <c r="C805" i="13" s="1"/>
  <c r="D799" i="13"/>
  <c r="C799" i="13" s="1"/>
  <c r="D798" i="13"/>
  <c r="C798" i="13" s="1"/>
  <c r="D793" i="13"/>
  <c r="D792" i="13"/>
  <c r="C792" i="13" s="1"/>
  <c r="D791" i="13"/>
  <c r="C791" i="13" s="1"/>
  <c r="D786" i="13"/>
  <c r="C786" i="13" s="1"/>
  <c r="D785" i="13"/>
  <c r="C785" i="13" s="1"/>
  <c r="D784" i="13"/>
  <c r="C784" i="13" s="1"/>
  <c r="D783" i="13"/>
  <c r="C783" i="13" s="1"/>
  <c r="D780" i="13"/>
  <c r="C780" i="13" s="1"/>
  <c r="D779" i="13"/>
  <c r="D778" i="13"/>
  <c r="C778" i="13" s="1"/>
  <c r="D776" i="13"/>
  <c r="C776" i="13" s="1"/>
  <c r="D775" i="13"/>
  <c r="C775" i="13" s="1"/>
  <c r="D774" i="13"/>
  <c r="C774" i="13" s="1"/>
  <c r="D773" i="13"/>
  <c r="C773" i="13" s="1"/>
  <c r="D772" i="13"/>
  <c r="D770" i="13"/>
  <c r="C770" i="13" s="1"/>
  <c r="D769" i="13"/>
  <c r="C769" i="13" s="1"/>
  <c r="D768" i="13"/>
  <c r="D766" i="13"/>
  <c r="C766" i="13" s="1"/>
  <c r="D765" i="13"/>
  <c r="C765" i="13" s="1"/>
  <c r="D750" i="13"/>
  <c r="C750" i="13" s="1"/>
  <c r="D742" i="13"/>
  <c r="C742" i="13" s="1"/>
  <c r="D740" i="13"/>
  <c r="C740" i="13" s="1"/>
  <c r="D738" i="13"/>
  <c r="D737" i="13"/>
  <c r="D724" i="13"/>
  <c r="C724" i="13" s="1"/>
  <c r="D722" i="13"/>
  <c r="D720" i="13"/>
  <c r="D719" i="13"/>
  <c r="D718" i="13"/>
  <c r="C718" i="13" s="1"/>
  <c r="D717" i="13"/>
  <c r="D706" i="13"/>
  <c r="C706" i="13" s="1"/>
  <c r="D705" i="13"/>
  <c r="C705" i="13" s="1"/>
  <c r="D704" i="13"/>
  <c r="C704" i="13" s="1"/>
  <c r="D702" i="13"/>
  <c r="C702" i="13" s="1"/>
  <c r="D701" i="13"/>
  <c r="C701" i="13" s="1"/>
  <c r="D700" i="13"/>
  <c r="C700" i="13" s="1"/>
  <c r="D699" i="13"/>
  <c r="C699" i="13" s="1"/>
  <c r="D698" i="13"/>
  <c r="C698" i="13" s="1"/>
  <c r="D697" i="13"/>
  <c r="C697" i="13" s="1"/>
  <c r="D696" i="13"/>
  <c r="C696" i="13" s="1"/>
  <c r="D695" i="13"/>
  <c r="C695" i="13" s="1"/>
  <c r="D694" i="13"/>
  <c r="C694" i="13" s="1"/>
  <c r="D693" i="13"/>
  <c r="C693" i="13" s="1"/>
  <c r="D692" i="13"/>
  <c r="C692" i="13" s="1"/>
  <c r="D691" i="13"/>
  <c r="C691" i="13" s="1"/>
  <c r="D690" i="13"/>
  <c r="D689" i="13"/>
  <c r="C689" i="13" s="1"/>
  <c r="D688" i="13"/>
  <c r="C688" i="13" s="1"/>
  <c r="D687" i="13"/>
  <c r="C687" i="13" s="1"/>
  <c r="D686" i="13"/>
  <c r="C686" i="13" s="1"/>
  <c r="D685" i="13"/>
  <c r="C685" i="13" s="1"/>
  <c r="D684" i="13"/>
  <c r="C684" i="13" s="1"/>
  <c r="D683" i="13"/>
  <c r="C683" i="13" s="1"/>
  <c r="D682" i="13"/>
  <c r="C682" i="13" s="1"/>
  <c r="D681" i="13"/>
  <c r="C681" i="13" s="1"/>
  <c r="D680" i="13"/>
  <c r="C680" i="13" s="1"/>
  <c r="D678" i="13"/>
  <c r="C678" i="13" s="1"/>
  <c r="D677" i="13"/>
  <c r="C677" i="13" s="1"/>
  <c r="D676" i="13"/>
  <c r="C676" i="13" s="1"/>
  <c r="D675" i="13"/>
  <c r="C675" i="13" s="1"/>
  <c r="D669" i="13"/>
  <c r="C669" i="13" s="1"/>
  <c r="D668" i="13"/>
  <c r="C668" i="13" s="1"/>
  <c r="D667" i="13"/>
  <c r="C667" i="13" s="1"/>
  <c r="D665" i="13"/>
  <c r="C665" i="13" s="1"/>
  <c r="D664" i="13"/>
  <c r="C664" i="13" s="1"/>
  <c r="D663" i="13"/>
  <c r="C663" i="13" s="1"/>
  <c r="D661" i="13"/>
  <c r="C661" i="13" s="1"/>
  <c r="D660" i="13"/>
  <c r="C660" i="13" s="1"/>
  <c r="D659" i="13"/>
  <c r="C659" i="13" s="1"/>
  <c r="D658" i="13"/>
  <c r="C658" i="13" s="1"/>
  <c r="D657" i="13"/>
  <c r="C657" i="13" s="1"/>
  <c r="D656" i="13"/>
  <c r="C656" i="13" s="1"/>
  <c r="D655" i="13"/>
  <c r="C655" i="13" s="1"/>
  <c r="D654" i="13"/>
  <c r="C654" i="13" s="1"/>
  <c r="D653" i="13"/>
  <c r="C653" i="13" s="1"/>
  <c r="D652" i="13"/>
  <c r="C652" i="13" s="1"/>
  <c r="D651" i="13"/>
  <c r="C651" i="13" s="1"/>
  <c r="D650" i="13"/>
  <c r="C650" i="13" s="1"/>
  <c r="D649" i="13"/>
  <c r="C649" i="13" s="1"/>
  <c r="D647" i="13"/>
  <c r="C647" i="13" s="1"/>
  <c r="D645" i="13"/>
  <c r="C645" i="13" s="1"/>
  <c r="D644" i="13"/>
  <c r="C644" i="13" s="1"/>
  <c r="D643" i="13"/>
  <c r="C643" i="13" s="1"/>
  <c r="D642" i="13"/>
  <c r="C642" i="13" s="1"/>
  <c r="D640" i="13"/>
  <c r="C640" i="13" s="1"/>
  <c r="D639" i="13"/>
  <c r="C639" i="13" s="1"/>
  <c r="D638" i="13"/>
  <c r="C638" i="13" s="1"/>
  <c r="D635" i="13"/>
  <c r="C635" i="13" s="1"/>
  <c r="D634" i="13"/>
  <c r="C634" i="13" s="1"/>
  <c r="D633" i="13"/>
  <c r="D632" i="13"/>
  <c r="C632" i="13" s="1"/>
  <c r="D631" i="13"/>
  <c r="C631" i="13" s="1"/>
  <c r="D630" i="13"/>
  <c r="C630" i="13" s="1"/>
  <c r="D629" i="13"/>
  <c r="C629" i="13" s="1"/>
  <c r="D628" i="13"/>
  <c r="C628" i="13" s="1"/>
  <c r="D627" i="13"/>
  <c r="C627" i="13" s="1"/>
  <c r="D626" i="13"/>
  <c r="C626" i="13" s="1"/>
  <c r="D625" i="13"/>
  <c r="C625" i="13" s="1"/>
  <c r="D623" i="13"/>
  <c r="C623" i="13" s="1"/>
  <c r="D622" i="13"/>
  <c r="C622" i="13" s="1"/>
  <c r="D621" i="13"/>
  <c r="C621" i="13" s="1"/>
  <c r="D620" i="13"/>
  <c r="C620" i="13" s="1"/>
  <c r="D619" i="13"/>
  <c r="C619" i="13" s="1"/>
  <c r="D618" i="13"/>
  <c r="C618" i="13" s="1"/>
  <c r="D617" i="13"/>
  <c r="C617" i="13" s="1"/>
  <c r="D616" i="13"/>
  <c r="C616" i="13" s="1"/>
  <c r="D615" i="13"/>
  <c r="C615" i="13" s="1"/>
  <c r="D614" i="13"/>
  <c r="C614" i="13" s="1"/>
  <c r="D612" i="13"/>
  <c r="C612" i="13" s="1"/>
  <c r="D611" i="13"/>
  <c r="C611" i="13" s="1"/>
  <c r="D610" i="13"/>
  <c r="C610" i="13" s="1"/>
  <c r="D609" i="13"/>
  <c r="C609" i="13" s="1"/>
  <c r="D608" i="13"/>
  <c r="C608" i="13" s="1"/>
  <c r="D607" i="13"/>
  <c r="C607" i="13" s="1"/>
  <c r="D606" i="13"/>
  <c r="C606" i="13" s="1"/>
  <c r="D605" i="13"/>
  <c r="C605" i="13" s="1"/>
  <c r="D604" i="13"/>
  <c r="C604" i="13" s="1"/>
  <c r="D603" i="13"/>
  <c r="C603" i="13" s="1"/>
  <c r="D602" i="13"/>
  <c r="C602" i="13" s="1"/>
  <c r="D601" i="13"/>
  <c r="C601" i="13" s="1"/>
  <c r="D600" i="13"/>
  <c r="C600" i="13" s="1"/>
  <c r="D599" i="13"/>
  <c r="C599" i="13" s="1"/>
  <c r="D598" i="13"/>
  <c r="C598" i="13" s="1"/>
  <c r="D597" i="13"/>
  <c r="C597" i="13" s="1"/>
  <c r="D596" i="13"/>
  <c r="C596" i="13" s="1"/>
  <c r="D595" i="13"/>
  <c r="C595" i="13" s="1"/>
  <c r="D594" i="13"/>
  <c r="C594" i="13" s="1"/>
  <c r="D593" i="13"/>
  <c r="C593" i="13" s="1"/>
  <c r="D592" i="13"/>
  <c r="C592" i="13" s="1"/>
  <c r="D591" i="13"/>
  <c r="C591" i="13" s="1"/>
  <c r="D590" i="13"/>
  <c r="C590" i="13" s="1"/>
  <c r="D588" i="13"/>
  <c r="C588" i="13" s="1"/>
  <c r="D587" i="13"/>
  <c r="C587" i="13" s="1"/>
  <c r="D586" i="13"/>
  <c r="C586" i="13" s="1"/>
  <c r="D585" i="13"/>
  <c r="C585" i="13" s="1"/>
  <c r="D583" i="13"/>
  <c r="C583" i="13" s="1"/>
  <c r="D582" i="13"/>
  <c r="C582" i="13" s="1"/>
  <c r="D581" i="13"/>
  <c r="C581" i="13" s="1"/>
  <c r="D580" i="13"/>
  <c r="C580" i="13" s="1"/>
  <c r="D579" i="13"/>
  <c r="C579" i="13" s="1"/>
  <c r="D578" i="13"/>
  <c r="C578" i="13" s="1"/>
  <c r="D577" i="13"/>
  <c r="C577" i="13" s="1"/>
  <c r="D576" i="13"/>
  <c r="C576" i="13" s="1"/>
  <c r="D575" i="13"/>
  <c r="C575" i="13" s="1"/>
  <c r="D574" i="13"/>
  <c r="C574" i="13" s="1"/>
  <c r="D573" i="13"/>
  <c r="C573" i="13" s="1"/>
  <c r="D572" i="13"/>
  <c r="C572" i="13" s="1"/>
  <c r="D571" i="13"/>
  <c r="C571" i="13" s="1"/>
  <c r="D569" i="13"/>
  <c r="C569" i="13" s="1"/>
  <c r="D568" i="13"/>
  <c r="C568" i="13" s="1"/>
  <c r="D567" i="13"/>
  <c r="C567" i="13" s="1"/>
  <c r="D566" i="13"/>
  <c r="C566" i="13" s="1"/>
  <c r="D565" i="13"/>
  <c r="C565" i="13" s="1"/>
  <c r="D564" i="13"/>
  <c r="C564" i="13" s="1"/>
  <c r="D563" i="13"/>
  <c r="C563" i="13" s="1"/>
  <c r="D562" i="13"/>
  <c r="C562" i="13" s="1"/>
  <c r="D561" i="13"/>
  <c r="C561" i="13" s="1"/>
  <c r="D560" i="13"/>
  <c r="C560" i="13" s="1"/>
  <c r="D559" i="13"/>
  <c r="C559" i="13" s="1"/>
  <c r="D558" i="13"/>
  <c r="C558" i="13" s="1"/>
  <c r="D557" i="13"/>
  <c r="C557" i="13" s="1"/>
  <c r="D556" i="13"/>
  <c r="C556" i="13" s="1"/>
  <c r="D555" i="13"/>
  <c r="C555" i="13" s="1"/>
  <c r="D554" i="13"/>
  <c r="C554" i="13" s="1"/>
  <c r="D550" i="13"/>
  <c r="C550" i="13" s="1"/>
  <c r="D549" i="13"/>
  <c r="C549" i="13" s="1"/>
  <c r="D548" i="13"/>
  <c r="C548" i="13" s="1"/>
  <c r="D547" i="13"/>
  <c r="C547" i="13" s="1"/>
  <c r="D546" i="13"/>
  <c r="C546" i="13" s="1"/>
  <c r="D545" i="13"/>
  <c r="C545" i="13" s="1"/>
  <c r="D544" i="13"/>
  <c r="C544" i="13" s="1"/>
  <c r="D543" i="13"/>
  <c r="C543" i="13" s="1"/>
  <c r="D541" i="13"/>
  <c r="C541" i="13" s="1"/>
  <c r="D540" i="13"/>
  <c r="C540" i="13" s="1"/>
  <c r="D539" i="13"/>
  <c r="D538" i="13"/>
  <c r="C538" i="13" s="1"/>
  <c r="D537" i="13"/>
  <c r="D536" i="13"/>
  <c r="D535" i="13"/>
  <c r="D531" i="13"/>
  <c r="C531" i="13" s="1"/>
  <c r="D530" i="13"/>
  <c r="C530" i="13" s="1"/>
  <c r="D529" i="13"/>
  <c r="C529" i="13" s="1"/>
  <c r="D528" i="13"/>
  <c r="C528" i="13" s="1"/>
  <c r="D527" i="13"/>
  <c r="C527" i="13" s="1"/>
  <c r="D526" i="13"/>
  <c r="C526" i="13" s="1"/>
  <c r="D525" i="13"/>
  <c r="D524" i="13"/>
  <c r="C524" i="13" s="1"/>
  <c r="D523" i="13"/>
  <c r="C523" i="13" s="1"/>
  <c r="D522" i="13"/>
  <c r="C522" i="13" s="1"/>
  <c r="D519" i="13"/>
  <c r="C519" i="13" s="1"/>
  <c r="D517" i="13"/>
  <c r="C517" i="13" s="1"/>
  <c r="D516" i="13"/>
  <c r="C516" i="13" s="1"/>
  <c r="D515" i="13"/>
  <c r="C515" i="13" s="1"/>
  <c r="D514" i="13"/>
  <c r="C514" i="13" s="1"/>
  <c r="D513" i="13"/>
  <c r="C513" i="13" s="1"/>
  <c r="D512" i="13"/>
  <c r="C512" i="13" s="1"/>
  <c r="D510" i="13"/>
  <c r="D509" i="13"/>
  <c r="C509" i="13" s="1"/>
  <c r="D507" i="13"/>
  <c r="C507" i="13" s="1"/>
  <c r="D506" i="13"/>
  <c r="D505" i="13"/>
  <c r="C505" i="13" s="1"/>
  <c r="D504" i="13"/>
  <c r="C504" i="13" s="1"/>
  <c r="D503" i="13"/>
  <c r="C503" i="13" s="1"/>
  <c r="D502" i="13"/>
  <c r="C502" i="13" s="1"/>
  <c r="D497" i="13"/>
  <c r="C497" i="13" s="1"/>
  <c r="D496" i="13"/>
  <c r="C496" i="13" s="1"/>
  <c r="D494" i="13"/>
  <c r="C494" i="13" s="1"/>
  <c r="D492" i="13"/>
  <c r="C492" i="13" s="1"/>
  <c r="D491" i="13"/>
  <c r="C491" i="13" s="1"/>
  <c r="D489" i="13"/>
  <c r="D478" i="13"/>
  <c r="C478" i="13" s="1"/>
  <c r="D474" i="13"/>
  <c r="D472" i="13"/>
  <c r="D471" i="13"/>
  <c r="D468" i="13"/>
  <c r="D462" i="13"/>
  <c r="D452" i="13"/>
  <c r="D451" i="13"/>
  <c r="D449" i="13"/>
  <c r="D435" i="13"/>
  <c r="D434" i="13"/>
  <c r="D432" i="13"/>
  <c r="C432" i="13" s="1"/>
  <c r="D430" i="13"/>
  <c r="C430" i="13" s="1"/>
  <c r="D429" i="13"/>
  <c r="C429" i="13" s="1"/>
  <c r="D428" i="13"/>
  <c r="C428" i="13" s="1"/>
  <c r="D427" i="13"/>
  <c r="C427" i="13" s="1"/>
  <c r="D426" i="13"/>
  <c r="C426" i="13" s="1"/>
  <c r="D425" i="13"/>
  <c r="C425" i="13" s="1"/>
  <c r="D423" i="13"/>
  <c r="C423" i="13" s="1"/>
  <c r="D422" i="13"/>
  <c r="C422" i="13" s="1"/>
  <c r="D420" i="13"/>
  <c r="D419" i="13"/>
  <c r="C419" i="13" s="1"/>
  <c r="D417" i="13"/>
  <c r="C417" i="13" s="1"/>
  <c r="D416" i="13"/>
  <c r="C416" i="13" s="1"/>
  <c r="D415" i="13"/>
  <c r="D413" i="13"/>
  <c r="C413" i="13" s="1"/>
  <c r="D412" i="13"/>
  <c r="C412" i="13" s="1"/>
  <c r="D410" i="13"/>
  <c r="C410" i="13" s="1"/>
  <c r="D409" i="13"/>
  <c r="D405" i="13"/>
  <c r="C405" i="13" s="1"/>
  <c r="D404" i="13"/>
  <c r="C404" i="13" s="1"/>
  <c r="D400" i="13"/>
  <c r="C400" i="13" s="1"/>
  <c r="D398" i="13"/>
  <c r="C398" i="13" s="1"/>
  <c r="D397" i="13"/>
  <c r="C397" i="13" s="1"/>
  <c r="D396" i="13"/>
  <c r="C396" i="13" s="1"/>
  <c r="D393" i="13"/>
  <c r="C393" i="13" s="1"/>
  <c r="D392" i="13"/>
  <c r="C392" i="13" s="1"/>
  <c r="D390" i="13"/>
  <c r="C390" i="13" s="1"/>
  <c r="D389" i="13"/>
  <c r="C389" i="13" s="1"/>
  <c r="D388" i="13"/>
  <c r="C388" i="13" s="1"/>
  <c r="D384" i="13"/>
  <c r="C384" i="13" s="1"/>
  <c r="D383" i="13"/>
  <c r="C383" i="13" s="1"/>
  <c r="D379" i="13"/>
  <c r="C379" i="13" s="1"/>
  <c r="D378" i="13"/>
  <c r="C378" i="13" s="1"/>
  <c r="D375" i="13"/>
  <c r="C375" i="13" s="1"/>
  <c r="D374" i="13"/>
  <c r="C374" i="13" s="1"/>
  <c r="D372" i="13"/>
  <c r="C372" i="13" s="1"/>
  <c r="D370" i="13"/>
  <c r="C370" i="13" s="1"/>
  <c r="D367" i="13"/>
  <c r="C367" i="13" s="1"/>
  <c r="D366" i="13"/>
  <c r="D365" i="13"/>
  <c r="C365" i="13" s="1"/>
  <c r="D364" i="13"/>
  <c r="C364" i="13" s="1"/>
  <c r="D363" i="13"/>
  <c r="C363" i="13" s="1"/>
  <c r="D362" i="13"/>
  <c r="C362" i="13" s="1"/>
  <c r="D361" i="13"/>
  <c r="C361" i="13" s="1"/>
  <c r="D360" i="13"/>
  <c r="C360" i="13" s="1"/>
  <c r="D359" i="13"/>
  <c r="C359" i="13" s="1"/>
  <c r="D358" i="13"/>
  <c r="C358" i="13" s="1"/>
  <c r="D357" i="13"/>
  <c r="C357" i="13" s="1"/>
  <c r="D356" i="13"/>
  <c r="C356" i="13" s="1"/>
  <c r="D354" i="13"/>
  <c r="C354" i="13" s="1"/>
  <c r="D352" i="13"/>
  <c r="D351" i="13"/>
  <c r="C351" i="13" s="1"/>
  <c r="D344" i="13"/>
  <c r="C344" i="13" s="1"/>
  <c r="D343" i="13"/>
  <c r="C343" i="13" s="1"/>
  <c r="D342" i="13"/>
  <c r="D341" i="13"/>
  <c r="C341" i="13" s="1"/>
  <c r="D340" i="13"/>
  <c r="D339" i="13"/>
  <c r="C339" i="13" s="1"/>
  <c r="D338" i="13"/>
  <c r="C338" i="13" s="1"/>
  <c r="D337" i="13"/>
  <c r="C337" i="13" s="1"/>
  <c r="D336" i="13"/>
  <c r="C336" i="13" s="1"/>
  <c r="D335" i="13"/>
  <c r="C335" i="13" s="1"/>
  <c r="D334" i="13"/>
  <c r="C334" i="13" s="1"/>
  <c r="D333" i="13"/>
  <c r="C333" i="13" s="1"/>
  <c r="D332" i="13"/>
  <c r="C332" i="13" s="1"/>
  <c r="D331" i="13"/>
  <c r="C331" i="13" s="1"/>
  <c r="D329" i="13"/>
  <c r="D324" i="13"/>
  <c r="D320" i="13"/>
  <c r="C320" i="13" s="1"/>
  <c r="D318" i="13"/>
  <c r="C318" i="13" s="1"/>
  <c r="D317" i="13"/>
  <c r="C317" i="13" s="1"/>
  <c r="D313" i="13"/>
  <c r="C313" i="13" s="1"/>
  <c r="D310" i="13"/>
  <c r="D309" i="13"/>
  <c r="D307" i="13"/>
  <c r="C307" i="13" s="1"/>
  <c r="D306" i="13"/>
  <c r="C306" i="13" s="1"/>
  <c r="D305" i="13"/>
  <c r="C305" i="13" s="1"/>
  <c r="D300" i="13"/>
  <c r="C300" i="13" s="1"/>
  <c r="D292" i="13"/>
  <c r="C292" i="13" s="1"/>
  <c r="D291" i="13"/>
  <c r="C291" i="13" s="1"/>
  <c r="D290" i="13"/>
  <c r="D289" i="13"/>
  <c r="C289" i="13" s="1"/>
  <c r="D287" i="13"/>
  <c r="C287" i="13" s="1"/>
  <c r="D286" i="13"/>
  <c r="C286" i="13" s="1"/>
  <c r="D285" i="13"/>
  <c r="D293" i="13"/>
  <c r="C293" i="13" s="1"/>
  <c r="D283" i="13"/>
  <c r="D282" i="13"/>
  <c r="D281" i="13"/>
  <c r="C281" i="13" s="1"/>
  <c r="D280" i="13"/>
  <c r="D279" i="13"/>
  <c r="C279" i="13" s="1"/>
  <c r="D278" i="13"/>
  <c r="C278" i="13" s="1"/>
  <c r="D277" i="13"/>
  <c r="C277" i="13" s="1"/>
  <c r="D276" i="13"/>
  <c r="D274" i="13"/>
  <c r="C274" i="13" s="1"/>
  <c r="D269" i="13"/>
  <c r="C269" i="13" s="1"/>
  <c r="D268" i="13"/>
  <c r="C268" i="13" s="1"/>
  <c r="D266" i="13"/>
  <c r="C266" i="13" s="1"/>
  <c r="D265" i="13"/>
  <c r="C265" i="13" s="1"/>
  <c r="D264" i="13"/>
  <c r="C264" i="13" s="1"/>
  <c r="D263" i="13"/>
  <c r="C263" i="13" s="1"/>
  <c r="D262" i="13"/>
  <c r="C262" i="13" s="1"/>
  <c r="D261" i="13"/>
  <c r="D260" i="13"/>
  <c r="D258" i="13"/>
  <c r="C258" i="13" s="1"/>
  <c r="D256" i="13"/>
  <c r="C256" i="13" s="1"/>
  <c r="D255" i="13"/>
  <c r="C255" i="13" s="1"/>
  <c r="D254" i="13"/>
  <c r="C254" i="13" s="1"/>
  <c r="D249" i="13"/>
  <c r="C249" i="13" s="1"/>
  <c r="D248" i="13"/>
  <c r="C248" i="13" s="1"/>
  <c r="D247" i="13"/>
  <c r="C247" i="13" s="1"/>
  <c r="D246" i="13"/>
  <c r="D245" i="13"/>
  <c r="C245" i="13" s="1"/>
  <c r="D244" i="13"/>
  <c r="C244" i="13" s="1"/>
  <c r="D242" i="13"/>
  <c r="C242" i="13" s="1"/>
  <c r="D241" i="13"/>
  <c r="C241" i="13" s="1"/>
  <c r="D240" i="13"/>
  <c r="C240" i="13" s="1"/>
  <c r="D239" i="13"/>
  <c r="C239" i="13" s="1"/>
  <c r="D238" i="13"/>
  <c r="D237" i="13"/>
  <c r="D236" i="13"/>
  <c r="C236" i="13" s="1"/>
  <c r="D235" i="13"/>
  <c r="C235" i="13" s="1"/>
  <c r="D233" i="13"/>
  <c r="C233" i="13" s="1"/>
  <c r="D229" i="13"/>
  <c r="D228" i="13"/>
  <c r="C228" i="13" s="1"/>
  <c r="D226" i="13"/>
  <c r="D225" i="13"/>
  <c r="C225" i="13" s="1"/>
  <c r="D220" i="13"/>
  <c r="C220" i="13" s="1"/>
  <c r="D217" i="13"/>
  <c r="C217" i="13" s="1"/>
  <c r="D216" i="13"/>
  <c r="C216" i="13" s="1"/>
  <c r="D215" i="13"/>
  <c r="C215" i="13" s="1"/>
  <c r="D214" i="13"/>
  <c r="C214" i="13" s="1"/>
  <c r="D212" i="13"/>
  <c r="C212" i="13" s="1"/>
  <c r="D209" i="13"/>
  <c r="C209" i="13" s="1"/>
  <c r="D208" i="13"/>
  <c r="C208" i="13" s="1"/>
  <c r="D207" i="13"/>
  <c r="C207" i="13" s="1"/>
  <c r="D206" i="13"/>
  <c r="C206" i="13" s="1"/>
  <c r="D205" i="13"/>
  <c r="C205" i="13" s="1"/>
  <c r="D197" i="13"/>
  <c r="C197" i="13" s="1"/>
  <c r="D195" i="13"/>
  <c r="C195" i="13" s="1"/>
  <c r="D188" i="13"/>
  <c r="C188" i="13" s="1"/>
  <c r="D186" i="13"/>
  <c r="C186" i="13" s="1"/>
  <c r="D185" i="13"/>
  <c r="D183" i="13"/>
  <c r="C183" i="13" s="1"/>
  <c r="D182" i="13"/>
  <c r="C182" i="13" s="1"/>
  <c r="D181" i="13"/>
  <c r="C181" i="13" s="1"/>
  <c r="D180" i="13"/>
  <c r="C180" i="13" s="1"/>
  <c r="D179" i="13"/>
  <c r="C179" i="13" s="1"/>
  <c r="D178" i="13"/>
  <c r="C178" i="13" s="1"/>
  <c r="D177" i="13"/>
  <c r="C177" i="13" s="1"/>
  <c r="D173" i="13"/>
  <c r="C173" i="13" s="1"/>
  <c r="D169" i="13"/>
  <c r="C169" i="13" s="1"/>
  <c r="D168" i="13"/>
  <c r="C168" i="13" s="1"/>
  <c r="D167" i="13"/>
  <c r="C167" i="13" s="1"/>
  <c r="D166" i="13"/>
  <c r="C166" i="13" s="1"/>
  <c r="D165" i="13"/>
  <c r="D164" i="13"/>
  <c r="D163" i="13"/>
  <c r="D162" i="13"/>
  <c r="D161" i="13"/>
  <c r="C161" i="13" s="1"/>
  <c r="D160" i="13"/>
  <c r="C160" i="13" s="1"/>
  <c r="D157" i="13"/>
  <c r="C157" i="13" s="1"/>
  <c r="D156" i="13"/>
  <c r="C156" i="13" s="1"/>
  <c r="D155" i="13"/>
  <c r="C155" i="13" s="1"/>
  <c r="D154" i="13"/>
  <c r="C154" i="13" s="1"/>
  <c r="D153" i="13"/>
  <c r="C153" i="13" s="1"/>
  <c r="D152" i="13"/>
  <c r="C152" i="13" s="1"/>
  <c r="D151" i="13"/>
  <c r="C151" i="13" s="1"/>
  <c r="D150" i="13"/>
  <c r="C150" i="13" s="1"/>
  <c r="D149" i="13"/>
  <c r="C149" i="13" s="1"/>
  <c r="D148" i="13"/>
  <c r="C148" i="13" s="1"/>
  <c r="D147" i="13"/>
  <c r="C147" i="13" s="1"/>
  <c r="D146" i="13"/>
  <c r="C146" i="13" s="1"/>
  <c r="D145" i="13"/>
  <c r="C145" i="13" s="1"/>
  <c r="D144" i="13"/>
  <c r="C144" i="13" s="1"/>
  <c r="D143" i="13"/>
  <c r="C143" i="13" s="1"/>
  <c r="D141" i="13"/>
  <c r="C141" i="13" s="1"/>
  <c r="D139" i="13"/>
  <c r="D138" i="13"/>
  <c r="C138" i="13" s="1"/>
  <c r="D137" i="13"/>
  <c r="C137" i="13" s="1"/>
  <c r="D131" i="13"/>
  <c r="D130" i="13" s="1"/>
  <c r="D129" i="13"/>
  <c r="C129" i="13" s="1"/>
  <c r="D128" i="13"/>
  <c r="C128" i="13" s="1"/>
  <c r="D126" i="13"/>
  <c r="C126" i="13" s="1"/>
  <c r="D125" i="13"/>
  <c r="C125" i="13" s="1"/>
  <c r="D124" i="13"/>
  <c r="C124" i="13" s="1"/>
  <c r="D119" i="13"/>
  <c r="C119" i="13" s="1"/>
  <c r="D118" i="13"/>
  <c r="D117" i="13"/>
  <c r="C117" i="13" s="1"/>
  <c r="D116" i="13"/>
  <c r="C116" i="13" s="1"/>
  <c r="D114" i="13"/>
  <c r="D109" i="13"/>
  <c r="C109" i="13" s="1"/>
  <c r="D108" i="13"/>
  <c r="C108" i="13" s="1"/>
  <c r="D107" i="13"/>
  <c r="C107" i="13" s="1"/>
  <c r="D106" i="13"/>
  <c r="C106" i="13" s="1"/>
  <c r="D104" i="13"/>
  <c r="C104" i="13" s="1"/>
  <c r="D101" i="13"/>
  <c r="C101" i="13" s="1"/>
  <c r="D100" i="13"/>
  <c r="D99" i="13"/>
  <c r="D96" i="13"/>
  <c r="D93" i="13"/>
  <c r="D90" i="13"/>
  <c r="C90" i="13" s="1"/>
  <c r="D88" i="13"/>
  <c r="D86" i="13"/>
  <c r="D85" i="13"/>
  <c r="D84" i="13"/>
  <c r="D83" i="13"/>
  <c r="C83" i="13" s="1"/>
  <c r="D81" i="13"/>
  <c r="D80" i="13" s="1"/>
  <c r="D79" i="13"/>
  <c r="D77" i="13"/>
  <c r="C77" i="13" s="1"/>
  <c r="D76" i="13"/>
  <c r="C76" i="13" s="1"/>
  <c r="D72" i="13"/>
  <c r="C72" i="13" s="1"/>
  <c r="D70" i="13"/>
  <c r="C70" i="13" s="1"/>
  <c r="D69" i="13"/>
  <c r="C69" i="13" s="1"/>
  <c r="D67" i="13"/>
  <c r="C67" i="13" s="1"/>
  <c r="D65" i="13"/>
  <c r="D63" i="13"/>
  <c r="D62" i="13"/>
  <c r="D61" i="13"/>
  <c r="C61" i="13" s="1"/>
  <c r="D59" i="13"/>
  <c r="C59" i="13" s="1"/>
  <c r="D57" i="13"/>
  <c r="C57" i="13" s="1"/>
  <c r="D56" i="13"/>
  <c r="D54" i="13"/>
  <c r="D53" i="13" s="1"/>
  <c r="D52" i="13"/>
  <c r="D51" i="13"/>
  <c r="D50" i="13"/>
  <c r="D49" i="13"/>
  <c r="C49" i="13" s="1"/>
  <c r="D47" i="13"/>
  <c r="C47" i="13" s="1"/>
  <c r="D46" i="13"/>
  <c r="C46" i="13" s="1"/>
  <c r="D45" i="13"/>
  <c r="C45" i="13" s="1"/>
  <c r="D42" i="13"/>
  <c r="D41" i="13"/>
  <c r="D39" i="13"/>
  <c r="C39" i="13" s="1"/>
  <c r="D38" i="13"/>
  <c r="C38" i="13" s="1"/>
  <c r="D36" i="13"/>
  <c r="D35" i="13" s="1"/>
  <c r="D32" i="13"/>
  <c r="D31" i="13" s="1"/>
  <c r="D30" i="13"/>
  <c r="D29" i="13" s="1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U48" i="13"/>
  <c r="T48" i="13"/>
  <c r="S48" i="13"/>
  <c r="R48" i="13"/>
  <c r="Q48" i="13"/>
  <c r="P48" i="13"/>
  <c r="O48" i="13"/>
  <c r="M48" i="13"/>
  <c r="L48" i="13"/>
  <c r="K48" i="13"/>
  <c r="J48" i="13"/>
  <c r="I48" i="13"/>
  <c r="H48" i="13"/>
  <c r="G48" i="13"/>
  <c r="F48" i="13"/>
  <c r="E48" i="13"/>
  <c r="U43" i="13"/>
  <c r="T43" i="13"/>
  <c r="S43" i="13"/>
  <c r="R43" i="13"/>
  <c r="Q43" i="13"/>
  <c r="P43" i="13"/>
  <c r="O43" i="13"/>
  <c r="N43" i="13"/>
  <c r="M43" i="13"/>
  <c r="L43" i="13"/>
  <c r="K43" i="13"/>
  <c r="U40" i="13"/>
  <c r="T40" i="13"/>
  <c r="S40" i="13"/>
  <c r="R40" i="13"/>
  <c r="Q40" i="13"/>
  <c r="P40" i="13"/>
  <c r="O40" i="13"/>
  <c r="M40" i="13"/>
  <c r="L40" i="13"/>
  <c r="K40" i="13"/>
  <c r="J40" i="13"/>
  <c r="I40" i="13"/>
  <c r="H40" i="13"/>
  <c r="G40" i="13"/>
  <c r="F40" i="13"/>
  <c r="E40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U33" i="13"/>
  <c r="T33" i="13"/>
  <c r="S33" i="13"/>
  <c r="R33" i="13"/>
  <c r="Q33" i="13"/>
  <c r="P33" i="13"/>
  <c r="O33" i="13"/>
  <c r="M33" i="13"/>
  <c r="L33" i="13"/>
  <c r="K33" i="13"/>
  <c r="U31" i="13"/>
  <c r="T31" i="13"/>
  <c r="S31" i="13"/>
  <c r="R31" i="13"/>
  <c r="Q31" i="13"/>
  <c r="P31" i="13"/>
  <c r="O31" i="13"/>
  <c r="M31" i="13"/>
  <c r="L31" i="13"/>
  <c r="K31" i="13"/>
  <c r="J31" i="13"/>
  <c r="I31" i="13"/>
  <c r="H31" i="13"/>
  <c r="G31" i="13"/>
  <c r="F31" i="13"/>
  <c r="E31" i="13"/>
  <c r="U29" i="13"/>
  <c r="T29" i="13"/>
  <c r="S29" i="13"/>
  <c r="R29" i="13"/>
  <c r="Q29" i="13"/>
  <c r="P29" i="13"/>
  <c r="O29" i="13"/>
  <c r="M29" i="13"/>
  <c r="L29" i="13"/>
  <c r="K29" i="13"/>
  <c r="J29" i="13"/>
  <c r="I29" i="13"/>
  <c r="H29" i="13"/>
  <c r="G29" i="13"/>
  <c r="F29" i="13"/>
  <c r="E29" i="13"/>
  <c r="U14" i="13"/>
  <c r="T14" i="13"/>
  <c r="S14" i="13"/>
  <c r="R14" i="13"/>
  <c r="Q14" i="13"/>
  <c r="P14" i="13"/>
  <c r="O14" i="13"/>
  <c r="M14" i="13"/>
  <c r="L14" i="13"/>
  <c r="K14" i="13"/>
  <c r="U11" i="13"/>
  <c r="T11" i="13"/>
  <c r="S11" i="13"/>
  <c r="R11" i="13"/>
  <c r="Q11" i="13"/>
  <c r="P11" i="13"/>
  <c r="O11" i="13"/>
  <c r="N11" i="13"/>
  <c r="M11" i="13"/>
  <c r="L11" i="13"/>
  <c r="K11" i="13"/>
  <c r="C402" i="13" l="1"/>
  <c r="C401" i="13" s="1"/>
  <c r="D401" i="13"/>
  <c r="M763" i="13"/>
  <c r="Q763" i="13"/>
  <c r="T763" i="13"/>
  <c r="U763" i="13"/>
  <c r="K763" i="13"/>
  <c r="O763" i="13"/>
  <c r="C717" i="13"/>
  <c r="C35" i="13"/>
  <c r="C53" i="13"/>
  <c r="C54" i="13"/>
  <c r="C36" i="13"/>
  <c r="D816" i="13"/>
  <c r="T10" i="13"/>
  <c r="D414" i="13"/>
  <c r="D822" i="13"/>
  <c r="C822" i="13" s="1"/>
  <c r="D316" i="13"/>
  <c r="C316" i="13" s="1"/>
  <c r="T346" i="13"/>
  <c r="K346" i="13"/>
  <c r="O346" i="13"/>
  <c r="D58" i="13"/>
  <c r="C58" i="13" s="1"/>
  <c r="D78" i="13"/>
  <c r="D399" i="13"/>
  <c r="C399" i="13" s="1"/>
  <c r="D418" i="13"/>
  <c r="D304" i="13"/>
  <c r="C304" i="13" s="1"/>
  <c r="D369" i="13"/>
  <c r="C369" i="13" s="1"/>
  <c r="D411" i="13"/>
  <c r="C411" i="13" s="1"/>
  <c r="D739" i="13"/>
  <c r="C739" i="13" s="1"/>
  <c r="D809" i="13"/>
  <c r="C809" i="13" s="1"/>
  <c r="D330" i="13"/>
  <c r="K10" i="13"/>
  <c r="D60" i="13"/>
  <c r="D403" i="13"/>
  <c r="C403" i="13" s="1"/>
  <c r="D1078" i="13"/>
  <c r="D424" i="13"/>
  <c r="C424" i="13" s="1"/>
  <c r="D473" i="13"/>
  <c r="D493" i="13"/>
  <c r="C493" i="13" s="1"/>
  <c r="D55" i="13"/>
  <c r="D68" i="13"/>
  <c r="C68" i="13" s="1"/>
  <c r="D75" i="13"/>
  <c r="C75" i="13" s="1"/>
  <c r="D328" i="13"/>
  <c r="D421" i="13"/>
  <c r="C421" i="13" s="1"/>
  <c r="D387" i="13"/>
  <c r="C387" i="13" s="1"/>
  <c r="O10" i="13"/>
  <c r="D40" i="13"/>
  <c r="D797" i="13"/>
  <c r="C797" i="13" s="1"/>
  <c r="D71" i="13"/>
  <c r="C71" i="13" s="1"/>
  <c r="D431" i="13"/>
  <c r="C431" i="13" s="1"/>
  <c r="D790" i="13"/>
  <c r="D804" i="13"/>
  <c r="C804" i="13" s="1"/>
  <c r="D64" i="13"/>
  <c r="D299" i="13"/>
  <c r="C299" i="13" s="1"/>
  <c r="D382" i="13"/>
  <c r="C382" i="13" s="1"/>
  <c r="D66" i="13"/>
  <c r="C66" i="13" s="1"/>
  <c r="D312" i="13"/>
  <c r="C312" i="13" s="1"/>
  <c r="D408" i="13"/>
  <c r="D495" i="13"/>
  <c r="C495" i="13" s="1"/>
  <c r="D1072" i="13"/>
  <c r="C1072" i="13" s="1"/>
  <c r="M10" i="13"/>
  <c r="Q10" i="13"/>
  <c r="U10" i="13"/>
  <c r="D319" i="13"/>
  <c r="C319" i="13" s="1"/>
  <c r="M346" i="13"/>
  <c r="Q346" i="13"/>
  <c r="U346" i="13"/>
  <c r="D764" i="13"/>
  <c r="D806" i="13"/>
  <c r="C806" i="13" s="1"/>
  <c r="D829" i="13"/>
  <c r="C829" i="13" s="1"/>
  <c r="D838" i="13"/>
  <c r="C838" i="13" s="1"/>
  <c r="D741" i="13"/>
  <c r="C741" i="13" s="1"/>
  <c r="V321" i="13" s="1"/>
  <c r="D814" i="13"/>
  <c r="C814" i="13" s="1"/>
  <c r="D825" i="13"/>
  <c r="C825" i="13" s="1"/>
  <c r="D48" i="13"/>
  <c r="D37" i="13"/>
  <c r="C37" i="13" s="1"/>
  <c r="C764" i="13" l="1"/>
  <c r="T8" i="13"/>
  <c r="Q8" i="13"/>
  <c r="K8" i="13"/>
  <c r="M8" i="13"/>
  <c r="U8" i="13"/>
  <c r="O8" i="13"/>
  <c r="E1100" i="13" l="1"/>
  <c r="I1100" i="13"/>
  <c r="H1100" i="13"/>
  <c r="G1100" i="13"/>
  <c r="F1100" i="13"/>
  <c r="I1099" i="13"/>
  <c r="G1099" i="13"/>
  <c r="F1099" i="13"/>
  <c r="E1099" i="13"/>
  <c r="H1099" i="13"/>
  <c r="I1095" i="13"/>
  <c r="G1095" i="13"/>
  <c r="F1095" i="13"/>
  <c r="E1095" i="13"/>
  <c r="H1095" i="13"/>
  <c r="I1094" i="13"/>
  <c r="G1094" i="13"/>
  <c r="F1094" i="13"/>
  <c r="E1094" i="13"/>
  <c r="H1094" i="13"/>
  <c r="I1093" i="13"/>
  <c r="G1093" i="13"/>
  <c r="F1093" i="13"/>
  <c r="E1093" i="13"/>
  <c r="H1093" i="13"/>
  <c r="I1092" i="13"/>
  <c r="H1092" i="13"/>
  <c r="G1092" i="13"/>
  <c r="F1092" i="13"/>
  <c r="E1092" i="13"/>
  <c r="I1091" i="13"/>
  <c r="H1091" i="13"/>
  <c r="G1091" i="13"/>
  <c r="F1091" i="13"/>
  <c r="E1091" i="13"/>
  <c r="I1090" i="13"/>
  <c r="G1090" i="13"/>
  <c r="F1090" i="13"/>
  <c r="E1090" i="13"/>
  <c r="H1090" i="13"/>
  <c r="I1089" i="13"/>
  <c r="G1089" i="13"/>
  <c r="F1089" i="13"/>
  <c r="E1089" i="13"/>
  <c r="H1089" i="13"/>
  <c r="I1088" i="13"/>
  <c r="G1088" i="13"/>
  <c r="F1088" i="13"/>
  <c r="E1088" i="13"/>
  <c r="H1088" i="13"/>
  <c r="I1087" i="13"/>
  <c r="G1087" i="13"/>
  <c r="F1087" i="13"/>
  <c r="E1087" i="13"/>
  <c r="H1087" i="13"/>
  <c r="I1086" i="13"/>
  <c r="G1086" i="13"/>
  <c r="F1086" i="13"/>
  <c r="E1086" i="13"/>
  <c r="H1086" i="13"/>
  <c r="I1085" i="13"/>
  <c r="H1085" i="13"/>
  <c r="G1085" i="13"/>
  <c r="F1085" i="13"/>
  <c r="E1085" i="13"/>
  <c r="I1084" i="13"/>
  <c r="H1084" i="13"/>
  <c r="G1084" i="13"/>
  <c r="F1084" i="13"/>
  <c r="E1084" i="13"/>
  <c r="I1077" i="13"/>
  <c r="I1076" i="13" s="1"/>
  <c r="G1077" i="13"/>
  <c r="G1076" i="13" s="1"/>
  <c r="F1077" i="13"/>
  <c r="F1076" i="13" s="1"/>
  <c r="E1077" i="13"/>
  <c r="H1077" i="13"/>
  <c r="H1076" i="13" s="1"/>
  <c r="I1075" i="13"/>
  <c r="I1074" i="13" s="1"/>
  <c r="G1075" i="13"/>
  <c r="G1074" i="13" s="1"/>
  <c r="F1075" i="13"/>
  <c r="F1074" i="13" s="1"/>
  <c r="E1075" i="13"/>
  <c r="H1075" i="13"/>
  <c r="H1074" i="13" s="1"/>
  <c r="I726" i="13"/>
  <c r="H726" i="13"/>
  <c r="G726" i="13"/>
  <c r="F726" i="13"/>
  <c r="E726" i="13"/>
  <c r="I1068" i="13"/>
  <c r="H1068" i="13"/>
  <c r="G1068" i="13"/>
  <c r="F1068" i="13"/>
  <c r="E1068" i="13"/>
  <c r="I1064" i="13"/>
  <c r="I1062" i="13" s="1"/>
  <c r="H1064" i="13"/>
  <c r="H1062" i="13" s="1"/>
  <c r="G1064" i="13"/>
  <c r="G1062" i="13" s="1"/>
  <c r="F1064" i="13"/>
  <c r="F1062" i="13" s="1"/>
  <c r="E1064" i="13"/>
  <c r="I1061" i="13"/>
  <c r="H1061" i="13"/>
  <c r="G1061" i="13"/>
  <c r="F1061" i="13"/>
  <c r="E1061" i="13"/>
  <c r="I1045" i="13"/>
  <c r="H1045" i="13"/>
  <c r="G1045" i="13"/>
  <c r="F1045" i="13"/>
  <c r="E1045" i="13"/>
  <c r="I1044" i="13"/>
  <c r="H1044" i="13"/>
  <c r="G1044" i="13"/>
  <c r="F1044" i="13"/>
  <c r="E1044" i="13"/>
  <c r="I1043" i="13"/>
  <c r="H1043" i="13"/>
  <c r="G1043" i="13"/>
  <c r="F1043" i="13"/>
  <c r="E1043" i="13"/>
  <c r="I1024" i="13"/>
  <c r="H1024" i="13"/>
  <c r="G1024" i="13"/>
  <c r="F1024" i="13"/>
  <c r="E1024" i="13"/>
  <c r="I1004" i="13"/>
  <c r="H1004" i="13"/>
  <c r="G1004" i="13"/>
  <c r="F1004" i="13"/>
  <c r="E1004" i="13"/>
  <c r="I997" i="13"/>
  <c r="H997" i="13"/>
  <c r="G997" i="13"/>
  <c r="F997" i="13"/>
  <c r="E997" i="13"/>
  <c r="I992" i="13"/>
  <c r="H992" i="13"/>
  <c r="G992" i="13"/>
  <c r="F992" i="13"/>
  <c r="E992" i="13"/>
  <c r="I971" i="13"/>
  <c r="H971" i="13"/>
  <c r="G971" i="13"/>
  <c r="F971" i="13"/>
  <c r="E971" i="13"/>
  <c r="I965" i="13"/>
  <c r="H965" i="13"/>
  <c r="G965" i="13"/>
  <c r="F965" i="13"/>
  <c r="E965" i="13"/>
  <c r="I964" i="13"/>
  <c r="H964" i="13"/>
  <c r="G964" i="13"/>
  <c r="F964" i="13"/>
  <c r="E964" i="13"/>
  <c r="I939" i="13"/>
  <c r="H939" i="13"/>
  <c r="G939" i="13"/>
  <c r="F939" i="13"/>
  <c r="E939" i="13"/>
  <c r="I936" i="13"/>
  <c r="H936" i="13"/>
  <c r="G936" i="13"/>
  <c r="F936" i="13"/>
  <c r="E936" i="13"/>
  <c r="I916" i="13"/>
  <c r="H916" i="13"/>
  <c r="G916" i="13"/>
  <c r="F916" i="13"/>
  <c r="E916" i="13"/>
  <c r="I908" i="13"/>
  <c r="H908" i="13"/>
  <c r="G908" i="13"/>
  <c r="F908" i="13"/>
  <c r="E908" i="13"/>
  <c r="I892" i="13"/>
  <c r="G892" i="13"/>
  <c r="F892" i="13"/>
  <c r="E892" i="13"/>
  <c r="H892" i="13"/>
  <c r="E883" i="13"/>
  <c r="I883" i="13"/>
  <c r="H883" i="13"/>
  <c r="G883" i="13"/>
  <c r="F883" i="13"/>
  <c r="I882" i="13"/>
  <c r="I881" i="13" s="1"/>
  <c r="G882" i="13"/>
  <c r="F882" i="13"/>
  <c r="E882" i="13"/>
  <c r="H882" i="13"/>
  <c r="I859" i="13"/>
  <c r="G859" i="13"/>
  <c r="F859" i="13"/>
  <c r="E859" i="13"/>
  <c r="H859" i="13"/>
  <c r="I858" i="13"/>
  <c r="G858" i="13"/>
  <c r="F858" i="13"/>
  <c r="E858" i="13"/>
  <c r="H858" i="13"/>
  <c r="I857" i="13"/>
  <c r="G857" i="13"/>
  <c r="F857" i="13"/>
  <c r="E857" i="13"/>
  <c r="H857" i="13"/>
  <c r="I855" i="13"/>
  <c r="G855" i="13"/>
  <c r="F855" i="13"/>
  <c r="E855" i="13"/>
  <c r="H855" i="13"/>
  <c r="I854" i="13"/>
  <c r="G854" i="13"/>
  <c r="F854" i="13"/>
  <c r="E854" i="13"/>
  <c r="H854" i="13"/>
  <c r="I853" i="13"/>
  <c r="G853" i="13"/>
  <c r="F853" i="13"/>
  <c r="E853" i="13"/>
  <c r="H853" i="13"/>
  <c r="I851" i="13"/>
  <c r="G851" i="13"/>
  <c r="F851" i="13"/>
  <c r="E851" i="13"/>
  <c r="H851" i="13"/>
  <c r="I848" i="13"/>
  <c r="G848" i="13"/>
  <c r="F848" i="13"/>
  <c r="E848" i="13"/>
  <c r="H848" i="13"/>
  <c r="I847" i="13"/>
  <c r="G847" i="13"/>
  <c r="F847" i="13"/>
  <c r="E847" i="13"/>
  <c r="H847" i="13"/>
  <c r="E846" i="13"/>
  <c r="I846" i="13"/>
  <c r="H846" i="13"/>
  <c r="G846" i="13"/>
  <c r="F846" i="13"/>
  <c r="I843" i="13"/>
  <c r="G843" i="13"/>
  <c r="F843" i="13"/>
  <c r="E843" i="13"/>
  <c r="H843" i="13"/>
  <c r="I842" i="13"/>
  <c r="G842" i="13"/>
  <c r="F842" i="13"/>
  <c r="E842" i="13"/>
  <c r="H842" i="13"/>
  <c r="I836" i="13"/>
  <c r="I833" i="13" s="1"/>
  <c r="G836" i="13"/>
  <c r="G833" i="13" s="1"/>
  <c r="F836" i="13"/>
  <c r="F833" i="13" s="1"/>
  <c r="E836" i="13"/>
  <c r="H836" i="13"/>
  <c r="H833" i="13" s="1"/>
  <c r="I832" i="13"/>
  <c r="I831" i="13" s="1"/>
  <c r="H832" i="13"/>
  <c r="H831" i="13" s="1"/>
  <c r="G832" i="13"/>
  <c r="G831" i="13" s="1"/>
  <c r="F832" i="13"/>
  <c r="F831" i="13" s="1"/>
  <c r="E832" i="13"/>
  <c r="I828" i="13"/>
  <c r="I827" i="13" s="1"/>
  <c r="H828" i="13"/>
  <c r="H827" i="13" s="1"/>
  <c r="G828" i="13"/>
  <c r="G827" i="13" s="1"/>
  <c r="F828" i="13"/>
  <c r="F827" i="13" s="1"/>
  <c r="E828" i="13"/>
  <c r="I803" i="13"/>
  <c r="H803" i="13"/>
  <c r="G803" i="13"/>
  <c r="F803" i="13"/>
  <c r="E803" i="13"/>
  <c r="I802" i="13"/>
  <c r="H802" i="13"/>
  <c r="G802" i="13"/>
  <c r="F802" i="13"/>
  <c r="E802" i="13"/>
  <c r="E789" i="13"/>
  <c r="I789" i="13"/>
  <c r="H789" i="13"/>
  <c r="G789" i="13"/>
  <c r="F789" i="13"/>
  <c r="I788" i="13"/>
  <c r="I787" i="13" s="1"/>
  <c r="G788" i="13"/>
  <c r="E788" i="13"/>
  <c r="H788" i="13"/>
  <c r="F788" i="13"/>
  <c r="I782" i="13"/>
  <c r="F782" i="13"/>
  <c r="G782" i="13"/>
  <c r="E782" i="13"/>
  <c r="H782" i="13"/>
  <c r="I781" i="13"/>
  <c r="G781" i="13"/>
  <c r="F781" i="13"/>
  <c r="E781" i="13"/>
  <c r="H781" i="13"/>
  <c r="I777" i="13"/>
  <c r="G777" i="13"/>
  <c r="F777" i="13"/>
  <c r="E777" i="13"/>
  <c r="H777" i="13"/>
  <c r="I771" i="13"/>
  <c r="G771" i="13"/>
  <c r="F771" i="13"/>
  <c r="E771" i="13"/>
  <c r="H771" i="13"/>
  <c r="I758" i="13"/>
  <c r="I757" i="13" s="1"/>
  <c r="G758" i="13"/>
  <c r="G757" i="13" s="1"/>
  <c r="F758" i="13"/>
  <c r="F757" i="13" s="1"/>
  <c r="E758" i="13"/>
  <c r="H758" i="13"/>
  <c r="H757" i="13" s="1"/>
  <c r="I756" i="13"/>
  <c r="H756" i="13"/>
  <c r="G756" i="13"/>
  <c r="F756" i="13"/>
  <c r="E756" i="13"/>
  <c r="I755" i="13"/>
  <c r="H755" i="13"/>
  <c r="G755" i="13"/>
  <c r="F755" i="13"/>
  <c r="E755" i="13"/>
  <c r="I754" i="13"/>
  <c r="H754" i="13"/>
  <c r="G754" i="13"/>
  <c r="F754" i="13"/>
  <c r="E754" i="13"/>
  <c r="I753" i="13"/>
  <c r="G753" i="13"/>
  <c r="F753" i="13"/>
  <c r="E753" i="13"/>
  <c r="H753" i="13"/>
  <c r="I752" i="13"/>
  <c r="G752" i="13"/>
  <c r="F752" i="13"/>
  <c r="E752" i="13"/>
  <c r="H752" i="13"/>
  <c r="I749" i="13"/>
  <c r="G749" i="13"/>
  <c r="F749" i="13"/>
  <c r="E749" i="13"/>
  <c r="H749" i="13"/>
  <c r="I748" i="13"/>
  <c r="G748" i="13"/>
  <c r="F748" i="13"/>
  <c r="E748" i="13"/>
  <c r="H748" i="13"/>
  <c r="I747" i="13"/>
  <c r="G747" i="13"/>
  <c r="F747" i="13"/>
  <c r="E747" i="13"/>
  <c r="H747" i="13"/>
  <c r="I746" i="13"/>
  <c r="G746" i="13"/>
  <c r="F746" i="13"/>
  <c r="E746" i="13"/>
  <c r="H746" i="13"/>
  <c r="I745" i="13"/>
  <c r="G745" i="13"/>
  <c r="F745" i="13"/>
  <c r="E745" i="13"/>
  <c r="H745" i="13"/>
  <c r="I744" i="13"/>
  <c r="G744" i="13"/>
  <c r="F744" i="13"/>
  <c r="E744" i="13"/>
  <c r="H744" i="13"/>
  <c r="F736" i="13"/>
  <c r="F735" i="13" s="1"/>
  <c r="E736" i="13"/>
  <c r="I736" i="13"/>
  <c r="I735" i="13" s="1"/>
  <c r="H736" i="13"/>
  <c r="H735" i="13" s="1"/>
  <c r="G736" i="13"/>
  <c r="G735" i="13" s="1"/>
  <c r="I734" i="13"/>
  <c r="I733" i="13" s="1"/>
  <c r="G734" i="13"/>
  <c r="G733" i="13" s="1"/>
  <c r="F734" i="13"/>
  <c r="F733" i="13" s="1"/>
  <c r="E734" i="13"/>
  <c r="H734" i="13"/>
  <c r="H733" i="13" s="1"/>
  <c r="I725" i="13"/>
  <c r="G725" i="13"/>
  <c r="F725" i="13"/>
  <c r="E725" i="13"/>
  <c r="H725" i="13"/>
  <c r="I723" i="13"/>
  <c r="G723" i="13"/>
  <c r="F723" i="13"/>
  <c r="E723" i="13"/>
  <c r="H723" i="13"/>
  <c r="I721" i="13"/>
  <c r="H721" i="13"/>
  <c r="G721" i="13"/>
  <c r="F721" i="13"/>
  <c r="E721" i="13"/>
  <c r="I715" i="13"/>
  <c r="H715" i="13"/>
  <c r="G715" i="13"/>
  <c r="F715" i="13"/>
  <c r="E715" i="13"/>
  <c r="I714" i="13"/>
  <c r="H714" i="13"/>
  <c r="G714" i="13"/>
  <c r="F714" i="13"/>
  <c r="E714" i="13"/>
  <c r="I710" i="13"/>
  <c r="H710" i="13"/>
  <c r="G710" i="13"/>
  <c r="F710" i="13"/>
  <c r="E710" i="13"/>
  <c r="I709" i="13"/>
  <c r="H709" i="13"/>
  <c r="G709" i="13"/>
  <c r="F709" i="13"/>
  <c r="E709" i="13"/>
  <c r="I708" i="13"/>
  <c r="H708" i="13"/>
  <c r="G708" i="13"/>
  <c r="F708" i="13"/>
  <c r="E708" i="13"/>
  <c r="I679" i="13"/>
  <c r="H679" i="13"/>
  <c r="G679" i="13"/>
  <c r="F679" i="13"/>
  <c r="E679" i="13"/>
  <c r="I674" i="13"/>
  <c r="H674" i="13"/>
  <c r="G674" i="13"/>
  <c r="F674" i="13"/>
  <c r="E674" i="13"/>
  <c r="I673" i="13"/>
  <c r="H673" i="13"/>
  <c r="G673" i="13"/>
  <c r="F673" i="13"/>
  <c r="E673" i="13"/>
  <c r="I672" i="13"/>
  <c r="H672" i="13"/>
  <c r="G672" i="13"/>
  <c r="F672" i="13"/>
  <c r="E672" i="13"/>
  <c r="I671" i="13"/>
  <c r="H671" i="13"/>
  <c r="G671" i="13"/>
  <c r="F671" i="13"/>
  <c r="E671" i="13"/>
  <c r="I666" i="13"/>
  <c r="H666" i="13"/>
  <c r="G666" i="13"/>
  <c r="F666" i="13"/>
  <c r="E666" i="13"/>
  <c r="I662" i="13"/>
  <c r="H662" i="13"/>
  <c r="G662" i="13"/>
  <c r="F662" i="13"/>
  <c r="E662" i="13"/>
  <c r="I641" i="13"/>
  <c r="H641" i="13"/>
  <c r="G641" i="13"/>
  <c r="F641" i="13"/>
  <c r="E641" i="13"/>
  <c r="I637" i="13"/>
  <c r="H637" i="13"/>
  <c r="G637" i="13"/>
  <c r="F637" i="13"/>
  <c r="E637" i="13"/>
  <c r="I636" i="13"/>
  <c r="H636" i="13"/>
  <c r="G636" i="13"/>
  <c r="F636" i="13"/>
  <c r="E636" i="13"/>
  <c r="I624" i="13"/>
  <c r="H624" i="13"/>
  <c r="G624" i="13"/>
  <c r="F624" i="13"/>
  <c r="E624" i="13"/>
  <c r="I589" i="13"/>
  <c r="H589" i="13"/>
  <c r="G589" i="13"/>
  <c r="F589" i="13"/>
  <c r="E589" i="13"/>
  <c r="J589" i="13"/>
  <c r="I584" i="13"/>
  <c r="H584" i="13"/>
  <c r="G584" i="13"/>
  <c r="F584" i="13"/>
  <c r="E584" i="13"/>
  <c r="J584" i="13"/>
  <c r="I570" i="13"/>
  <c r="H570" i="13"/>
  <c r="G570" i="13"/>
  <c r="F570" i="13"/>
  <c r="E570" i="13"/>
  <c r="J570" i="13"/>
  <c r="I551" i="13"/>
  <c r="H551" i="13"/>
  <c r="G551" i="13"/>
  <c r="F551" i="13"/>
  <c r="E551" i="13"/>
  <c r="J551" i="13"/>
  <c r="I542" i="13"/>
  <c r="H542" i="13"/>
  <c r="G542" i="13"/>
  <c r="E542" i="13"/>
  <c r="F542" i="13"/>
  <c r="J542" i="13"/>
  <c r="I534" i="13"/>
  <c r="H534" i="13"/>
  <c r="G534" i="13"/>
  <c r="F534" i="13"/>
  <c r="E534" i="13"/>
  <c r="J534" i="13"/>
  <c r="I533" i="13"/>
  <c r="H533" i="13"/>
  <c r="G533" i="13"/>
  <c r="F533" i="13"/>
  <c r="E533" i="13"/>
  <c r="J533" i="13"/>
  <c r="I532" i="13"/>
  <c r="H532" i="13"/>
  <c r="G532" i="13"/>
  <c r="F532" i="13"/>
  <c r="E532" i="13"/>
  <c r="J532" i="13"/>
  <c r="I521" i="13"/>
  <c r="H521" i="13"/>
  <c r="G521" i="13"/>
  <c r="F521" i="13"/>
  <c r="E521" i="13"/>
  <c r="J521" i="13"/>
  <c r="I520" i="13"/>
  <c r="H520" i="13"/>
  <c r="G520" i="13"/>
  <c r="F520" i="13"/>
  <c r="E520" i="13"/>
  <c r="J520" i="13"/>
  <c r="I518" i="13"/>
  <c r="G518" i="13"/>
  <c r="F518" i="13"/>
  <c r="E518" i="13"/>
  <c r="H518" i="13"/>
  <c r="J518" i="13"/>
  <c r="I511" i="13"/>
  <c r="H511" i="13"/>
  <c r="G511" i="13"/>
  <c r="F511" i="13"/>
  <c r="E511" i="13"/>
  <c r="J511" i="13"/>
  <c r="I508" i="13"/>
  <c r="H508" i="13"/>
  <c r="G508" i="13"/>
  <c r="F508" i="13"/>
  <c r="E508" i="13"/>
  <c r="J508" i="13"/>
  <c r="I470" i="13"/>
  <c r="H470" i="13"/>
  <c r="G470" i="13"/>
  <c r="F470" i="13"/>
  <c r="E470" i="13"/>
  <c r="I407" i="13"/>
  <c r="I406" i="13" s="1"/>
  <c r="H407" i="13"/>
  <c r="H406" i="13" s="1"/>
  <c r="G407" i="13"/>
  <c r="G406" i="13" s="1"/>
  <c r="F407" i="13"/>
  <c r="F406" i="13" s="1"/>
  <c r="E407" i="13"/>
  <c r="I368" i="13"/>
  <c r="H368" i="13"/>
  <c r="G368" i="13"/>
  <c r="F368" i="13"/>
  <c r="E368" i="13"/>
  <c r="J368" i="13"/>
  <c r="I355" i="13"/>
  <c r="H355" i="13"/>
  <c r="G355" i="13"/>
  <c r="F355" i="13"/>
  <c r="E355" i="13"/>
  <c r="J355" i="13"/>
  <c r="I353" i="13"/>
  <c r="H353" i="13"/>
  <c r="G353" i="13"/>
  <c r="F353" i="13"/>
  <c r="E353" i="13"/>
  <c r="J353" i="13"/>
  <c r="F716" i="13" l="1"/>
  <c r="I716" i="13"/>
  <c r="H716" i="13"/>
  <c r="E716" i="13"/>
  <c r="G716" i="13"/>
  <c r="I1098" i="13"/>
  <c r="I713" i="13"/>
  <c r="H800" i="13"/>
  <c r="F1060" i="13"/>
  <c r="G1066" i="13"/>
  <c r="G350" i="13"/>
  <c r="G787" i="13"/>
  <c r="H881" i="13"/>
  <c r="H1098" i="13"/>
  <c r="D636" i="13"/>
  <c r="C636" i="13" s="1"/>
  <c r="D710" i="13"/>
  <c r="D753" i="13"/>
  <c r="C753" i="13" s="1"/>
  <c r="H767" i="13"/>
  <c r="D782" i="13"/>
  <c r="C782" i="13" s="1"/>
  <c r="F787" i="13"/>
  <c r="H856" i="13"/>
  <c r="G884" i="13"/>
  <c r="D971" i="13"/>
  <c r="C971" i="13" s="1"/>
  <c r="D726" i="13"/>
  <c r="C726" i="13" s="1"/>
  <c r="D1085" i="13"/>
  <c r="C1085" i="13" s="1"/>
  <c r="D1088" i="13"/>
  <c r="C1088" i="13" s="1"/>
  <c r="F350" i="13"/>
  <c r="D470" i="13"/>
  <c r="D666" i="13"/>
  <c r="C666" i="13" s="1"/>
  <c r="D674" i="13"/>
  <c r="C674" i="13" s="1"/>
  <c r="G707" i="13"/>
  <c r="H713" i="13"/>
  <c r="D747" i="13"/>
  <c r="C747" i="13" s="1"/>
  <c r="D754" i="13"/>
  <c r="C754" i="13" s="1"/>
  <c r="I767" i="13"/>
  <c r="D848" i="13"/>
  <c r="D855" i="13"/>
  <c r="C855" i="13" s="1"/>
  <c r="I856" i="13"/>
  <c r="D936" i="13"/>
  <c r="C936" i="13" s="1"/>
  <c r="I1060" i="13"/>
  <c r="F1066" i="13"/>
  <c r="F1083" i="13"/>
  <c r="D1024" i="13"/>
  <c r="C1024" i="13" s="1"/>
  <c r="D1100" i="13"/>
  <c r="C1100" i="13" s="1"/>
  <c r="G1098" i="13"/>
  <c r="J350" i="13"/>
  <c r="H350" i="13"/>
  <c r="H787" i="13"/>
  <c r="E1060" i="13"/>
  <c r="D1061" i="13"/>
  <c r="C1061" i="13" s="1"/>
  <c r="D721" i="13"/>
  <c r="E733" i="13"/>
  <c r="D734" i="13"/>
  <c r="C734" i="13" s="1"/>
  <c r="E833" i="13"/>
  <c r="D836" i="13"/>
  <c r="C836" i="13" s="1"/>
  <c r="E1066" i="13"/>
  <c r="D1068" i="13"/>
  <c r="C1068" i="13" s="1"/>
  <c r="E1076" i="13"/>
  <c r="D1077" i="13"/>
  <c r="C1077" i="13" s="1"/>
  <c r="D1084" i="13"/>
  <c r="C1084" i="13" s="1"/>
  <c r="E1083" i="13"/>
  <c r="D542" i="13"/>
  <c r="C542" i="13" s="1"/>
  <c r="D624" i="13"/>
  <c r="D662" i="13"/>
  <c r="C662" i="13" s="1"/>
  <c r="D673" i="13"/>
  <c r="C673" i="13" s="1"/>
  <c r="F707" i="13"/>
  <c r="D709" i="13"/>
  <c r="C709" i="13" s="1"/>
  <c r="G713" i="13"/>
  <c r="D746" i="13"/>
  <c r="C746" i="13" s="1"/>
  <c r="D752" i="13"/>
  <c r="C752" i="13" s="1"/>
  <c r="G767" i="13"/>
  <c r="D781" i="13"/>
  <c r="C781" i="13" s="1"/>
  <c r="F800" i="13"/>
  <c r="D803" i="13"/>
  <c r="C803" i="13" s="1"/>
  <c r="H840" i="13"/>
  <c r="D847" i="13"/>
  <c r="D854" i="13"/>
  <c r="G856" i="13"/>
  <c r="D859" i="13"/>
  <c r="C859" i="13" s="1"/>
  <c r="F884" i="13"/>
  <c r="D916" i="13"/>
  <c r="C916" i="13" s="1"/>
  <c r="D965" i="13"/>
  <c r="C965" i="13" s="1"/>
  <c r="D1004" i="13"/>
  <c r="C1004" i="13" s="1"/>
  <c r="D1045" i="13"/>
  <c r="C1045" i="13" s="1"/>
  <c r="H1060" i="13"/>
  <c r="I1066" i="13"/>
  <c r="I1083" i="13"/>
  <c r="D1087" i="13"/>
  <c r="C1087" i="13" s="1"/>
  <c r="D1092" i="13"/>
  <c r="C1092" i="13" s="1"/>
  <c r="D1095" i="13"/>
  <c r="C1095" i="13" s="1"/>
  <c r="E827" i="13"/>
  <c r="D828" i="13"/>
  <c r="C828" i="13" s="1"/>
  <c r="D842" i="13"/>
  <c r="E881" i="13"/>
  <c r="D882" i="13"/>
  <c r="C882" i="13" s="1"/>
  <c r="D407" i="13"/>
  <c r="C407" i="13" s="1"/>
  <c r="E406" i="13"/>
  <c r="E707" i="13"/>
  <c r="D708" i="13"/>
  <c r="C708" i="13" s="1"/>
  <c r="E735" i="13"/>
  <c r="D736" i="13"/>
  <c r="E787" i="13"/>
  <c r="D788" i="13"/>
  <c r="C788" i="13" s="1"/>
  <c r="D892" i="13"/>
  <c r="C892" i="13" s="1"/>
  <c r="E884" i="13"/>
  <c r="E1062" i="13"/>
  <c r="D1064" i="13"/>
  <c r="C1064" i="13" s="1"/>
  <c r="D1075" i="13"/>
  <c r="C1075" i="13" s="1"/>
  <c r="E1074" i="13"/>
  <c r="D883" i="13"/>
  <c r="C883" i="13" s="1"/>
  <c r="D518" i="13"/>
  <c r="C518" i="13" s="1"/>
  <c r="E350" i="13"/>
  <c r="I350" i="13"/>
  <c r="D508" i="13"/>
  <c r="C508" i="13" s="1"/>
  <c r="D521" i="13"/>
  <c r="C521" i="13" s="1"/>
  <c r="D641" i="13"/>
  <c r="C641" i="13" s="1"/>
  <c r="D672" i="13"/>
  <c r="C672" i="13" s="1"/>
  <c r="I707" i="13"/>
  <c r="F713" i="13"/>
  <c r="D715" i="13"/>
  <c r="C715" i="13" s="1"/>
  <c r="D725" i="13"/>
  <c r="C725" i="13" s="1"/>
  <c r="D745" i="13"/>
  <c r="C745" i="13" s="1"/>
  <c r="D749" i="13"/>
  <c r="C749" i="13" s="1"/>
  <c r="D756" i="13"/>
  <c r="C756" i="13" s="1"/>
  <c r="F767" i="13"/>
  <c r="D777" i="13"/>
  <c r="C777" i="13" s="1"/>
  <c r="D802" i="13"/>
  <c r="C802" i="13" s="1"/>
  <c r="D853" i="13"/>
  <c r="F856" i="13"/>
  <c r="D858" i="13"/>
  <c r="C858" i="13" s="1"/>
  <c r="G881" i="13"/>
  <c r="D908" i="13"/>
  <c r="D964" i="13"/>
  <c r="C964" i="13" s="1"/>
  <c r="D997" i="13"/>
  <c r="C997" i="13" s="1"/>
  <c r="D1044" i="13"/>
  <c r="C1044" i="13" s="1"/>
  <c r="G1060" i="13"/>
  <c r="H1066" i="13"/>
  <c r="H1083" i="13"/>
  <c r="D1086" i="13"/>
  <c r="C1086" i="13" s="1"/>
  <c r="D1090" i="13"/>
  <c r="C1090" i="13" s="1"/>
  <c r="D1091" i="13"/>
  <c r="C1091" i="13" s="1"/>
  <c r="D1094" i="13"/>
  <c r="C1094" i="13" s="1"/>
  <c r="D758" i="13"/>
  <c r="C758" i="13" s="1"/>
  <c r="E757" i="13"/>
  <c r="E1098" i="13"/>
  <c r="D1099" i="13"/>
  <c r="C1099" i="13" s="1"/>
  <c r="E713" i="13"/>
  <c r="D714" i="13"/>
  <c r="C714" i="13" s="1"/>
  <c r="D744" i="13"/>
  <c r="C744" i="13" s="1"/>
  <c r="D771" i="13"/>
  <c r="C771" i="13" s="1"/>
  <c r="E767" i="13"/>
  <c r="D832" i="13"/>
  <c r="C832" i="13" s="1"/>
  <c r="E831" i="13"/>
  <c r="E856" i="13"/>
  <c r="D857" i="13"/>
  <c r="C857" i="13" s="1"/>
  <c r="D637" i="13"/>
  <c r="C637" i="13" s="1"/>
  <c r="D671" i="13"/>
  <c r="C671" i="13" s="1"/>
  <c r="D679" i="13"/>
  <c r="C679" i="13" s="1"/>
  <c r="H707" i="13"/>
  <c r="D723" i="13"/>
  <c r="C723" i="13" s="1"/>
  <c r="D748" i="13"/>
  <c r="C748" i="13" s="1"/>
  <c r="D755" i="13"/>
  <c r="C755" i="13" s="1"/>
  <c r="D789" i="13"/>
  <c r="D843" i="13"/>
  <c r="D846" i="13"/>
  <c r="D851" i="13"/>
  <c r="F881" i="13"/>
  <c r="H884" i="13"/>
  <c r="I884" i="13"/>
  <c r="D939" i="13"/>
  <c r="C939" i="13" s="1"/>
  <c r="D992" i="13"/>
  <c r="C992" i="13" s="1"/>
  <c r="D1043" i="13"/>
  <c r="C1043" i="13" s="1"/>
  <c r="G1083" i="13"/>
  <c r="D1089" i="13"/>
  <c r="C1089" i="13" s="1"/>
  <c r="D1093" i="13"/>
  <c r="C1093" i="13" s="1"/>
  <c r="F1098" i="13"/>
  <c r="D511" i="13"/>
  <c r="C511" i="13" s="1"/>
  <c r="D584" i="13"/>
  <c r="C584" i="13" s="1"/>
  <c r="D353" i="13"/>
  <c r="C353" i="13" s="1"/>
  <c r="D355" i="13"/>
  <c r="C355" i="13" s="1"/>
  <c r="D520" i="13"/>
  <c r="C520" i="13" s="1"/>
  <c r="D532" i="13"/>
  <c r="C532" i="13" s="1"/>
  <c r="D534" i="13"/>
  <c r="C534" i="13" s="1"/>
  <c r="D551" i="13"/>
  <c r="C551" i="13" s="1"/>
  <c r="D368" i="13"/>
  <c r="C368" i="13" s="1"/>
  <c r="D533" i="13"/>
  <c r="C533" i="13" s="1"/>
  <c r="D570" i="13"/>
  <c r="D589" i="13"/>
  <c r="C589" i="13" s="1"/>
  <c r="E1071" i="13"/>
  <c r="D1071" i="13" s="1"/>
  <c r="C1071" i="13" s="1"/>
  <c r="E1070" i="13"/>
  <c r="J1057" i="13"/>
  <c r="J1056" i="13" s="1"/>
  <c r="I1057" i="13"/>
  <c r="I1056" i="13" s="1"/>
  <c r="H1057" i="13"/>
  <c r="H1056" i="13" s="1"/>
  <c r="G1057" i="13"/>
  <c r="G1056" i="13" s="1"/>
  <c r="F1057" i="13"/>
  <c r="F1056" i="13" s="1"/>
  <c r="E1057" i="13"/>
  <c r="J1055" i="13"/>
  <c r="J1054" i="13" s="1"/>
  <c r="I1055" i="13"/>
  <c r="I1054" i="13" s="1"/>
  <c r="H1055" i="13"/>
  <c r="H1054" i="13" s="1"/>
  <c r="G1055" i="13"/>
  <c r="G1054" i="13" s="1"/>
  <c r="F1055" i="13"/>
  <c r="F1054" i="13" s="1"/>
  <c r="E1055" i="13"/>
  <c r="J880" i="13"/>
  <c r="I880" i="13"/>
  <c r="H880" i="13"/>
  <c r="G880" i="13"/>
  <c r="F880" i="13"/>
  <c r="E880" i="13"/>
  <c r="J879" i="13"/>
  <c r="I879" i="13"/>
  <c r="H879" i="13"/>
  <c r="G879" i="13"/>
  <c r="F879" i="13"/>
  <c r="E879" i="13"/>
  <c r="J877" i="13"/>
  <c r="I877" i="13"/>
  <c r="H877" i="13"/>
  <c r="G877" i="13"/>
  <c r="F877" i="13"/>
  <c r="E877" i="13"/>
  <c r="J876" i="13"/>
  <c r="I876" i="13"/>
  <c r="H876" i="13"/>
  <c r="G876" i="13"/>
  <c r="F876" i="13"/>
  <c r="E876" i="13"/>
  <c r="J875" i="13"/>
  <c r="I875" i="13"/>
  <c r="H875" i="13"/>
  <c r="G875" i="13"/>
  <c r="F875" i="13"/>
  <c r="E875" i="13"/>
  <c r="J874" i="13"/>
  <c r="I874" i="13"/>
  <c r="H874" i="13"/>
  <c r="G874" i="13"/>
  <c r="F874" i="13"/>
  <c r="E874" i="13"/>
  <c r="J873" i="13"/>
  <c r="I873" i="13"/>
  <c r="H873" i="13"/>
  <c r="G873" i="13"/>
  <c r="F873" i="13"/>
  <c r="E873" i="13"/>
  <c r="J871" i="13"/>
  <c r="I871" i="13"/>
  <c r="H871" i="13"/>
  <c r="G871" i="13"/>
  <c r="F871" i="13"/>
  <c r="E871" i="13"/>
  <c r="J870" i="13"/>
  <c r="I870" i="13"/>
  <c r="H870" i="13"/>
  <c r="G870" i="13"/>
  <c r="F870" i="13"/>
  <c r="E870" i="13"/>
  <c r="J866" i="13"/>
  <c r="J865" i="13" s="1"/>
  <c r="I866" i="13"/>
  <c r="I865" i="13" s="1"/>
  <c r="H866" i="13"/>
  <c r="H865" i="13" s="1"/>
  <c r="G866" i="13"/>
  <c r="G865" i="13" s="1"/>
  <c r="F866" i="13"/>
  <c r="F865" i="13" s="1"/>
  <c r="E866" i="13"/>
  <c r="J864" i="13"/>
  <c r="H864" i="13"/>
  <c r="E864" i="13"/>
  <c r="J863" i="13"/>
  <c r="I863" i="13"/>
  <c r="H863" i="13"/>
  <c r="G863" i="13"/>
  <c r="E863" i="13"/>
  <c r="J862" i="13"/>
  <c r="I862" i="13"/>
  <c r="H862" i="13"/>
  <c r="G862" i="13"/>
  <c r="E862" i="13"/>
  <c r="J861" i="13"/>
  <c r="I861" i="13"/>
  <c r="H861" i="13"/>
  <c r="G861" i="13"/>
  <c r="E861" i="13"/>
  <c r="J845" i="13"/>
  <c r="I845" i="13"/>
  <c r="G845" i="13"/>
  <c r="F845" i="13"/>
  <c r="E845" i="13"/>
  <c r="J844" i="13"/>
  <c r="I844" i="13"/>
  <c r="G844" i="13"/>
  <c r="F844" i="13"/>
  <c r="E844" i="13"/>
  <c r="J801" i="13"/>
  <c r="J800" i="13" s="1"/>
  <c r="I801" i="13"/>
  <c r="I800" i="13" s="1"/>
  <c r="G801" i="13"/>
  <c r="G800" i="13" s="1"/>
  <c r="E801" i="13"/>
  <c r="J796" i="13"/>
  <c r="I796" i="13"/>
  <c r="H796" i="13"/>
  <c r="G796" i="13"/>
  <c r="F796" i="13"/>
  <c r="E796" i="13"/>
  <c r="J795" i="13"/>
  <c r="I795" i="13"/>
  <c r="H795" i="13"/>
  <c r="G795" i="13"/>
  <c r="F795" i="13"/>
  <c r="E795" i="13"/>
  <c r="E732" i="13"/>
  <c r="D732" i="13" s="1"/>
  <c r="E731" i="13"/>
  <c r="D731" i="13" s="1"/>
  <c r="C731" i="13" s="1"/>
  <c r="E730" i="13"/>
  <c r="E728" i="13"/>
  <c r="J703" i="13"/>
  <c r="I703" i="13"/>
  <c r="H703" i="13"/>
  <c r="G703" i="13"/>
  <c r="F703" i="13"/>
  <c r="E703" i="13"/>
  <c r="J670" i="13"/>
  <c r="I670" i="13"/>
  <c r="H670" i="13"/>
  <c r="G670" i="13"/>
  <c r="F670" i="13"/>
  <c r="E670" i="13"/>
  <c r="J648" i="13"/>
  <c r="I648" i="13"/>
  <c r="H648" i="13"/>
  <c r="G648" i="13"/>
  <c r="F648" i="13"/>
  <c r="E648" i="13"/>
  <c r="J646" i="13"/>
  <c r="I646" i="13"/>
  <c r="H646" i="13"/>
  <c r="G646" i="13"/>
  <c r="F646" i="13"/>
  <c r="E646" i="13"/>
  <c r="J501" i="13"/>
  <c r="I501" i="13"/>
  <c r="H501" i="13"/>
  <c r="G501" i="13"/>
  <c r="F501" i="13"/>
  <c r="E501" i="13"/>
  <c r="J499" i="13"/>
  <c r="J498" i="13" s="1"/>
  <c r="I499" i="13"/>
  <c r="I498" i="13" s="1"/>
  <c r="H499" i="13"/>
  <c r="H498" i="13" s="1"/>
  <c r="G499" i="13"/>
  <c r="G498" i="13" s="1"/>
  <c r="F499" i="13"/>
  <c r="F498" i="13" s="1"/>
  <c r="E499" i="13"/>
  <c r="J490" i="13"/>
  <c r="I490" i="13"/>
  <c r="H490" i="13"/>
  <c r="G490" i="13"/>
  <c r="F490" i="13"/>
  <c r="E490" i="13"/>
  <c r="J488" i="13"/>
  <c r="I488" i="13"/>
  <c r="H488" i="13"/>
  <c r="G488" i="13"/>
  <c r="F488" i="13"/>
  <c r="E488" i="13"/>
  <c r="J487" i="13"/>
  <c r="I487" i="13"/>
  <c r="H487" i="13"/>
  <c r="G487" i="13"/>
  <c r="F487" i="13"/>
  <c r="E487" i="13"/>
  <c r="J486" i="13"/>
  <c r="I486" i="13"/>
  <c r="H486" i="13"/>
  <c r="G486" i="13"/>
  <c r="F486" i="13"/>
  <c r="E486" i="13"/>
  <c r="J485" i="13"/>
  <c r="I485" i="13"/>
  <c r="H485" i="13"/>
  <c r="G485" i="13"/>
  <c r="F485" i="13"/>
  <c r="E485" i="13"/>
  <c r="J484" i="13"/>
  <c r="I484" i="13"/>
  <c r="H484" i="13"/>
  <c r="G484" i="13"/>
  <c r="F484" i="13"/>
  <c r="E484" i="13"/>
  <c r="J483" i="13"/>
  <c r="I483" i="13"/>
  <c r="H483" i="13"/>
  <c r="G483" i="13"/>
  <c r="F483" i="13"/>
  <c r="E483" i="13"/>
  <c r="J482" i="13"/>
  <c r="I482" i="13"/>
  <c r="H482" i="13"/>
  <c r="G482" i="13"/>
  <c r="F482" i="13"/>
  <c r="E482" i="13"/>
  <c r="J481" i="13"/>
  <c r="I481" i="13"/>
  <c r="H481" i="13"/>
  <c r="G481" i="13"/>
  <c r="F481" i="13"/>
  <c r="E481" i="13"/>
  <c r="J480" i="13"/>
  <c r="I480" i="13"/>
  <c r="H480" i="13"/>
  <c r="G480" i="13"/>
  <c r="F480" i="13"/>
  <c r="E480" i="13"/>
  <c r="J479" i="13"/>
  <c r="I479" i="13"/>
  <c r="H479" i="13"/>
  <c r="G479" i="13"/>
  <c r="F479" i="13"/>
  <c r="E479" i="13"/>
  <c r="J476" i="13"/>
  <c r="J475" i="13" s="1"/>
  <c r="I476" i="13"/>
  <c r="I475" i="13" s="1"/>
  <c r="H476" i="13"/>
  <c r="H475" i="13" s="1"/>
  <c r="G476" i="13"/>
  <c r="G475" i="13" s="1"/>
  <c r="F476" i="13"/>
  <c r="F475" i="13" s="1"/>
  <c r="E476" i="13"/>
  <c r="J469" i="13"/>
  <c r="G469" i="13"/>
  <c r="E469" i="13"/>
  <c r="J467" i="13"/>
  <c r="I467" i="13"/>
  <c r="H467" i="13"/>
  <c r="G467" i="13"/>
  <c r="F467" i="13"/>
  <c r="E467" i="13"/>
  <c r="J466" i="13"/>
  <c r="I466" i="13"/>
  <c r="H466" i="13"/>
  <c r="G466" i="13"/>
  <c r="F466" i="13"/>
  <c r="E466" i="13"/>
  <c r="J461" i="13"/>
  <c r="I461" i="13"/>
  <c r="H461" i="13"/>
  <c r="G461" i="13"/>
  <c r="F461" i="13"/>
  <c r="E461" i="13"/>
  <c r="J460" i="13"/>
  <c r="I460" i="13"/>
  <c r="H460" i="13"/>
  <c r="G460" i="13"/>
  <c r="F460" i="13"/>
  <c r="E460" i="13"/>
  <c r="J459" i="13"/>
  <c r="I459" i="13"/>
  <c r="H459" i="13"/>
  <c r="G459" i="13"/>
  <c r="F459" i="13"/>
  <c r="E459" i="13"/>
  <c r="J458" i="13"/>
  <c r="I458" i="13"/>
  <c r="H458" i="13"/>
  <c r="G458" i="13"/>
  <c r="F458" i="13"/>
  <c r="E458" i="13"/>
  <c r="J457" i="13"/>
  <c r="I457" i="13"/>
  <c r="H457" i="13"/>
  <c r="G457" i="13"/>
  <c r="F457" i="13"/>
  <c r="E457" i="13"/>
  <c r="J456" i="13"/>
  <c r="I456" i="13"/>
  <c r="H456" i="13"/>
  <c r="G456" i="13"/>
  <c r="F456" i="13"/>
  <c r="E456" i="13"/>
  <c r="J454" i="13"/>
  <c r="J453" i="13" s="1"/>
  <c r="I454" i="13"/>
  <c r="I453" i="13" s="1"/>
  <c r="H454" i="13"/>
  <c r="H453" i="13" s="1"/>
  <c r="G454" i="13"/>
  <c r="G453" i="13" s="1"/>
  <c r="F454" i="13"/>
  <c r="F453" i="13" s="1"/>
  <c r="E454" i="13"/>
  <c r="J450" i="13"/>
  <c r="I450" i="13"/>
  <c r="H450" i="13"/>
  <c r="G450" i="13"/>
  <c r="F450" i="13"/>
  <c r="E450" i="13"/>
  <c r="J448" i="13"/>
  <c r="I448" i="13"/>
  <c r="H448" i="13"/>
  <c r="G448" i="13"/>
  <c r="F448" i="13"/>
  <c r="E448" i="13"/>
  <c r="J447" i="13"/>
  <c r="I447" i="13"/>
  <c r="H447" i="13"/>
  <c r="G447" i="13"/>
  <c r="F447" i="13"/>
  <c r="E447" i="13"/>
  <c r="J446" i="13"/>
  <c r="I446" i="13"/>
  <c r="H446" i="13"/>
  <c r="G446" i="13"/>
  <c r="F446" i="13"/>
  <c r="E446" i="13"/>
  <c r="J445" i="13"/>
  <c r="I445" i="13"/>
  <c r="H445" i="13"/>
  <c r="G445" i="13"/>
  <c r="F445" i="13"/>
  <c r="E445" i="13"/>
  <c r="J444" i="13"/>
  <c r="I444" i="13"/>
  <c r="H444" i="13"/>
  <c r="G444" i="13"/>
  <c r="F444" i="13"/>
  <c r="E444" i="13"/>
  <c r="J443" i="13"/>
  <c r="I443" i="13"/>
  <c r="H443" i="13"/>
  <c r="G443" i="13"/>
  <c r="F443" i="13"/>
  <c r="E443" i="13"/>
  <c r="J442" i="13"/>
  <c r="I442" i="13"/>
  <c r="H442" i="13"/>
  <c r="G442" i="13"/>
  <c r="F442" i="13"/>
  <c r="E442" i="13"/>
  <c r="J441" i="13"/>
  <c r="I441" i="13"/>
  <c r="H441" i="13"/>
  <c r="G441" i="13"/>
  <c r="F441" i="13"/>
  <c r="E441" i="13"/>
  <c r="J440" i="13"/>
  <c r="I440" i="13"/>
  <c r="H440" i="13"/>
  <c r="G440" i="13"/>
  <c r="F440" i="13"/>
  <c r="E440" i="13"/>
  <c r="J439" i="13"/>
  <c r="I439" i="13"/>
  <c r="H439" i="13"/>
  <c r="G439" i="13"/>
  <c r="F439" i="13"/>
  <c r="E439" i="13"/>
  <c r="J438" i="13"/>
  <c r="I438" i="13"/>
  <c r="H438" i="13"/>
  <c r="G438" i="13"/>
  <c r="F438" i="13"/>
  <c r="E438" i="13"/>
  <c r="J437" i="13"/>
  <c r="I437" i="13"/>
  <c r="G437" i="13"/>
  <c r="F437" i="13"/>
  <c r="E437" i="13"/>
  <c r="J436" i="13"/>
  <c r="I436" i="13"/>
  <c r="H436" i="13"/>
  <c r="G436" i="13"/>
  <c r="F436" i="13"/>
  <c r="E436" i="13"/>
  <c r="J386" i="13"/>
  <c r="J385" i="13" s="1"/>
  <c r="H386" i="13"/>
  <c r="H385" i="13" s="1"/>
  <c r="E386" i="13"/>
  <c r="J381" i="13"/>
  <c r="J380" i="13" s="1"/>
  <c r="E381" i="13"/>
  <c r="J377" i="13"/>
  <c r="J376" i="13" s="1"/>
  <c r="I377" i="13"/>
  <c r="I376" i="13" s="1"/>
  <c r="H377" i="13"/>
  <c r="H376" i="13" s="1"/>
  <c r="G377" i="13"/>
  <c r="G376" i="13" s="1"/>
  <c r="F377" i="13"/>
  <c r="F376" i="13" s="1"/>
  <c r="E377" i="13"/>
  <c r="J373" i="13"/>
  <c r="J371" i="13" s="1"/>
  <c r="I373" i="13"/>
  <c r="I371" i="13" s="1"/>
  <c r="H373" i="13"/>
  <c r="H371" i="13" s="1"/>
  <c r="G373" i="13"/>
  <c r="G371" i="13" s="1"/>
  <c r="F373" i="13"/>
  <c r="F371" i="13" s="1"/>
  <c r="E373" i="13"/>
  <c r="J349" i="13"/>
  <c r="I349" i="13"/>
  <c r="H349" i="13"/>
  <c r="G349" i="13"/>
  <c r="F349" i="13"/>
  <c r="E349" i="13"/>
  <c r="J348" i="13"/>
  <c r="I348" i="13"/>
  <c r="H348" i="13"/>
  <c r="G348" i="13"/>
  <c r="F348" i="13"/>
  <c r="E348" i="13"/>
  <c r="J327" i="13"/>
  <c r="J326" i="13" s="1"/>
  <c r="I327" i="13"/>
  <c r="I326" i="13" s="1"/>
  <c r="H327" i="13"/>
  <c r="H326" i="13" s="1"/>
  <c r="G327" i="13"/>
  <c r="G326" i="13" s="1"/>
  <c r="F327" i="13"/>
  <c r="F326" i="13" s="1"/>
  <c r="E327" i="13"/>
  <c r="F325" i="13"/>
  <c r="F323" i="13" s="1"/>
  <c r="E325" i="13"/>
  <c r="E315" i="13"/>
  <c r="J311" i="13"/>
  <c r="J308" i="13" s="1"/>
  <c r="I311" i="13"/>
  <c r="I308" i="13" s="1"/>
  <c r="H311" i="13"/>
  <c r="H308" i="13" s="1"/>
  <c r="G311" i="13"/>
  <c r="G308" i="13" s="1"/>
  <c r="F311" i="13"/>
  <c r="F308" i="13" s="1"/>
  <c r="E311" i="13"/>
  <c r="J303" i="13"/>
  <c r="I303" i="13"/>
  <c r="H303" i="13"/>
  <c r="G303" i="13"/>
  <c r="F303" i="13"/>
  <c r="E303" i="13"/>
  <c r="J302" i="13"/>
  <c r="I302" i="13"/>
  <c r="H302" i="13"/>
  <c r="G302" i="13"/>
  <c r="F302" i="13"/>
  <c r="E302" i="13"/>
  <c r="J298" i="13"/>
  <c r="I298" i="13"/>
  <c r="G298" i="13"/>
  <c r="F298" i="13"/>
  <c r="E298" i="13"/>
  <c r="J297" i="13"/>
  <c r="I297" i="13"/>
  <c r="G297" i="13"/>
  <c r="F297" i="13"/>
  <c r="E297" i="13"/>
  <c r="J296" i="13"/>
  <c r="I296" i="13"/>
  <c r="G296" i="13"/>
  <c r="F296" i="13"/>
  <c r="J295" i="13"/>
  <c r="I295" i="13"/>
  <c r="G295" i="13"/>
  <c r="F295" i="13"/>
  <c r="E295" i="13"/>
  <c r="J288" i="13"/>
  <c r="I288" i="13"/>
  <c r="G288" i="13"/>
  <c r="F288" i="13"/>
  <c r="E288" i="13"/>
  <c r="J284" i="13"/>
  <c r="I284" i="13"/>
  <c r="H284" i="13"/>
  <c r="G284" i="13"/>
  <c r="F284" i="13"/>
  <c r="E284" i="13"/>
  <c r="J275" i="13"/>
  <c r="I275" i="13"/>
  <c r="H275" i="13"/>
  <c r="G275" i="13"/>
  <c r="F275" i="13"/>
  <c r="E275" i="13"/>
  <c r="J273" i="13"/>
  <c r="I273" i="13"/>
  <c r="H273" i="13"/>
  <c r="G273" i="13"/>
  <c r="F273" i="13"/>
  <c r="E273" i="13"/>
  <c r="J272" i="13"/>
  <c r="I272" i="13"/>
  <c r="G272" i="13"/>
  <c r="F272" i="13"/>
  <c r="E272" i="13"/>
  <c r="J271" i="13"/>
  <c r="I271" i="13"/>
  <c r="H271" i="13"/>
  <c r="G271" i="13"/>
  <c r="F271" i="13"/>
  <c r="E271" i="13"/>
  <c r="J270" i="13"/>
  <c r="I270" i="13"/>
  <c r="H270" i="13"/>
  <c r="G270" i="13"/>
  <c r="F270" i="13"/>
  <c r="E270" i="13"/>
  <c r="J267" i="13"/>
  <c r="I267" i="13"/>
  <c r="H267" i="13"/>
  <c r="G267" i="13"/>
  <c r="F267" i="13"/>
  <c r="E267" i="13"/>
  <c r="J259" i="13"/>
  <c r="H259" i="13"/>
  <c r="F259" i="13"/>
  <c r="E259" i="13"/>
  <c r="J257" i="13"/>
  <c r="J253" i="13"/>
  <c r="H253" i="13"/>
  <c r="J252" i="13"/>
  <c r="I252" i="13"/>
  <c r="H252" i="13"/>
  <c r="G252" i="13"/>
  <c r="F252" i="13"/>
  <c r="E252" i="13"/>
  <c r="J251" i="13"/>
  <c r="I251" i="13"/>
  <c r="H251" i="13"/>
  <c r="G251" i="13"/>
  <c r="F251" i="13"/>
  <c r="E251" i="13"/>
  <c r="J250" i="13"/>
  <c r="I250" i="13"/>
  <c r="H250" i="13"/>
  <c r="G250" i="13"/>
  <c r="F250" i="13"/>
  <c r="E250" i="13"/>
  <c r="J243" i="13"/>
  <c r="I243" i="13"/>
  <c r="H243" i="13"/>
  <c r="G243" i="13"/>
  <c r="F243" i="13"/>
  <c r="E243" i="13"/>
  <c r="J234" i="13"/>
  <c r="I234" i="13"/>
  <c r="H234" i="13"/>
  <c r="G234" i="13"/>
  <c r="F234" i="13"/>
  <c r="E234" i="13"/>
  <c r="J232" i="13"/>
  <c r="I232" i="13"/>
  <c r="H232" i="13"/>
  <c r="G232" i="13"/>
  <c r="F232" i="13"/>
  <c r="E232" i="13"/>
  <c r="J231" i="13"/>
  <c r="I231" i="13"/>
  <c r="H231" i="13"/>
  <c r="G231" i="13"/>
  <c r="F231" i="13"/>
  <c r="E231" i="13"/>
  <c r="J230" i="13"/>
  <c r="I230" i="13"/>
  <c r="H230" i="13"/>
  <c r="G230" i="13"/>
  <c r="F230" i="13"/>
  <c r="E230" i="13"/>
  <c r="J227" i="13"/>
  <c r="I227" i="13"/>
  <c r="H227" i="13"/>
  <c r="G227" i="13"/>
  <c r="F227" i="13"/>
  <c r="E227" i="13"/>
  <c r="J224" i="13"/>
  <c r="I224" i="13"/>
  <c r="H224" i="13"/>
  <c r="G224" i="13"/>
  <c r="F224" i="13"/>
  <c r="E224" i="13"/>
  <c r="J223" i="13"/>
  <c r="I223" i="13"/>
  <c r="H223" i="13"/>
  <c r="G223" i="13"/>
  <c r="F223" i="13"/>
  <c r="E223" i="13"/>
  <c r="J222" i="13"/>
  <c r="J221" i="13"/>
  <c r="J219" i="13"/>
  <c r="I219" i="13"/>
  <c r="H219" i="13"/>
  <c r="G219" i="13"/>
  <c r="F219" i="13"/>
  <c r="E219" i="13"/>
  <c r="J218" i="13"/>
  <c r="I218" i="13"/>
  <c r="H218" i="13"/>
  <c r="G218" i="13"/>
  <c r="F218" i="13"/>
  <c r="E218" i="13"/>
  <c r="J213" i="13"/>
  <c r="I213" i="13"/>
  <c r="G213" i="13"/>
  <c r="F213" i="13"/>
  <c r="E213" i="13"/>
  <c r="J211" i="13"/>
  <c r="I211" i="13"/>
  <c r="H211" i="13"/>
  <c r="G211" i="13"/>
  <c r="F211" i="13"/>
  <c r="E211" i="13"/>
  <c r="J210" i="13"/>
  <c r="I210" i="13"/>
  <c r="H210" i="13"/>
  <c r="G210" i="13"/>
  <c r="F210" i="13"/>
  <c r="E210" i="13"/>
  <c r="J204" i="13"/>
  <c r="I204" i="13"/>
  <c r="H204" i="13"/>
  <c r="G204" i="13"/>
  <c r="F204" i="13"/>
  <c r="E204" i="13"/>
  <c r="J203" i="13"/>
  <c r="I203" i="13"/>
  <c r="H203" i="13"/>
  <c r="G203" i="13"/>
  <c r="F203" i="13"/>
  <c r="E203" i="13"/>
  <c r="J202" i="13"/>
  <c r="I202" i="13"/>
  <c r="H202" i="13"/>
  <c r="G202" i="13"/>
  <c r="F202" i="13"/>
  <c r="E202" i="13"/>
  <c r="J201" i="13"/>
  <c r="I201" i="13"/>
  <c r="H201" i="13"/>
  <c r="G201" i="13"/>
  <c r="F201" i="13"/>
  <c r="E201" i="13"/>
  <c r="J200" i="13"/>
  <c r="J199" i="13"/>
  <c r="I199" i="13"/>
  <c r="H199" i="13"/>
  <c r="G199" i="13"/>
  <c r="F199" i="13"/>
  <c r="E199" i="13"/>
  <c r="J198" i="13"/>
  <c r="I198" i="13"/>
  <c r="H198" i="13"/>
  <c r="G198" i="13"/>
  <c r="F198" i="13"/>
  <c r="E198" i="13"/>
  <c r="J196" i="13"/>
  <c r="I196" i="13"/>
  <c r="H196" i="13"/>
  <c r="G196" i="13"/>
  <c r="F196" i="13"/>
  <c r="E196" i="13"/>
  <c r="J194" i="13"/>
  <c r="I194" i="13"/>
  <c r="H194" i="13"/>
  <c r="G194" i="13"/>
  <c r="F194" i="13"/>
  <c r="E194" i="13"/>
  <c r="J193" i="13"/>
  <c r="I193" i="13"/>
  <c r="H193" i="13"/>
  <c r="G193" i="13"/>
  <c r="F193" i="13"/>
  <c r="E193" i="13"/>
  <c r="J192" i="13"/>
  <c r="I192" i="13"/>
  <c r="H192" i="13"/>
  <c r="G192" i="13"/>
  <c r="F192" i="13"/>
  <c r="E192" i="13"/>
  <c r="J191" i="13"/>
  <c r="I191" i="13"/>
  <c r="H191" i="13"/>
  <c r="G191" i="13"/>
  <c r="F191" i="13"/>
  <c r="E191" i="13"/>
  <c r="J190" i="13"/>
  <c r="I190" i="13"/>
  <c r="H190" i="13"/>
  <c r="G190" i="13"/>
  <c r="F190" i="13"/>
  <c r="E190" i="13"/>
  <c r="J189" i="13"/>
  <c r="I189" i="13"/>
  <c r="H189" i="13"/>
  <c r="G189" i="13"/>
  <c r="F189" i="13"/>
  <c r="E189" i="13"/>
  <c r="J187" i="13"/>
  <c r="I187" i="13"/>
  <c r="H187" i="13"/>
  <c r="G187" i="13"/>
  <c r="F187" i="13"/>
  <c r="E187" i="13"/>
  <c r="J184" i="13"/>
  <c r="I184" i="13"/>
  <c r="H184" i="13"/>
  <c r="G184" i="13"/>
  <c r="F184" i="13"/>
  <c r="E184" i="13"/>
  <c r="J176" i="13"/>
  <c r="I176" i="13"/>
  <c r="H176" i="13"/>
  <c r="G176" i="13"/>
  <c r="F176" i="13"/>
  <c r="E176" i="13"/>
  <c r="J175" i="13"/>
  <c r="I175" i="13"/>
  <c r="H175" i="13"/>
  <c r="G175" i="13"/>
  <c r="F175" i="13"/>
  <c r="E175" i="13"/>
  <c r="J174" i="13"/>
  <c r="I174" i="13"/>
  <c r="H174" i="13"/>
  <c r="G174" i="13"/>
  <c r="F174" i="13"/>
  <c r="E174" i="13"/>
  <c r="J172" i="13"/>
  <c r="I172" i="13"/>
  <c r="H172" i="13"/>
  <c r="G172" i="13"/>
  <c r="F172" i="13"/>
  <c r="E172" i="13"/>
  <c r="J171" i="13"/>
  <c r="I171" i="13"/>
  <c r="H171" i="13"/>
  <c r="G171" i="13"/>
  <c r="F171" i="13"/>
  <c r="E171" i="13"/>
  <c r="J170" i="13"/>
  <c r="I170" i="13"/>
  <c r="H170" i="13"/>
  <c r="G170" i="13"/>
  <c r="F170" i="13"/>
  <c r="E170" i="13"/>
  <c r="J158" i="13"/>
  <c r="I158" i="13"/>
  <c r="H158" i="13"/>
  <c r="G158" i="13"/>
  <c r="F158" i="13"/>
  <c r="E158" i="13"/>
  <c r="J142" i="13"/>
  <c r="I142" i="13"/>
  <c r="H142" i="13"/>
  <c r="F142" i="13"/>
  <c r="J140" i="13"/>
  <c r="I140" i="13"/>
  <c r="H140" i="13"/>
  <c r="F140" i="13"/>
  <c r="J135" i="13"/>
  <c r="J134" i="13" s="1"/>
  <c r="I134" i="13"/>
  <c r="H135" i="13"/>
  <c r="H134" i="13" s="1"/>
  <c r="G134" i="13"/>
  <c r="F135" i="13"/>
  <c r="F134" i="13" s="1"/>
  <c r="J133" i="13"/>
  <c r="J132" i="13" s="1"/>
  <c r="I133" i="13"/>
  <c r="I132" i="13" s="1"/>
  <c r="H133" i="13"/>
  <c r="H132" i="13" s="1"/>
  <c r="G133" i="13"/>
  <c r="G132" i="13" s="1"/>
  <c r="F133" i="13"/>
  <c r="F132" i="13" s="1"/>
  <c r="E133" i="13"/>
  <c r="J127" i="13"/>
  <c r="I127" i="13"/>
  <c r="H127" i="13"/>
  <c r="G127" i="13"/>
  <c r="F127" i="13"/>
  <c r="E127" i="13"/>
  <c r="J123" i="13"/>
  <c r="I123" i="13"/>
  <c r="H123" i="13"/>
  <c r="G123" i="13"/>
  <c r="F123" i="13"/>
  <c r="E123" i="13"/>
  <c r="J122" i="13"/>
  <c r="I122" i="13"/>
  <c r="H122" i="13"/>
  <c r="G122" i="13"/>
  <c r="F122" i="13"/>
  <c r="E122" i="13"/>
  <c r="J121" i="13"/>
  <c r="I121" i="13"/>
  <c r="H121" i="13"/>
  <c r="G121" i="13"/>
  <c r="F121" i="13"/>
  <c r="E121" i="13"/>
  <c r="J115" i="13"/>
  <c r="I115" i="13"/>
  <c r="H115" i="13"/>
  <c r="G115" i="13"/>
  <c r="F115" i="13"/>
  <c r="E115" i="13"/>
  <c r="J113" i="13"/>
  <c r="I113" i="13"/>
  <c r="H113" i="13"/>
  <c r="G113" i="13"/>
  <c r="F113" i="13"/>
  <c r="E113" i="13"/>
  <c r="J111" i="13"/>
  <c r="I111" i="13"/>
  <c r="H111" i="13"/>
  <c r="G111" i="13"/>
  <c r="F111" i="13"/>
  <c r="E111" i="13"/>
  <c r="J110" i="13"/>
  <c r="I110" i="13"/>
  <c r="H110" i="13"/>
  <c r="G110" i="13"/>
  <c r="F110" i="13"/>
  <c r="E110" i="13"/>
  <c r="J103" i="13"/>
  <c r="J102" i="13" s="1"/>
  <c r="I103" i="13"/>
  <c r="I102" i="13" s="1"/>
  <c r="H103" i="13"/>
  <c r="H102" i="13" s="1"/>
  <c r="G103" i="13"/>
  <c r="G102" i="13" s="1"/>
  <c r="F103" i="13"/>
  <c r="F102" i="13" s="1"/>
  <c r="E103" i="13"/>
  <c r="J98" i="13"/>
  <c r="I98" i="13"/>
  <c r="H98" i="13"/>
  <c r="G98" i="13"/>
  <c r="F98" i="13"/>
  <c r="E98" i="13"/>
  <c r="J97" i="13"/>
  <c r="I97" i="13"/>
  <c r="H97" i="13"/>
  <c r="G97" i="13"/>
  <c r="F97" i="13"/>
  <c r="E97" i="13"/>
  <c r="J95" i="13"/>
  <c r="I95" i="13"/>
  <c r="H95" i="13"/>
  <c r="G95" i="13"/>
  <c r="F95" i="13"/>
  <c r="E95" i="13"/>
  <c r="J94" i="13"/>
  <c r="H94" i="13"/>
  <c r="J92" i="13"/>
  <c r="I92" i="13"/>
  <c r="H92" i="13"/>
  <c r="G92" i="13"/>
  <c r="F92" i="13"/>
  <c r="J91" i="13"/>
  <c r="J89" i="13"/>
  <c r="I89" i="13"/>
  <c r="H89" i="13"/>
  <c r="G89" i="13"/>
  <c r="F89" i="13"/>
  <c r="E89" i="13"/>
  <c r="J87" i="13"/>
  <c r="I87" i="13"/>
  <c r="H87" i="13"/>
  <c r="G87" i="13"/>
  <c r="F87" i="13"/>
  <c r="E87" i="13"/>
  <c r="J74" i="13"/>
  <c r="J73" i="13" s="1"/>
  <c r="I74" i="13"/>
  <c r="I73" i="13" s="1"/>
  <c r="H74" i="13"/>
  <c r="H73" i="13" s="1"/>
  <c r="G74" i="13"/>
  <c r="G73" i="13" s="1"/>
  <c r="F74" i="13"/>
  <c r="F73" i="13" s="1"/>
  <c r="E74" i="13"/>
  <c r="C721" i="13" l="1"/>
  <c r="D716" i="13"/>
  <c r="F840" i="13"/>
  <c r="H82" i="13"/>
  <c r="F105" i="13"/>
  <c r="F112" i="13"/>
  <c r="F120" i="13"/>
  <c r="F301" i="13"/>
  <c r="J301" i="13"/>
  <c r="G347" i="13"/>
  <c r="F433" i="13"/>
  <c r="J433" i="13"/>
  <c r="H465" i="13"/>
  <c r="G477" i="13"/>
  <c r="I794" i="13"/>
  <c r="I878" i="13"/>
  <c r="J105" i="13"/>
  <c r="J112" i="13"/>
  <c r="J120" i="13"/>
  <c r="G82" i="13"/>
  <c r="I105" i="13"/>
  <c r="I112" i="13"/>
  <c r="I120" i="13"/>
  <c r="I301" i="13"/>
  <c r="F347" i="13"/>
  <c r="J347" i="13"/>
  <c r="I433" i="13"/>
  <c r="F477" i="13"/>
  <c r="J477" i="13"/>
  <c r="J500" i="13"/>
  <c r="H794" i="13"/>
  <c r="J867" i="13"/>
  <c r="H878" i="13"/>
  <c r="G840" i="13"/>
  <c r="D218" i="13"/>
  <c r="C218" i="13" s="1"/>
  <c r="D221" i="13"/>
  <c r="C221" i="13" s="1"/>
  <c r="D273" i="13"/>
  <c r="C273" i="13" s="1"/>
  <c r="D284" i="13"/>
  <c r="C284" i="13" s="1"/>
  <c r="F294" i="13"/>
  <c r="D296" i="13"/>
  <c r="C296" i="13" s="1"/>
  <c r="D349" i="13"/>
  <c r="C349" i="13" s="1"/>
  <c r="D480" i="13"/>
  <c r="D482" i="13"/>
  <c r="C482" i="13" s="1"/>
  <c r="D484" i="13"/>
  <c r="C484" i="13" s="1"/>
  <c r="D486" i="13"/>
  <c r="C486" i="13" s="1"/>
  <c r="D488" i="13"/>
  <c r="C488" i="13" s="1"/>
  <c r="D646" i="13"/>
  <c r="C646" i="13" s="1"/>
  <c r="D670" i="13"/>
  <c r="D844" i="13"/>
  <c r="J840" i="13"/>
  <c r="H860" i="13"/>
  <c r="D863" i="13"/>
  <c r="C863" i="13" s="1"/>
  <c r="D871" i="13"/>
  <c r="C871" i="13" s="1"/>
  <c r="D874" i="13"/>
  <c r="C874" i="13" s="1"/>
  <c r="D876" i="13"/>
  <c r="C876" i="13" s="1"/>
  <c r="G465" i="13"/>
  <c r="I840" i="13"/>
  <c r="E376" i="13"/>
  <c r="D377" i="13"/>
  <c r="C377" i="13" s="1"/>
  <c r="E385" i="13"/>
  <c r="D386" i="13"/>
  <c r="C386" i="13" s="1"/>
  <c r="E498" i="13"/>
  <c r="D499" i="13"/>
  <c r="C499" i="13" s="1"/>
  <c r="D728" i="13"/>
  <c r="C728" i="13" s="1"/>
  <c r="E727" i="13"/>
  <c r="D801" i="13"/>
  <c r="C801" i="13" s="1"/>
  <c r="E800" i="13"/>
  <c r="D707" i="13"/>
  <c r="D1083" i="13"/>
  <c r="C1083" i="13" s="1"/>
  <c r="E120" i="13"/>
  <c r="D121" i="13"/>
  <c r="E294" i="13"/>
  <c r="D295" i="13"/>
  <c r="C295" i="13" s="1"/>
  <c r="E301" i="13"/>
  <c r="D302" i="13"/>
  <c r="E308" i="13"/>
  <c r="D311" i="13"/>
  <c r="E433" i="13"/>
  <c r="D436" i="13"/>
  <c r="E453" i="13"/>
  <c r="D454" i="13"/>
  <c r="C454" i="13" s="1"/>
  <c r="D350" i="13"/>
  <c r="D831" i="13"/>
  <c r="C831" i="13" s="1"/>
  <c r="D1074" i="13"/>
  <c r="C1074" i="13" s="1"/>
  <c r="D884" i="13"/>
  <c r="D1066" i="13"/>
  <c r="C1066" i="13" s="1"/>
  <c r="D733" i="13"/>
  <c r="C733" i="13" s="1"/>
  <c r="D1060" i="13"/>
  <c r="C1060" i="13" s="1"/>
  <c r="D92" i="13"/>
  <c r="D158" i="13"/>
  <c r="D176" i="13"/>
  <c r="D190" i="13"/>
  <c r="C190" i="13" s="1"/>
  <c r="D192" i="13"/>
  <c r="C192" i="13" s="1"/>
  <c r="D200" i="13"/>
  <c r="C200" i="13" s="1"/>
  <c r="D204" i="13"/>
  <c r="C204" i="13" s="1"/>
  <c r="D210" i="13"/>
  <c r="C210" i="13" s="1"/>
  <c r="D224" i="13"/>
  <c r="C224" i="13" s="1"/>
  <c r="D250" i="13"/>
  <c r="C250" i="13" s="1"/>
  <c r="D257" i="13"/>
  <c r="C257" i="13" s="1"/>
  <c r="D270" i="13"/>
  <c r="C270" i="13" s="1"/>
  <c r="D272" i="13"/>
  <c r="C272" i="13" s="1"/>
  <c r="J294" i="13"/>
  <c r="D438" i="13"/>
  <c r="D440" i="13"/>
  <c r="D442" i="13"/>
  <c r="D444" i="13"/>
  <c r="D446" i="13"/>
  <c r="D448" i="13"/>
  <c r="D457" i="13"/>
  <c r="C457" i="13" s="1"/>
  <c r="D459" i="13"/>
  <c r="C459" i="13" s="1"/>
  <c r="D461" i="13"/>
  <c r="C461" i="13" s="1"/>
  <c r="D467" i="13"/>
  <c r="C467" i="13" s="1"/>
  <c r="G860" i="13"/>
  <c r="D862" i="13"/>
  <c r="C862" i="13" s="1"/>
  <c r="E878" i="13"/>
  <c r="D879" i="13"/>
  <c r="C879" i="13" s="1"/>
  <c r="D1055" i="13"/>
  <c r="C1055" i="13" s="1"/>
  <c r="E1054" i="13"/>
  <c r="D856" i="13"/>
  <c r="C856" i="13" s="1"/>
  <c r="D713" i="13"/>
  <c r="C713" i="13" s="1"/>
  <c r="D1062" i="13"/>
  <c r="C1062" i="13" s="1"/>
  <c r="D787" i="13"/>
  <c r="E112" i="13"/>
  <c r="D113" i="13"/>
  <c r="C113" i="13" s="1"/>
  <c r="E132" i="13"/>
  <c r="D133" i="13"/>
  <c r="D325" i="13"/>
  <c r="C325" i="13" s="1"/>
  <c r="E323" i="13"/>
  <c r="E347" i="13"/>
  <c r="D348" i="13"/>
  <c r="C348" i="13" s="1"/>
  <c r="E371" i="13"/>
  <c r="D373" i="13"/>
  <c r="C373" i="13" s="1"/>
  <c r="E380" i="13"/>
  <c r="D381" i="13"/>
  <c r="C381" i="13" s="1"/>
  <c r="E477" i="13"/>
  <c r="D479" i="13"/>
  <c r="D501" i="13"/>
  <c r="E860" i="13"/>
  <c r="D861" i="13"/>
  <c r="C861" i="13" s="1"/>
  <c r="E1056" i="13"/>
  <c r="D1057" i="13"/>
  <c r="C1057" i="13" s="1"/>
  <c r="D1098" i="13"/>
  <c r="C1098" i="13" s="1"/>
  <c r="D735" i="13"/>
  <c r="D881" i="13"/>
  <c r="C881" i="13" s="1"/>
  <c r="D827" i="13"/>
  <c r="C827" i="13" s="1"/>
  <c r="D95" i="13"/>
  <c r="D123" i="13"/>
  <c r="D140" i="13"/>
  <c r="C140" i="13" s="1"/>
  <c r="D171" i="13"/>
  <c r="C171" i="13" s="1"/>
  <c r="D174" i="13"/>
  <c r="C174" i="13" s="1"/>
  <c r="D187" i="13"/>
  <c r="C187" i="13" s="1"/>
  <c r="D194" i="13"/>
  <c r="C194" i="13" s="1"/>
  <c r="D198" i="13"/>
  <c r="C198" i="13" s="1"/>
  <c r="D201" i="13"/>
  <c r="C201" i="13" s="1"/>
  <c r="D213" i="13"/>
  <c r="C213" i="13" s="1"/>
  <c r="D230" i="13"/>
  <c r="C230" i="13" s="1"/>
  <c r="D232" i="13"/>
  <c r="C232" i="13" s="1"/>
  <c r="D252" i="13"/>
  <c r="C252" i="13" s="1"/>
  <c r="F82" i="13"/>
  <c r="J82" i="13"/>
  <c r="H105" i="13"/>
  <c r="H112" i="13"/>
  <c r="H120" i="13"/>
  <c r="D219" i="13"/>
  <c r="D222" i="13"/>
  <c r="C222" i="13" s="1"/>
  <c r="D275" i="13"/>
  <c r="D288" i="13"/>
  <c r="I294" i="13"/>
  <c r="D298" i="13"/>
  <c r="C298" i="13" s="1"/>
  <c r="H301" i="13"/>
  <c r="I347" i="13"/>
  <c r="H433" i="13"/>
  <c r="J455" i="13"/>
  <c r="F465" i="13"/>
  <c r="J465" i="13"/>
  <c r="I477" i="13"/>
  <c r="D481" i="13"/>
  <c r="C481" i="13" s="1"/>
  <c r="D483" i="13"/>
  <c r="C483" i="13" s="1"/>
  <c r="D485" i="13"/>
  <c r="C485" i="13" s="1"/>
  <c r="D487" i="13"/>
  <c r="C487" i="13" s="1"/>
  <c r="D490" i="13"/>
  <c r="C490" i="13" s="1"/>
  <c r="D648" i="13"/>
  <c r="C648" i="13" s="1"/>
  <c r="D703" i="13"/>
  <c r="C703" i="13" s="1"/>
  <c r="G794" i="13"/>
  <c r="D796" i="13"/>
  <c r="C796" i="13" s="1"/>
  <c r="J860" i="13"/>
  <c r="D870" i="13"/>
  <c r="C870" i="13" s="1"/>
  <c r="D873" i="13"/>
  <c r="C873" i="13" s="1"/>
  <c r="D875" i="13"/>
  <c r="C875" i="13" s="1"/>
  <c r="D877" i="13"/>
  <c r="C877" i="13" s="1"/>
  <c r="G878" i="13"/>
  <c r="D880" i="13"/>
  <c r="C880" i="13" s="1"/>
  <c r="E326" i="13"/>
  <c r="D327" i="13"/>
  <c r="C327" i="13" s="1"/>
  <c r="E475" i="13"/>
  <c r="D476" i="13"/>
  <c r="C476" i="13" s="1"/>
  <c r="D795" i="13"/>
  <c r="C795" i="13" s="1"/>
  <c r="E794" i="13"/>
  <c r="D866" i="13"/>
  <c r="C866" i="13" s="1"/>
  <c r="E865" i="13"/>
  <c r="E1069" i="13"/>
  <c r="D1070" i="13"/>
  <c r="C1070" i="13" s="1"/>
  <c r="D74" i="13"/>
  <c r="E73" i="13"/>
  <c r="D110" i="13"/>
  <c r="C110" i="13" s="1"/>
  <c r="E105" i="13"/>
  <c r="E82" i="13"/>
  <c r="D87" i="13"/>
  <c r="E102" i="13"/>
  <c r="D103" i="13"/>
  <c r="C103" i="13" s="1"/>
  <c r="E134" i="13"/>
  <c r="D135" i="13"/>
  <c r="C135" i="13" s="1"/>
  <c r="E314" i="13"/>
  <c r="D315" i="13"/>
  <c r="D456" i="13"/>
  <c r="C456" i="13" s="1"/>
  <c r="E465" i="13"/>
  <c r="D466" i="13"/>
  <c r="C466" i="13" s="1"/>
  <c r="E729" i="13"/>
  <c r="D730" i="13"/>
  <c r="C730" i="13" s="1"/>
  <c r="D767" i="13"/>
  <c r="D757" i="13"/>
  <c r="C757" i="13" s="1"/>
  <c r="D406" i="13"/>
  <c r="C406" i="13" s="1"/>
  <c r="D1076" i="13"/>
  <c r="C1076" i="13" s="1"/>
  <c r="D833" i="13"/>
  <c r="C833" i="13" s="1"/>
  <c r="D89" i="13"/>
  <c r="D98" i="13"/>
  <c r="I82" i="13"/>
  <c r="D91" i="13"/>
  <c r="D94" i="13"/>
  <c r="D97" i="13"/>
  <c r="G105" i="13"/>
  <c r="D111" i="13"/>
  <c r="C111" i="13" s="1"/>
  <c r="G112" i="13"/>
  <c r="D115" i="13"/>
  <c r="C115" i="13" s="1"/>
  <c r="G120" i="13"/>
  <c r="D122" i="13"/>
  <c r="D127" i="13"/>
  <c r="D142" i="13"/>
  <c r="C142" i="13" s="1"/>
  <c r="D170" i="13"/>
  <c r="C170" i="13" s="1"/>
  <c r="D172" i="13"/>
  <c r="C172" i="13" s="1"/>
  <c r="D175" i="13"/>
  <c r="C175" i="13" s="1"/>
  <c r="D184" i="13"/>
  <c r="D189" i="13"/>
  <c r="C189" i="13" s="1"/>
  <c r="D191" i="13"/>
  <c r="C191" i="13" s="1"/>
  <c r="D193" i="13"/>
  <c r="C193" i="13" s="1"/>
  <c r="D196" i="13"/>
  <c r="C196" i="13" s="1"/>
  <c r="D199" i="13"/>
  <c r="C199" i="13" s="1"/>
  <c r="D202" i="13"/>
  <c r="C202" i="13" s="1"/>
  <c r="D203" i="13"/>
  <c r="C203" i="13" s="1"/>
  <c r="D211" i="13"/>
  <c r="D223" i="13"/>
  <c r="C223" i="13" s="1"/>
  <c r="D227" i="13"/>
  <c r="D231" i="13"/>
  <c r="C231" i="13" s="1"/>
  <c r="D234" i="13"/>
  <c r="C234" i="13" s="1"/>
  <c r="D243" i="13"/>
  <c r="C243" i="13" s="1"/>
  <c r="D251" i="13"/>
  <c r="D253" i="13"/>
  <c r="D259" i="13"/>
  <c r="C259" i="13" s="1"/>
  <c r="D267" i="13"/>
  <c r="C267" i="13" s="1"/>
  <c r="D271" i="13"/>
  <c r="C271" i="13" s="1"/>
  <c r="G294" i="13"/>
  <c r="D297" i="13"/>
  <c r="C297" i="13" s="1"/>
  <c r="G301" i="13"/>
  <c r="D303" i="13"/>
  <c r="H347" i="13"/>
  <c r="G433" i="13"/>
  <c r="D437" i="13"/>
  <c r="D439" i="13"/>
  <c r="D441" i="13"/>
  <c r="D443" i="13"/>
  <c r="D445" i="13"/>
  <c r="D447" i="13"/>
  <c r="D450" i="13"/>
  <c r="D458" i="13"/>
  <c r="C458" i="13" s="1"/>
  <c r="D460" i="13"/>
  <c r="C460" i="13" s="1"/>
  <c r="I465" i="13"/>
  <c r="D469" i="13"/>
  <c r="C469" i="13" s="1"/>
  <c r="H477" i="13"/>
  <c r="F794" i="13"/>
  <c r="J794" i="13"/>
  <c r="D845" i="13"/>
  <c r="I860" i="13"/>
  <c r="D864" i="13"/>
  <c r="C864" i="13" s="1"/>
  <c r="H867" i="13"/>
  <c r="F878" i="13"/>
  <c r="J878" i="13"/>
  <c r="E840" i="13"/>
  <c r="J44" i="13"/>
  <c r="J43" i="13" s="1"/>
  <c r="I44" i="13"/>
  <c r="I43" i="13" s="1"/>
  <c r="H44" i="13"/>
  <c r="H43" i="13" s="1"/>
  <c r="G44" i="13"/>
  <c r="G43" i="13" s="1"/>
  <c r="F44" i="13"/>
  <c r="F43" i="13" s="1"/>
  <c r="E44" i="13"/>
  <c r="J34" i="13"/>
  <c r="J33" i="13" s="1"/>
  <c r="I34" i="13"/>
  <c r="I33" i="13" s="1"/>
  <c r="H34" i="13"/>
  <c r="H33" i="13" s="1"/>
  <c r="G34" i="13"/>
  <c r="G33" i="13" s="1"/>
  <c r="F34" i="13"/>
  <c r="F33" i="13" s="1"/>
  <c r="J15" i="13"/>
  <c r="J14" i="13" s="1"/>
  <c r="I15" i="13"/>
  <c r="I14" i="13" s="1"/>
  <c r="H15" i="13"/>
  <c r="H14" i="13" s="1"/>
  <c r="G15" i="13"/>
  <c r="G14" i="13" s="1"/>
  <c r="F15" i="13"/>
  <c r="F14" i="13" s="1"/>
  <c r="E15" i="13"/>
  <c r="J13" i="13"/>
  <c r="I13" i="13"/>
  <c r="H13" i="13"/>
  <c r="G13" i="13"/>
  <c r="F13" i="13"/>
  <c r="E13" i="13"/>
  <c r="J12" i="13"/>
  <c r="I12" i="13"/>
  <c r="H12" i="13"/>
  <c r="G12" i="13"/>
  <c r="F12" i="13"/>
  <c r="E12" i="13"/>
  <c r="J159" i="13"/>
  <c r="J136" i="13" s="1"/>
  <c r="I159" i="13"/>
  <c r="I136" i="13" s="1"/>
  <c r="H159" i="13"/>
  <c r="H136" i="13" s="1"/>
  <c r="G159" i="13"/>
  <c r="G136" i="13" s="1"/>
  <c r="F159" i="13"/>
  <c r="F136" i="13" s="1"/>
  <c r="E159" i="13"/>
  <c r="J763" i="13" l="1"/>
  <c r="F11" i="13"/>
  <c r="F10" i="13" s="1"/>
  <c r="J11" i="13"/>
  <c r="J10" i="13" s="1"/>
  <c r="J346" i="13"/>
  <c r="E11" i="13"/>
  <c r="I11" i="13"/>
  <c r="I10" i="13" s="1"/>
  <c r="D465" i="13"/>
  <c r="D1069" i="13"/>
  <c r="C1069" i="13" s="1"/>
  <c r="D800" i="13"/>
  <c r="C800" i="13" s="1"/>
  <c r="D860" i="13"/>
  <c r="C860" i="13" s="1"/>
  <c r="D477" i="13"/>
  <c r="D371" i="13"/>
  <c r="C371" i="13" s="1"/>
  <c r="D112" i="13"/>
  <c r="D453" i="13"/>
  <c r="C453" i="13" s="1"/>
  <c r="D308" i="13"/>
  <c r="D294" i="13"/>
  <c r="C294" i="13" s="1"/>
  <c r="D498" i="13"/>
  <c r="C498" i="13" s="1"/>
  <c r="D376" i="13"/>
  <c r="C376" i="13" s="1"/>
  <c r="H11" i="13"/>
  <c r="H10" i="13" s="1"/>
  <c r="E14" i="13"/>
  <c r="D15" i="13"/>
  <c r="C15" i="13" s="1"/>
  <c r="D314" i="13"/>
  <c r="D326" i="13"/>
  <c r="C326" i="13" s="1"/>
  <c r="D323" i="13"/>
  <c r="D1054" i="13"/>
  <c r="C1054" i="13" s="1"/>
  <c r="D73" i="13"/>
  <c r="D865" i="13"/>
  <c r="C865" i="13" s="1"/>
  <c r="D34" i="13"/>
  <c r="E33" i="13"/>
  <c r="D729" i="13"/>
  <c r="D134" i="13"/>
  <c r="C134" i="13" s="1"/>
  <c r="D82" i="13"/>
  <c r="D475" i="13"/>
  <c r="C475" i="13" s="1"/>
  <c r="D727" i="13"/>
  <c r="C727" i="13" s="1"/>
  <c r="D159" i="13"/>
  <c r="D136" i="13" s="1"/>
  <c r="G11" i="13"/>
  <c r="G10" i="13" s="1"/>
  <c r="E136" i="13"/>
  <c r="D44" i="13"/>
  <c r="C44" i="13" s="1"/>
  <c r="E43" i="13"/>
  <c r="D102" i="13"/>
  <c r="C102" i="13" s="1"/>
  <c r="D105" i="13"/>
  <c r="C105" i="13" s="1"/>
  <c r="D794" i="13"/>
  <c r="C794" i="13" s="1"/>
  <c r="D1056" i="13"/>
  <c r="C1056" i="13" s="1"/>
  <c r="D380" i="13"/>
  <c r="C380" i="13" s="1"/>
  <c r="D347" i="13"/>
  <c r="C347" i="13" s="1"/>
  <c r="D132" i="13"/>
  <c r="D878" i="13"/>
  <c r="C878" i="13" s="1"/>
  <c r="D433" i="13"/>
  <c r="D301" i="13"/>
  <c r="D120" i="13"/>
  <c r="D385" i="13"/>
  <c r="C385" i="13" s="1"/>
  <c r="D840" i="13"/>
  <c r="D12" i="13"/>
  <c r="C12" i="13" s="1"/>
  <c r="D13" i="13"/>
  <c r="C13" i="13" s="1"/>
  <c r="N159" i="13"/>
  <c r="V159" i="13" s="1"/>
  <c r="I1082" i="13"/>
  <c r="I1081" i="13" s="1"/>
  <c r="H1082" i="13"/>
  <c r="H1081" i="13" s="1"/>
  <c r="G1082" i="13"/>
  <c r="G1081" i="13" s="1"/>
  <c r="F1082" i="13"/>
  <c r="F1081" i="13" s="1"/>
  <c r="E1082" i="13"/>
  <c r="R1081" i="13"/>
  <c r="N324" i="13"/>
  <c r="C324" i="13" l="1"/>
  <c r="V324" i="13"/>
  <c r="C159" i="13"/>
  <c r="J8" i="13"/>
  <c r="E10" i="13"/>
  <c r="N323" i="13"/>
  <c r="C323" i="13" s="1"/>
  <c r="D33" i="13"/>
  <c r="D1082" i="13"/>
  <c r="C1082" i="13" s="1"/>
  <c r="E1081" i="13"/>
  <c r="D43" i="13"/>
  <c r="C43" i="13" s="1"/>
  <c r="D14" i="13"/>
  <c r="D11" i="13"/>
  <c r="C11" i="13" s="1"/>
  <c r="I395" i="13"/>
  <c r="H395" i="13"/>
  <c r="G395" i="13"/>
  <c r="F395" i="13"/>
  <c r="E395" i="13"/>
  <c r="N394" i="13"/>
  <c r="I394" i="13"/>
  <c r="H394" i="13"/>
  <c r="G394" i="13"/>
  <c r="F394" i="13"/>
  <c r="E394" i="13"/>
  <c r="R394" i="13"/>
  <c r="R391" i="13" s="1"/>
  <c r="I1059" i="13"/>
  <c r="I1058" i="13" s="1"/>
  <c r="H1059" i="13"/>
  <c r="H1058" i="13" s="1"/>
  <c r="H763" i="13" s="1"/>
  <c r="G1059" i="13"/>
  <c r="G1058" i="13" s="1"/>
  <c r="F1059" i="13"/>
  <c r="F1058" i="13" s="1"/>
  <c r="E1059" i="13"/>
  <c r="I613" i="13"/>
  <c r="I500" i="13" s="1"/>
  <c r="H613" i="13"/>
  <c r="H500" i="13" s="1"/>
  <c r="G613" i="13"/>
  <c r="G500" i="13" s="1"/>
  <c r="F613" i="13"/>
  <c r="F500" i="13" s="1"/>
  <c r="E613" i="13"/>
  <c r="N391" i="13" l="1"/>
  <c r="V394" i="13"/>
  <c r="F391" i="13"/>
  <c r="I391" i="13"/>
  <c r="D10" i="13"/>
  <c r="D394" i="13"/>
  <c r="C394" i="13" s="1"/>
  <c r="E391" i="13"/>
  <c r="D1081" i="13"/>
  <c r="C1081" i="13" s="1"/>
  <c r="H391" i="13"/>
  <c r="D613" i="13"/>
  <c r="C613" i="13" s="1"/>
  <c r="E500" i="13"/>
  <c r="E1058" i="13"/>
  <c r="D1059" i="13"/>
  <c r="C1059" i="13" s="1"/>
  <c r="G391" i="13"/>
  <c r="D395" i="13"/>
  <c r="C395" i="13" s="1"/>
  <c r="I868" i="13"/>
  <c r="I867" i="13" s="1"/>
  <c r="G868" i="13"/>
  <c r="G867" i="13" s="1"/>
  <c r="F868" i="13"/>
  <c r="F867" i="13" s="1"/>
  <c r="F763" i="13" s="1"/>
  <c r="E868" i="13"/>
  <c r="D500" i="13" l="1"/>
  <c r="D391" i="13"/>
  <c r="C391" i="13" s="1"/>
  <c r="E867" i="13"/>
  <c r="D868" i="13"/>
  <c r="C868" i="13" s="1"/>
  <c r="D1058" i="13"/>
  <c r="C1058" i="13" s="1"/>
  <c r="R711" i="13"/>
  <c r="N712" i="13"/>
  <c r="I712" i="13"/>
  <c r="I711" i="13" s="1"/>
  <c r="G712" i="13"/>
  <c r="G711" i="13" s="1"/>
  <c r="F712" i="13"/>
  <c r="F711" i="13" s="1"/>
  <c r="E712" i="13"/>
  <c r="N409" i="13"/>
  <c r="N819" i="13"/>
  <c r="N818" i="13"/>
  <c r="N817" i="13"/>
  <c r="I821" i="13"/>
  <c r="I820" i="13" s="1"/>
  <c r="I763" i="13" s="1"/>
  <c r="G821" i="13"/>
  <c r="G820" i="13" s="1"/>
  <c r="G763" i="13" s="1"/>
  <c r="E821" i="13"/>
  <c r="E820" i="13" s="1"/>
  <c r="E763" i="13" l="1"/>
  <c r="C819" i="13"/>
  <c r="V819" i="13"/>
  <c r="C818" i="13"/>
  <c r="V818" i="13"/>
  <c r="C817" i="13"/>
  <c r="V817" i="13"/>
  <c r="N711" i="13"/>
  <c r="V712" i="13"/>
  <c r="C409" i="13"/>
  <c r="V409" i="13"/>
  <c r="N816" i="13"/>
  <c r="C816" i="13" s="1"/>
  <c r="D821" i="13"/>
  <c r="E711" i="13"/>
  <c r="D712" i="13"/>
  <c r="C712" i="13" s="1"/>
  <c r="N408" i="13"/>
  <c r="C408" i="13" s="1"/>
  <c r="D867" i="13"/>
  <c r="C821" i="13" l="1"/>
  <c r="C820" i="13" s="1"/>
  <c r="D820" i="13"/>
  <c r="D763" i="13" s="1"/>
  <c r="V816" i="13"/>
  <c r="D711" i="13"/>
  <c r="C711" i="13" s="1"/>
  <c r="L633" i="13"/>
  <c r="C633" i="13" s="1"/>
  <c r="I464" i="13"/>
  <c r="H464" i="13"/>
  <c r="G464" i="13"/>
  <c r="F464" i="13"/>
  <c r="E464" i="13"/>
  <c r="I463" i="13"/>
  <c r="H463" i="13"/>
  <c r="G463" i="13"/>
  <c r="F463" i="13"/>
  <c r="E463" i="13"/>
  <c r="H455" i="13" l="1"/>
  <c r="F455" i="13"/>
  <c r="I455" i="13"/>
  <c r="L500" i="13"/>
  <c r="G455" i="13"/>
  <c r="D464" i="13"/>
  <c r="C464" i="13" s="1"/>
  <c r="D463" i="13"/>
  <c r="C463" i="13" s="1"/>
  <c r="E455" i="13"/>
  <c r="N869" i="13"/>
  <c r="I751" i="13"/>
  <c r="I743" i="13" s="1"/>
  <c r="H751" i="13"/>
  <c r="H743" i="13" s="1"/>
  <c r="G751" i="13"/>
  <c r="G743" i="13" s="1"/>
  <c r="F751" i="13"/>
  <c r="F743" i="13" s="1"/>
  <c r="E751" i="13"/>
  <c r="S98" i="13"/>
  <c r="R455" i="13"/>
  <c r="L246" i="13"/>
  <c r="C246" i="13" s="1"/>
  <c r="L229" i="13"/>
  <c r="C229" i="13" s="1"/>
  <c r="C570" i="13"/>
  <c r="N251" i="13"/>
  <c r="N131" i="13"/>
  <c r="N226" i="13"/>
  <c r="R219" i="13"/>
  <c r="C219" i="13" s="1"/>
  <c r="R158" i="13"/>
  <c r="C158" i="13" s="1"/>
  <c r="C470" i="13"/>
  <c r="C468" i="13"/>
  <c r="C34" i="13"/>
  <c r="N30" i="13"/>
  <c r="N329" i="13"/>
  <c r="C738" i="13"/>
  <c r="R315" i="13"/>
  <c r="R314" i="13" s="1"/>
  <c r="N315" i="13"/>
  <c r="V315" i="13" s="1"/>
  <c r="R729" i="13"/>
  <c r="R311" i="13"/>
  <c r="N311" i="13"/>
  <c r="V311" i="13" s="1"/>
  <c r="R310" i="13"/>
  <c r="N310" i="13"/>
  <c r="V310" i="13" s="1"/>
  <c r="R309" i="13"/>
  <c r="N309" i="13"/>
  <c r="V309" i="13" s="1"/>
  <c r="C722" i="13"/>
  <c r="C720" i="13"/>
  <c r="C719" i="13"/>
  <c r="R303" i="13"/>
  <c r="N303" i="13"/>
  <c r="V303" i="13" s="1"/>
  <c r="R302" i="13"/>
  <c r="N302" i="13"/>
  <c r="V302" i="13" s="1"/>
  <c r="R707" i="13"/>
  <c r="N285" i="13"/>
  <c r="R282" i="13"/>
  <c r="C282" i="13" s="1"/>
  <c r="N280" i="13"/>
  <c r="N260" i="13"/>
  <c r="R227" i="13"/>
  <c r="C227" i="13" s="1"/>
  <c r="R176" i="13"/>
  <c r="N176" i="13"/>
  <c r="V176" i="13" s="1"/>
  <c r="C539" i="13"/>
  <c r="C536" i="13"/>
  <c r="N139" i="13"/>
  <c r="R133" i="13"/>
  <c r="R132" i="13" s="1"/>
  <c r="N133" i="13"/>
  <c r="V133" i="13" s="1"/>
  <c r="C489" i="13"/>
  <c r="R127" i="13"/>
  <c r="C127" i="13" s="1"/>
  <c r="C480" i="13"/>
  <c r="N123" i="13"/>
  <c r="R122" i="13"/>
  <c r="N122" i="13"/>
  <c r="V122" i="13" s="1"/>
  <c r="N121" i="13"/>
  <c r="N118" i="13"/>
  <c r="N114" i="13"/>
  <c r="N81" i="13"/>
  <c r="N79" i="13"/>
  <c r="N65" i="13"/>
  <c r="R63" i="13"/>
  <c r="C63" i="13" s="1"/>
  <c r="N62" i="13"/>
  <c r="N52" i="13"/>
  <c r="N51" i="13"/>
  <c r="N50" i="13"/>
  <c r="C41" i="13"/>
  <c r="C42" i="13"/>
  <c r="N28" i="13"/>
  <c r="N27" i="13"/>
  <c r="N26" i="13"/>
  <c r="C25" i="13"/>
  <c r="N20" i="13"/>
  <c r="C352" i="13"/>
  <c r="C253" i="13"/>
  <c r="N290" i="13"/>
  <c r="N238" i="13"/>
  <c r="N237" i="13"/>
  <c r="N163" i="13"/>
  <c r="C690" i="13"/>
  <c r="N276" i="13"/>
  <c r="P211" i="13"/>
  <c r="C211" i="13" s="1"/>
  <c r="N275" i="13"/>
  <c r="V275" i="13" s="1"/>
  <c r="R275" i="13"/>
  <c r="N283" i="13"/>
  <c r="N261" i="13"/>
  <c r="N165" i="13"/>
  <c r="N164" i="13"/>
  <c r="R288" i="13"/>
  <c r="C288" i="13" s="1"/>
  <c r="S440" i="13"/>
  <c r="S439" i="13"/>
  <c r="P436" i="13"/>
  <c r="P438" i="13"/>
  <c r="C342" i="13"/>
  <c r="C340" i="13"/>
  <c r="P184" i="13"/>
  <c r="R184" i="13"/>
  <c r="N184" i="13"/>
  <c r="V184" i="13" s="1"/>
  <c r="C501" i="13"/>
  <c r="C908" i="13"/>
  <c r="C886" i="13"/>
  <c r="C415" i="13"/>
  <c r="R473" i="13"/>
  <c r="R787" i="13"/>
  <c r="R767" i="13"/>
  <c r="L366" i="13"/>
  <c r="C366" i="13" s="1"/>
  <c r="C779" i="13"/>
  <c r="C768" i="13"/>
  <c r="C420" i="13"/>
  <c r="R1078" i="13"/>
  <c r="C32" i="13"/>
  <c r="C793" i="13"/>
  <c r="C525" i="13"/>
  <c r="L1041" i="13"/>
  <c r="C1041" i="13" s="1"/>
  <c r="R56" i="13"/>
  <c r="R55" i="13" s="1"/>
  <c r="N56" i="13"/>
  <c r="V56" i="13" s="1"/>
  <c r="C736" i="13"/>
  <c r="C737" i="13"/>
  <c r="N74" i="13"/>
  <c r="C510" i="13"/>
  <c r="N84" i="13"/>
  <c r="V84" i="13" s="1"/>
  <c r="R84" i="13"/>
  <c r="V85" i="13"/>
  <c r="N86" i="13"/>
  <c r="N87" i="13"/>
  <c r="V87" i="13" s="1"/>
  <c r="R87" i="13"/>
  <c r="N88" i="13"/>
  <c r="V88" i="13" s="1"/>
  <c r="R88" i="13"/>
  <c r="N89" i="13"/>
  <c r="V91" i="13"/>
  <c r="S91" i="13"/>
  <c r="N93" i="13"/>
  <c r="V93" i="13" s="1"/>
  <c r="P93" i="13"/>
  <c r="R93" i="13"/>
  <c r="N92" i="13"/>
  <c r="V92" i="13" s="1"/>
  <c r="R92" i="13"/>
  <c r="S92" i="13"/>
  <c r="V94" i="13"/>
  <c r="S94" i="13"/>
  <c r="N95" i="13"/>
  <c r="V95" i="13" s="1"/>
  <c r="P95" i="13"/>
  <c r="R95" i="13"/>
  <c r="S95" i="13"/>
  <c r="P96" i="13"/>
  <c r="R96" i="13"/>
  <c r="N97" i="13"/>
  <c r="V97" i="13" s="1"/>
  <c r="R97" i="13"/>
  <c r="N98" i="13"/>
  <c r="V98" i="13" s="1"/>
  <c r="R98" i="13"/>
  <c r="N99" i="13"/>
  <c r="V99" i="13" s="1"/>
  <c r="R99" i="13"/>
  <c r="S99" i="13"/>
  <c r="N100" i="13"/>
  <c r="V100" i="13" s="1"/>
  <c r="R100" i="13"/>
  <c r="S100" i="13"/>
  <c r="C435" i="13"/>
  <c r="P437" i="13"/>
  <c r="S437" i="13"/>
  <c r="N443" i="13"/>
  <c r="V443" i="13" s="1"/>
  <c r="R443" i="13"/>
  <c r="P444" i="13"/>
  <c r="N445" i="13"/>
  <c r="V445" i="13" s="1"/>
  <c r="S446" i="13"/>
  <c r="P448" i="13"/>
  <c r="P449" i="13"/>
  <c r="S449" i="13"/>
  <c r="P450" i="13"/>
  <c r="S450" i="13"/>
  <c r="C451" i="13"/>
  <c r="C452" i="13"/>
  <c r="P841" i="13"/>
  <c r="S841" i="13"/>
  <c r="P842" i="13"/>
  <c r="S842" i="13"/>
  <c r="P843" i="13"/>
  <c r="S843" i="13"/>
  <c r="P844" i="13"/>
  <c r="S844" i="13"/>
  <c r="P845" i="13"/>
  <c r="S845" i="13"/>
  <c r="S846" i="13"/>
  <c r="S847" i="13"/>
  <c r="P848" i="13"/>
  <c r="C850" i="13"/>
  <c r="S851" i="13"/>
  <c r="S852" i="13"/>
  <c r="S853" i="13"/>
  <c r="S854" i="13"/>
  <c r="C437" i="13" l="1"/>
  <c r="C283" i="13"/>
  <c r="V283" i="13"/>
  <c r="C276" i="13"/>
  <c r="V276" i="13"/>
  <c r="C237" i="13"/>
  <c r="V237" i="13"/>
  <c r="C27" i="13"/>
  <c r="V27" i="13"/>
  <c r="C50" i="13"/>
  <c r="V50" i="13"/>
  <c r="C114" i="13"/>
  <c r="V114" i="13"/>
  <c r="C285" i="13"/>
  <c r="V285" i="13"/>
  <c r="C30" i="13"/>
  <c r="V30" i="13"/>
  <c r="C251" i="13"/>
  <c r="V251" i="13"/>
  <c r="C261" i="13"/>
  <c r="V261" i="13"/>
  <c r="C162" i="13"/>
  <c r="V162" i="13"/>
  <c r="C26" i="13"/>
  <c r="V26" i="13"/>
  <c r="C62" i="13"/>
  <c r="V62" i="13"/>
  <c r="C81" i="13"/>
  <c r="V81" i="13"/>
  <c r="C139" i="13"/>
  <c r="V139" i="13"/>
  <c r="C329" i="13"/>
  <c r="V329" i="13"/>
  <c r="C131" i="13"/>
  <c r="V131" i="13"/>
  <c r="C86" i="13"/>
  <c r="V86" i="13"/>
  <c r="C89" i="13"/>
  <c r="V89" i="13"/>
  <c r="C74" i="13"/>
  <c r="V74" i="13"/>
  <c r="C165" i="13"/>
  <c r="V165" i="13"/>
  <c r="C163" i="13"/>
  <c r="V163" i="13"/>
  <c r="C290" i="13"/>
  <c r="V290" i="13"/>
  <c r="C52" i="13"/>
  <c r="V52" i="13"/>
  <c r="C79" i="13"/>
  <c r="V79" i="13"/>
  <c r="C121" i="13"/>
  <c r="V121" i="13"/>
  <c r="C280" i="13"/>
  <c r="V280" i="13"/>
  <c r="C226" i="13"/>
  <c r="V226" i="13"/>
  <c r="C164" i="13"/>
  <c r="V164" i="13"/>
  <c r="C238" i="13"/>
  <c r="V238" i="13"/>
  <c r="C20" i="13"/>
  <c r="V20" i="13"/>
  <c r="C28" i="13"/>
  <c r="V28" i="13"/>
  <c r="C51" i="13"/>
  <c r="V51" i="13"/>
  <c r="C65" i="13"/>
  <c r="V65" i="13"/>
  <c r="C118" i="13"/>
  <c r="V118" i="13"/>
  <c r="C123" i="13"/>
  <c r="V123" i="13"/>
  <c r="C260" i="13"/>
  <c r="V260" i="13"/>
  <c r="C185" i="13"/>
  <c r="V185" i="13"/>
  <c r="C716" i="13"/>
  <c r="C869" i="13"/>
  <c r="V869" i="13"/>
  <c r="H346" i="13"/>
  <c r="H8" i="13" s="1"/>
  <c r="C479" i="13"/>
  <c r="C303" i="13"/>
  <c r="I346" i="13"/>
  <c r="I8" i="13" s="1"/>
  <c r="C122" i="13"/>
  <c r="C133" i="13"/>
  <c r="C710" i="13"/>
  <c r="C434" i="13"/>
  <c r="C443" i="13"/>
  <c r="C98" i="13"/>
  <c r="C96" i="13"/>
  <c r="C85" i="13"/>
  <c r="C670" i="13"/>
  <c r="F346" i="13"/>
  <c r="F8" i="13" s="1"/>
  <c r="C95" i="13"/>
  <c r="C91" i="13"/>
  <c r="C535" i="13"/>
  <c r="C624" i="13"/>
  <c r="C438" i="13"/>
  <c r="C537" i="13"/>
  <c r="C302" i="13"/>
  <c r="C462" i="13"/>
  <c r="C854" i="13"/>
  <c r="C847" i="13"/>
  <c r="C448" i="13"/>
  <c r="C853" i="13"/>
  <c r="C846" i="13"/>
  <c r="C445" i="13"/>
  <c r="C100" i="13"/>
  <c r="C94" i="13"/>
  <c r="C88" i="13"/>
  <c r="C447" i="13"/>
  <c r="C442" i="13"/>
  <c r="C97" i="13"/>
  <c r="C84" i="13"/>
  <c r="C275" i="13"/>
  <c r="C176" i="13"/>
  <c r="C309" i="13"/>
  <c r="C311" i="13"/>
  <c r="C315" i="13"/>
  <c r="C472" i="13"/>
  <c r="C845" i="13"/>
  <c r="C843" i="13"/>
  <c r="C841" i="13"/>
  <c r="C56" i="13"/>
  <c r="C474" i="13"/>
  <c r="C184" i="13"/>
  <c r="C436" i="13"/>
  <c r="C852" i="13"/>
  <c r="C444" i="13"/>
  <c r="C99" i="13"/>
  <c r="C92" i="13"/>
  <c r="C900" i="13"/>
  <c r="C950" i="13"/>
  <c r="C439" i="13"/>
  <c r="C844" i="13"/>
  <c r="C842" i="13"/>
  <c r="C1079" i="13"/>
  <c r="C789" i="13"/>
  <c r="C851" i="13"/>
  <c r="C848" i="13"/>
  <c r="C450" i="13"/>
  <c r="C449" i="13"/>
  <c r="C446" i="13"/>
  <c r="C93" i="13"/>
  <c r="C87" i="13"/>
  <c r="C772" i="13"/>
  <c r="C471" i="13"/>
  <c r="C440" i="13"/>
  <c r="C506" i="13"/>
  <c r="C310" i="13"/>
  <c r="C732" i="13"/>
  <c r="R120" i="13"/>
  <c r="R465" i="13"/>
  <c r="P136" i="13"/>
  <c r="R301" i="13"/>
  <c r="N884" i="13"/>
  <c r="N735" i="13"/>
  <c r="C735" i="13" s="1"/>
  <c r="N31" i="13"/>
  <c r="C31" i="13" s="1"/>
  <c r="V31" i="13" s="1"/>
  <c r="N767" i="13"/>
  <c r="N112" i="13"/>
  <c r="C112" i="13" s="1"/>
  <c r="N707" i="13"/>
  <c r="C707" i="13" s="1"/>
  <c r="N433" i="13"/>
  <c r="L884" i="13"/>
  <c r="L763" i="13" s="1"/>
  <c r="N790" i="13"/>
  <c r="C790" i="13" s="1"/>
  <c r="N418" i="13"/>
  <c r="C418" i="13" s="1"/>
  <c r="N414" i="13"/>
  <c r="C414" i="13" s="1"/>
  <c r="N40" i="13"/>
  <c r="C40" i="13" s="1"/>
  <c r="N60" i="13"/>
  <c r="N80" i="13"/>
  <c r="C80" i="13" s="1"/>
  <c r="V80" i="13" s="1"/>
  <c r="N120" i="13"/>
  <c r="N500" i="13"/>
  <c r="N729" i="13"/>
  <c r="C729" i="13" s="1"/>
  <c r="N465" i="13"/>
  <c r="D455" i="13"/>
  <c r="R840" i="13"/>
  <c r="R82" i="13"/>
  <c r="N82" i="13"/>
  <c r="R884" i="13"/>
  <c r="R330" i="13"/>
  <c r="C330" i="13" s="1"/>
  <c r="N48" i="13"/>
  <c r="C48" i="13" s="1"/>
  <c r="N477" i="13"/>
  <c r="N132" i="13"/>
  <c r="C132" i="13" s="1"/>
  <c r="V132" i="13" s="1"/>
  <c r="N328" i="13"/>
  <c r="C328" i="13" s="1"/>
  <c r="N73" i="13"/>
  <c r="C73" i="13" s="1"/>
  <c r="V73" i="13" s="1"/>
  <c r="L350" i="13"/>
  <c r="N78" i="13"/>
  <c r="C78" i="13" s="1"/>
  <c r="N136" i="13"/>
  <c r="N301" i="13"/>
  <c r="N33" i="13"/>
  <c r="C33" i="13" s="1"/>
  <c r="R136" i="13"/>
  <c r="N130" i="13"/>
  <c r="C130" i="13" s="1"/>
  <c r="L136" i="13"/>
  <c r="N455" i="13"/>
  <c r="N867" i="13"/>
  <c r="C867" i="13" s="1"/>
  <c r="P840" i="13"/>
  <c r="P763" i="13" s="1"/>
  <c r="S840" i="13"/>
  <c r="S763" i="13" s="1"/>
  <c r="P82" i="13"/>
  <c r="P433" i="13"/>
  <c r="P346" i="13" s="1"/>
  <c r="R308" i="13"/>
  <c r="G346" i="13"/>
  <c r="G8" i="13" s="1"/>
  <c r="R500" i="13"/>
  <c r="N350" i="13"/>
  <c r="R60" i="13"/>
  <c r="N840" i="13"/>
  <c r="N55" i="13"/>
  <c r="C55" i="13" s="1"/>
  <c r="N1078" i="13"/>
  <c r="C1078" i="13" s="1"/>
  <c r="N787" i="13"/>
  <c r="C787" i="13" s="1"/>
  <c r="N473" i="13"/>
  <c r="C473" i="13" s="1"/>
  <c r="N14" i="13"/>
  <c r="C14" i="13" s="1"/>
  <c r="N64" i="13"/>
  <c r="C64" i="13" s="1"/>
  <c r="V64" i="13" s="1"/>
  <c r="N308" i="13"/>
  <c r="N314" i="13"/>
  <c r="C314" i="13" s="1"/>
  <c r="N29" i="13"/>
  <c r="C29" i="13" s="1"/>
  <c r="V29" i="13" s="1"/>
  <c r="D751" i="13"/>
  <c r="C751" i="13" s="1"/>
  <c r="E743" i="13"/>
  <c r="E346" i="13" s="1"/>
  <c r="E8" i="13" s="1"/>
  <c r="R477" i="13"/>
  <c r="R433" i="13"/>
  <c r="S82" i="13"/>
  <c r="S10" i="13" s="1"/>
  <c r="S441" i="13"/>
  <c r="C441" i="13" s="1"/>
  <c r="V411" i="13"/>
  <c r="V421" i="13"/>
  <c r="V475" i="13"/>
  <c r="V495" i="13"/>
  <c r="V757" i="13"/>
  <c r="V829" i="13"/>
  <c r="V831" i="13"/>
  <c r="V878" i="13"/>
  <c r="V1074" i="13"/>
  <c r="V71" i="13"/>
  <c r="V134" i="13"/>
  <c r="V35" i="13"/>
  <c r="V53" i="13"/>
  <c r="V323" i="13"/>
  <c r="V369" i="13"/>
  <c r="V385" i="13"/>
  <c r="V498" i="13"/>
  <c r="V804" i="13"/>
  <c r="V827" i="13"/>
  <c r="V865" i="13"/>
  <c r="V881" i="13"/>
  <c r="V1060" i="13"/>
  <c r="V1072" i="13"/>
  <c r="V1098" i="13"/>
  <c r="R763" i="13" l="1"/>
  <c r="C767" i="13"/>
  <c r="N763" i="13"/>
  <c r="C465" i="13"/>
  <c r="V112" i="13" s="1"/>
  <c r="C500" i="13"/>
  <c r="C301" i="13"/>
  <c r="V301" i="13" s="1"/>
  <c r="C120" i="13"/>
  <c r="V787" i="13"/>
  <c r="C82" i="13"/>
  <c r="C455" i="13"/>
  <c r="V105" i="13" s="1"/>
  <c r="V328" i="13"/>
  <c r="C884" i="13"/>
  <c r="L10" i="13"/>
  <c r="C136" i="13"/>
  <c r="C10" i="13" s="1"/>
  <c r="L346" i="13"/>
  <c r="C350" i="13"/>
  <c r="C60" i="13"/>
  <c r="C840" i="13"/>
  <c r="C308" i="13"/>
  <c r="C477" i="13"/>
  <c r="P10" i="13"/>
  <c r="P8" i="13" s="1"/>
  <c r="R346" i="13"/>
  <c r="R10" i="13"/>
  <c r="N346" i="13"/>
  <c r="D743" i="13"/>
  <c r="N10" i="13"/>
  <c r="S433" i="13"/>
  <c r="S346" i="13" s="1"/>
  <c r="S8" i="13" s="1"/>
  <c r="V319" i="13"/>
  <c r="V66" i="13"/>
  <c r="V58" i="13"/>
  <c r="V380" i="13"/>
  <c r="V314" i="13"/>
  <c r="V78" i="13"/>
  <c r="V294" i="13"/>
  <c r="V299" i="13"/>
  <c r="V130" i="13"/>
  <c r="V102" i="13"/>
  <c r="V473" i="13"/>
  <c r="V326" i="13"/>
  <c r="V75" i="13"/>
  <c r="V11" i="13"/>
  <c r="V37" i="13"/>
  <c r="V55" i="13"/>
  <c r="V312" i="13"/>
  <c r="V48" i="13"/>
  <c r="V68" i="13"/>
  <c r="V316" i="13"/>
  <c r="V33" i="13"/>
  <c r="V304" i="13"/>
  <c r="V40" i="13"/>
  <c r="V43" i="13"/>
  <c r="C763" i="13" l="1"/>
  <c r="V308" i="13"/>
  <c r="D346" i="13"/>
  <c r="C743" i="13"/>
  <c r="L8" i="13"/>
  <c r="C433" i="13"/>
  <c r="R8" i="13"/>
  <c r="V60" i="13"/>
  <c r="N8" i="13"/>
  <c r="V120" i="13"/>
  <c r="V14" i="13"/>
  <c r="V136" i="13"/>
  <c r="V330" i="13" l="1"/>
  <c r="D8" i="13"/>
  <c r="C346" i="13"/>
  <c r="C8" i="13" s="1"/>
  <c r="V820" i="13"/>
  <c r="V82" i="13" l="1"/>
</calcChain>
</file>

<file path=xl/sharedStrings.xml><?xml version="1.0" encoding="utf-8"?>
<sst xmlns="http://schemas.openxmlformats.org/spreadsheetml/2006/main" count="2086" uniqueCount="1938">
  <si>
    <t>Итого по Вяземскому городскому поселению Вяземского района Смоленской области</t>
  </si>
  <si>
    <t>Раздел 2. Перечень услуг и (или) работ по капитальному ремонту общего имущества в многоквартирных домах и их стоимость</t>
  </si>
  <si>
    <t>Итого по Кармановскому сельскому поселению Гагаринского района Смоленской области</t>
  </si>
  <si>
    <t>другие виды услуг (работ)</t>
  </si>
  <si>
    <t>Виды услуг и (или) работ по капитальному ремонту общего имущества в многоквартирном доме, установленные частью 1 статьи 166 Жилищного кодекса Российской Федерации</t>
  </si>
  <si>
    <t>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</si>
  <si>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ремонт подвальных помещений, относящихся к общему имуществу в МКД</t>
  </si>
  <si>
    <t>руб.</t>
  </si>
  <si>
    <t>ремонт крыши</t>
  </si>
  <si>
    <t>ремонт фасада</t>
  </si>
  <si>
    <t>ед.</t>
  </si>
  <si>
    <t>Г. Вязьма, ул. Ленина, д. 69б</t>
  </si>
  <si>
    <t>Виды услуг и (или) работ по капитальному ремонту общего имущества в многоквартирном доме, установленные статьей 6 областного закона 
от 31 октября 2013 года № 114-з «О регулировании отдельных вопросов в сфере обеспечения своевременного проведения капитального ремонта общего имущества в многоквартирных домах, расположенных на территории Смоленской области»</t>
  </si>
  <si>
    <t>Стоимость капитального ремонта, 
всего</t>
  </si>
  <si>
    <t>ремонт фундамента
МКД</t>
  </si>
  <si>
    <t>Адрес многоквартирного дома 
(далее также - МКД)</t>
  </si>
  <si>
    <t>№  п/п</t>
  </si>
  <si>
    <t>Г. Вязьма, ул. 25 Октября, д. 29</t>
  </si>
  <si>
    <t>кв. м</t>
  </si>
  <si>
    <t>Г. Велиж, ул. Ивановская, д. 9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</si>
  <si>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</si>
  <si>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</si>
  <si>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</si>
  <si>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</si>
  <si>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</si>
  <si>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2020 год</t>
  </si>
  <si>
    <t>Итого по Смоленской области на 2020-2022 годы</t>
  </si>
  <si>
    <t>С. Хмелита, ул. Парковая, д. 6</t>
  </si>
  <si>
    <t>Итого по Степаниковскому сельскому поселению Вяземского района Смоленской области</t>
  </si>
  <si>
    <t>Дер. Тюхменево, ул. Карьероуправления, д. 12</t>
  </si>
  <si>
    <t>Итого по Семлевскому сельскому поселению Вяземского района Смоленской области</t>
  </si>
  <si>
    <t>С. Семлево, ул. Калинина, д. 17</t>
  </si>
  <si>
    <t>Г. Вязьма, ул. Красноармейское шоссе, д. 19</t>
  </si>
  <si>
    <t>Г. Вязьма, ул. Московская, д. 19</t>
  </si>
  <si>
    <t>Г. Вязьма, ул. Освобождения, д. 1</t>
  </si>
  <si>
    <t>Г. Вязьма, ул. Покровского, д. 3</t>
  </si>
  <si>
    <t>Г. Вязьма, ул. Полины Осипенко, д. 3</t>
  </si>
  <si>
    <t>Г. Вязьма, ул. Юбилейная, д. 15</t>
  </si>
  <si>
    <t>Г. Вязьма, ул. Ямская, д. 43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</si>
  <si>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</si>
  <si>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</si>
  <si>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</si>
  <si>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</si>
  <si>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</si>
  <si>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</si>
  <si>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</si>
  <si>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</si>
  <si>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</si>
  <si>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</si>
  <si>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</si>
  <si>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</si>
  <si>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</si>
  <si>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</si>
  <si>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</si>
  <si>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</si>
  <si>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</si>
  <si>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</si>
  <si>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</si>
  <si>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</si>
  <si>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22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</si>
  <si>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</si>
  <si>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</si>
  <si>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</si>
  <si>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</si>
  <si>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Полевая, д. 1</t>
  </si>
  <si>
    <t>Г. Вязьма, ул. Полины Осипенко, д. 2б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</si>
  <si>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</si>
  <si>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</si>
  <si>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</si>
  <si>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</si>
  <si>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</si>
  <si>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Вязьма, ул. Фрунзе, д. 5</t>
  </si>
  <si>
    <t>Г. Гагарин, пр. Сельхозтехника, д. 2</t>
  </si>
  <si>
    <t>Г. Гагарин, ул. 26 Бакинских комиссаров, д. 2</t>
  </si>
  <si>
    <t>Г. Гагарин, ул. 50 лет ВЛКСМ, д. 14</t>
  </si>
  <si>
    <t>Итого по Гагаринскому городскому поселению Гагаринского района Смоленской области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</si>
  <si>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</si>
  <si>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</si>
  <si>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</si>
  <si>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</si>
  <si>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</si>
  <si>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</si>
  <si>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Глинковскому сельскому поселению Глинковского района Смоленской области</t>
  </si>
  <si>
    <t>С. Глинка, пер. Смоленский, д. 1а</t>
  </si>
  <si>
    <t>С. Глинка, пер. Смоленский, д. 2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</si>
  <si>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</si>
  <si>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</si>
  <si>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</si>
  <si>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</si>
  <si>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</si>
  <si>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</si>
  <si>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</si>
  <si>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</si>
  <si>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Итого по Титовщинскому сельскому поселению Демидовского района Смоленской области</t>
  </si>
  <si>
    <t>Итого по Дорогобужскому городскому поселению Дорогобужского района Смоленской области</t>
  </si>
  <si>
    <t>Г. Дорогобуж, ул. ДОС, д. 4</t>
  </si>
  <si>
    <t>Г. Дорогобуж, ул. Калинина, д. 12</t>
  </si>
  <si>
    <t>Г. Дорогобуж, ул. Мира, д. 10</t>
  </si>
  <si>
    <t>Г. Дорогобуж, ул. Мира, д. 12</t>
  </si>
  <si>
    <t>Г. Дорогобуж, ул. Мира, д. 2</t>
  </si>
  <si>
    <t>Г. Дорогобуж, ул. Мира, д. 26</t>
  </si>
  <si>
    <t>Г. Дорогобуж, ул. Мира, д. 34</t>
  </si>
  <si>
    <t>Г. Дорогобуж, ул. Чистякова, д. 8</t>
  </si>
  <si>
    <t>Итого по Верхнеднепровскому городскому поселению Дорогобужского района Смоленской области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</si>
  <si>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</si>
  <si>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</si>
  <si>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</si>
  <si>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</si>
  <si>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</si>
  <si>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</si>
  <si>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</si>
  <si>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</si>
  <si>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</si>
  <si>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</si>
  <si>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</si>
  <si>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</si>
  <si>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</si>
  <si>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Итого по Духовщинскому городскому поселению Духовщинского района Смоленской области</t>
  </si>
  <si>
    <t>Г. Духовщина, ул. Луначарского, д. 13</t>
  </si>
  <si>
    <t>Г. Духовщина, ул. Смоленская, д. 56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</si>
  <si>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</si>
  <si>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</si>
  <si>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</si>
  <si>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</si>
  <si>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</si>
  <si>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Итого по Ельнинскому городскому поселению Ельнинского района Смоленской области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</si>
  <si>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</si>
  <si>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</si>
  <si>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</si>
  <si>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Пос. Кардымово, ул. Октябрьская, д. 16</t>
  </si>
  <si>
    <t>Дер. Пищулино, ул. Школа-интернат, д. 14</t>
  </si>
  <si>
    <t>Дер. Пищулино, ул. Школа-интернат, д. 15</t>
  </si>
  <si>
    <t>Ст. Духовская, д. 4</t>
  </si>
  <si>
    <t>Итого по Кардымовскому городскому поселению Кардымовского района Смоленской области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</si>
  <si>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</si>
  <si>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</si>
  <si>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</si>
  <si>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</si>
  <si>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</si>
  <si>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</si>
  <si>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</si>
  <si>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Монастырщинскому городскому поселению Монастырщинского района Смоленской области</t>
  </si>
  <si>
    <t>Пос. Монастырщина, тер. Сельхозтехника, д. 15</t>
  </si>
  <si>
    <t>Пос. Монастырщина, ул. Юбилейная, д. 30</t>
  </si>
  <si>
    <t>Итого по Соболевскому сельскому поселению Монастырщинского района Смоленской области</t>
  </si>
  <si>
    <t>Дер. Крапивна, ул. Горького, д. 8</t>
  </si>
  <si>
    <t>Дер. Соболево, д. 24</t>
  </si>
  <si>
    <t>Итого по Новодугинскому сельскому поселению Новодугинского района Смоленской области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</si>
  <si>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</si>
  <si>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</si>
  <si>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Итого по Починковскому городскому поселению Починковского района Смоленской области</t>
  </si>
  <si>
    <t>Г. Починок, военный гарнизон «Елки-3», д. 201</t>
  </si>
  <si>
    <t>Г. Починок, военный гарнизон «Елки-3», д. 202</t>
  </si>
  <si>
    <t>Г. Починок, военный гарнизон «Елки-3», д. 204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</si>
  <si>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</si>
  <si>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</si>
  <si>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</si>
  <si>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Советская, д. 44</t>
  </si>
  <si>
    <t>Г. Починок, ул. Социалистическая, д. 41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</si>
  <si>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</si>
  <si>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</si>
  <si>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</si>
  <si>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</si>
  <si>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Итого по Стодолищенскому сельскому поселению Починковского района Смоленской области</t>
  </si>
  <si>
    <t>Пос. Стодолище, ул. Ленина, д. 27</t>
  </si>
  <si>
    <t>Итого по Рославльскому городскому поселению Рославльского района Смоленской области</t>
  </si>
  <si>
    <t>Г. Рославль, мкрн. 17, д. 13</t>
  </si>
  <si>
    <t>Г. Рославль, мкрн. 15, д. 4</t>
  </si>
  <si>
    <t>Г. Рославль, мкрн. 15, д. 30</t>
  </si>
  <si>
    <t>Г. Рославль, мкрн. 16, д. 10</t>
  </si>
  <si>
    <t>Г. Рославль, мкрн. 16, д. 12</t>
  </si>
  <si>
    <t>Г. Рославль, мкрн. 16, д. 5</t>
  </si>
  <si>
    <t>Г. Рославль, мкрн. 16, д. 8</t>
  </si>
  <si>
    <t>Г. Рославль, пер. 2-й Советский, д. 38</t>
  </si>
  <si>
    <t>Г. Рославль, пос. ТЭЦ, д. 3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</si>
  <si>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</si>
  <si>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</si>
  <si>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</si>
  <si>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</si>
  <si>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</si>
  <si>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</si>
  <si>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</si>
  <si>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Красноармейская, д. 100</t>
  </si>
  <si>
    <t>Г. Рославль, ул. Красноармейская, д. 49</t>
  </si>
  <si>
    <t>Г. Рославль, ул. Красина, д. 3</t>
  </si>
  <si>
    <t>Г. Рославль, ул. 2-я Дачная, д. 8</t>
  </si>
  <si>
    <t>Г. Рославль, ул. Ленина, д. 7</t>
  </si>
  <si>
    <t>Г. Рославль, ул. Ленина, д. 9</t>
  </si>
  <si>
    <t>Г. Рославль, ул. Ленина, д. 5</t>
  </si>
  <si>
    <t>Г. Рославль, ул. Ленина, д. 18</t>
  </si>
  <si>
    <t>Г. Рославль, ул. Мичурина, д. 28</t>
  </si>
  <si>
    <t>Г. Рославль, ул. Октябрьская, д. 29</t>
  </si>
  <si>
    <t>Г. Рославль, ул. Октябрьская, д. 32б</t>
  </si>
  <si>
    <t>Г. Рославль, ул. Пушкина, д. 8а</t>
  </si>
  <si>
    <t>Г. Рославль, ул. Чехова, д. 22а</t>
  </si>
  <si>
    <t>Г. Рославль, ул. Ленина, д. 1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</si>
  <si>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</si>
  <si>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</si>
  <si>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</si>
  <si>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46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</si>
  <si>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</si>
  <si>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</si>
  <si>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</si>
  <si>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Пролетарская, д. 92</t>
  </si>
  <si>
    <t>Г. Рославль, ул. Пушкина, д. 24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</si>
  <si>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</si>
  <si>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</si>
  <si>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</si>
  <si>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</si>
  <si>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Урицкого д. 16</t>
  </si>
  <si>
    <t>Итого по 2020 году</t>
  </si>
  <si>
    <t>2021 год</t>
  </si>
  <si>
    <t>Итого по 2021 году</t>
  </si>
  <si>
    <t>2022 год</t>
  </si>
  <si>
    <t>Итого по 2022 году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</si>
  <si>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</si>
  <si>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</si>
  <si>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</si>
  <si>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</si>
  <si>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</si>
  <si>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</si>
  <si>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</si>
  <si>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Остер, ул. Советская, д. 5</t>
  </si>
  <si>
    <t>С. Остер, ул. Советская, д. 6</t>
  </si>
  <si>
    <t>Итого по Остерскому сельскому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</si>
  <si>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</si>
  <si>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С. Екимовичи, пер. Школьный, д. 1</t>
  </si>
  <si>
    <t>С. Екимовичи, ул. Ленинская, д. 31</t>
  </si>
  <si>
    <t>Итого по Руднянскому городскому поселению Руднянского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</si>
  <si>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</si>
  <si>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</si>
  <si>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</si>
  <si>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</si>
  <si>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</si>
  <si>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</si>
  <si>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</si>
  <si>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</si>
  <si>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</si>
  <si>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</si>
  <si>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</si>
  <si>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</si>
  <si>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</si>
  <si>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</si>
  <si>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</si>
  <si>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</si>
  <si>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Чистиковскому сельскому поселению Руднянского района Смоленской области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</si>
  <si>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</si>
  <si>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</si>
  <si>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</si>
  <si>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</si>
  <si>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</si>
  <si>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</si>
  <si>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</si>
  <si>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</si>
  <si>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</si>
  <si>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</si>
  <si>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</si>
  <si>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</si>
  <si>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</si>
  <si>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</si>
  <si>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</si>
  <si>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</si>
  <si>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</si>
  <si>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</si>
  <si>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</si>
  <si>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</si>
  <si>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</si>
  <si>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</si>
  <si>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</si>
  <si>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</si>
  <si>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</si>
  <si>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</si>
  <si>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Дер. Клинка, ул. Школьная, д. 2</t>
  </si>
  <si>
    <t>Итого по Вадинскому сельскому поселению Сафоновского района Смоленской области</t>
  </si>
  <si>
    <t>Пос. Вадино, ул. Молодежная, д. 5</t>
  </si>
  <si>
    <t>Итого по Вышегорскому сельскому поселению Сафоновского района Смоленской области</t>
  </si>
  <si>
    <t>Дер. Вышегор, ул. Мира, д. 2</t>
  </si>
  <si>
    <t>Дер. Вышегор, ул. Мира, д. 3</t>
  </si>
  <si>
    <t>Дер. Кононово, ул. Школьная, д. 21</t>
  </si>
  <si>
    <t>Итого по Зимницкому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</si>
  <si>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</si>
  <si>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Дер. Николо-Погорелое, ул. Центральная, д. 2</t>
  </si>
  <si>
    <t>Дер. Николо-Погорелое, ул. Центральная, д. 5</t>
  </si>
  <si>
    <t>Итого по Катынскому сельскому поселению Смоленского района Смоленской области</t>
  </si>
  <si>
    <t>Дер. Санаторий Борок, д. 2</t>
  </si>
  <si>
    <t>Дер. Санаторий Борок, д. 3</t>
  </si>
  <si>
    <t>Итого по Кощинскому сельскому поселению Смоленского района Смоленской области</t>
  </si>
  <si>
    <t>Дер. Кощино, ул. Мира, д. 1</t>
  </si>
  <si>
    <t>Итого по Стабенскому сельскому поселению Смоленского района Смоленской области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</si>
  <si>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</si>
  <si>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</si>
  <si>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</si>
  <si>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</si>
  <si>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Итого по Талашкинскому сельскому поселению Смоленского района Смоленской области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</si>
  <si>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</si>
  <si>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</si>
  <si>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</si>
  <si>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Фленово, ул. Музейная,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</si>
  <si>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</si>
  <si>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</si>
  <si>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</si>
  <si>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</si>
  <si>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</si>
  <si>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</si>
  <si>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</si>
  <si>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</si>
  <si>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С. Катынь, ул. Витебское шоссе, д. 1</t>
  </si>
  <si>
    <t>Итого по Гнездовскому сельскому поселению Смоленского района Смоленской области</t>
  </si>
  <si>
    <t>Дер. Новые Батеки, ул. Северная, д. 19</t>
  </si>
  <si>
    <t>Дер. Шоссейный дом Вонлярово, д. 5</t>
  </si>
  <si>
    <t>Дер. Зыколино, д. 27</t>
  </si>
  <si>
    <t>Итого по Сычевскому городскому поселению Сычевского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</si>
  <si>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</si>
  <si>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</si>
  <si>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</si>
  <si>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</si>
  <si>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>Итого по Мальцевскому сельскому поселению Сычевского района Смоленской области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</si>
  <si>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</si>
  <si>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</si>
  <si>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</si>
  <si>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</si>
  <si>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</si>
  <si>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</si>
  <si>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</si>
  <si>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</si>
  <si>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</si>
  <si>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</si>
  <si>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</si>
  <si>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</si>
  <si>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</si>
  <si>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</si>
  <si>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</si>
  <si>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Итого по Холм-Жирковскому городскому поселению Холм-Жирковского района Смоленской области</t>
  </si>
  <si>
    <t>Пос. Холм-Жирковский, ул. Ленина, д. 4</t>
  </si>
  <si>
    <t>Пос. Холм-Жирковский, ул. Ленина, д. 6</t>
  </si>
  <si>
    <t xml:space="preserve">Итого по Шумячскому городскому поселению </t>
  </si>
  <si>
    <t>Пос. Шумячи, ул. Сельхозтехника, д. 8</t>
  </si>
  <si>
    <t xml:space="preserve">Итого по Первомайскому сельскому поселению Шумячского района Смоленской области </t>
  </si>
  <si>
    <t>С. Первомайский, ул. Советская, д. 8</t>
  </si>
  <si>
    <t xml:space="preserve">Итого по Озерному сельскому поселению Шумячского района Смоленской области </t>
  </si>
  <si>
    <t>Дер. Озерная, ул. Новая, д. 1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</si>
  <si>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</si>
  <si>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</si>
  <si>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</si>
  <si>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</si>
  <si>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</si>
  <si>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</si>
  <si>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</si>
  <si>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</si>
  <si>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</si>
  <si>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</si>
  <si>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</si>
  <si>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</si>
  <si>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</si>
  <si>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</si>
  <si>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</si>
  <si>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2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</si>
  <si>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</si>
  <si>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</si>
  <si>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</si>
  <si>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</si>
  <si>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</si>
  <si>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</si>
  <si>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</si>
  <si>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</si>
  <si>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</si>
  <si>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</si>
  <si>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</si>
  <si>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</si>
  <si>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</si>
  <si>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</si>
  <si>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</si>
  <si>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</si>
  <si>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</si>
  <si>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</si>
  <si>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Ланино, д. 6</t>
  </si>
  <si>
    <t>Дер. Михейково, ул. Советская, д. 32</t>
  </si>
  <si>
    <t>Дер. Суетово, ул. Магистральная, д. 7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</si>
  <si>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</si>
  <si>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</si>
  <si>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Г. Смоленск, ул. Большая Советская, д. 8</t>
  </si>
  <si>
    <t>Г. Смоленск, ул. Ново-Ленинградская, д. 19</t>
  </si>
  <si>
    <t>Г. Смоленск, ул. Тухачевского, д. 9</t>
  </si>
  <si>
    <t>Итого по городу Смоленску</t>
  </si>
  <si>
    <t>Г. Смоленск, городок Коминтерна, д. 10</t>
  </si>
  <si>
    <t>Г. Смоленск, ул. Большая Советская, д. 33</t>
  </si>
  <si>
    <t>Г. Смоленск, ул. Большая Советская, д. 35</t>
  </si>
  <si>
    <t>Г. Смоленск, ул. Ленина, д. 11</t>
  </si>
  <si>
    <t>Г. Смоленск, ул. Тенишевой, д. 4</t>
  </si>
  <si>
    <t>Г. Смоленск, ул. Фрунзе, д. 47</t>
  </si>
  <si>
    <t>Г. Смоленск, просп. Гагарина, д. 12/1</t>
  </si>
  <si>
    <t>Г. Смоленск, ул. Исаковского, д. 42</t>
  </si>
  <si>
    <t>Г. Смоленск, ул. 12 лет Октября, д. 15</t>
  </si>
  <si>
    <t>Г. Смоленск, пер. Смирнова, д. 3/4</t>
  </si>
  <si>
    <t>Г. Смоленск, ул. Коммунистическая, д. 14</t>
  </si>
  <si>
    <t>Г. Смоленск, ул. Тенишевой, д. 21</t>
  </si>
  <si>
    <t>Г. Смоленск, ул. Тухачевского, д. 1</t>
  </si>
  <si>
    <t>Г. Смоленск, ул. Исаковского, д. 40</t>
  </si>
  <si>
    <t>Г. Смоленск, ул. Большая Советская, д. 14</t>
  </si>
  <si>
    <t>Г. Смоленск, пос. Красный Бор, д. 5/18</t>
  </si>
  <si>
    <t>Г. Смоленск, ул. Коммунистическая, д. 12</t>
  </si>
  <si>
    <t>Г. Смоленск, ул. Маяковского, д. 5</t>
  </si>
  <si>
    <t>Г. Смоленск, пер. Ново-Киевский, д. 2а</t>
  </si>
  <si>
    <t>Г. Смоленск, ул. Большая Советская, д. 24</t>
  </si>
  <si>
    <t>Г. Смоленск, ул. Большая Советская, д. 28/16</t>
  </si>
  <si>
    <t>Г. Смоленск, ул. Кирилла и Мефодия, д. 1</t>
  </si>
  <si>
    <t>Г. Смоленск, ул. Николаева, д. 3</t>
  </si>
  <si>
    <t>Г. Смоленск, ул. Тухачевского, д. 4</t>
  </si>
  <si>
    <t>Г. Смоленск, ул. Фрунзе, д. 2</t>
  </si>
  <si>
    <t>Г. Смоленск, ул. Беляева, д. 6</t>
  </si>
  <si>
    <t>Г. Смоленск, ул. Ленина, д. 29/24</t>
  </si>
  <si>
    <t>Г. Смоленск, ул. Ленина, д. 6/1</t>
  </si>
  <si>
    <t>Г. Смоленск, ул. Ленина, д. 9</t>
  </si>
  <si>
    <t>Г. Смоленск, ул. Ново-Ленинградская, д. 18</t>
  </si>
  <si>
    <t>Г. Смоленск, ул. 8 Марта, д. 10</t>
  </si>
  <si>
    <t>Г. Смоленск, ул. 8 Марта, д. 4</t>
  </si>
  <si>
    <t>Г. Смоленск, ул. 8 Марта, д. 5</t>
  </si>
  <si>
    <t>Г. Смоленск, ул. 8 Марта, д. 9</t>
  </si>
  <si>
    <t>Г. Смоленск, ул. Большая Советская, д. 43</t>
  </si>
  <si>
    <t>Г. Смоленск, ул. Большая Советская, д. 7</t>
  </si>
  <si>
    <t>Г. Смоленск, ул. Ленина, д. 15</t>
  </si>
  <si>
    <t>Г. Смоленск, ул. Нахимсона, д. 8</t>
  </si>
  <si>
    <t>Г. Смоленск, пер. Бакунина, д. 2</t>
  </si>
  <si>
    <t>Г. Смоленск, ул. Большая Краснофлотская, д. 7</t>
  </si>
  <si>
    <t>Г. Смоленск, ул. Большая Советская, д. 16/17</t>
  </si>
  <si>
    <t>Г. Смоленск, ул. Герцена, д. 9</t>
  </si>
  <si>
    <t>Г. Смоленск, ул. Чкалова, д. 1</t>
  </si>
  <si>
    <t>Г. Смоленск, ул. Энгельса, д. 3</t>
  </si>
  <si>
    <t>Г. Смоленск, ул. Энгельса, д. 6</t>
  </si>
  <si>
    <t>Г. Смоленск, Витебское шоссе, д. 68</t>
  </si>
  <si>
    <t>Г. Смоленск, пер. 2-й Выставочный, д. 13а</t>
  </si>
  <si>
    <t>Г. Смоленск, пер. 2-й Киевский, д. 5а</t>
  </si>
  <si>
    <t>Г. Смоленск, ул. 2-я Киевская, д. 10</t>
  </si>
  <si>
    <t>Г. Смоленск, ул. Ленина, д. 12а</t>
  </si>
  <si>
    <t>Г. Смоленск, ул. Нарвская, д. 3</t>
  </si>
  <si>
    <t>Г. Смоленск, ул. Чаплина, д. 4</t>
  </si>
  <si>
    <t>Г. Смоленск, Витебское шоссе, д. 62</t>
  </si>
  <si>
    <t>Г. Смоленск, ул. 2-я Киевская, д. 12</t>
  </si>
  <si>
    <t>Г. Смоленск, ул. Большая Краснофлотская, д. 5</t>
  </si>
  <si>
    <t>Г. Смоленск, ул. Большая Краснофлотская, д. 9</t>
  </si>
  <si>
    <t>Г. Смоленск, ул. Станционная, д. 6</t>
  </si>
  <si>
    <t>Г. Смоленск, ул. Чкалова, д. 3а</t>
  </si>
  <si>
    <t>Г. Смоленск, ул. Энгельса, д. 10</t>
  </si>
  <si>
    <t>Г. Смоленск, пос. 430 км, д. 12</t>
  </si>
  <si>
    <t>Г. Смоленск, пос. 430 км, д. 14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</si>
  <si>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</si>
  <si>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</si>
  <si>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Советская, д. 18/18</t>
  </si>
  <si>
    <t>Г. Смоленск, ул. Большая Советская, д. 39/11</t>
  </si>
  <si>
    <t>Г. Смоленск, ул. Свердлова, д. 1</t>
  </si>
  <si>
    <t>Г. Смоленск, ул. Центральная, д. 4</t>
  </si>
  <si>
    <t>Г. Смоленск, пер. 2-й Краснофлотский, д. 26б</t>
  </si>
  <si>
    <t>Г. Смоленск, просп. Гагарина, д. 4</t>
  </si>
  <si>
    <t>Г. Смоленск, ул. Герцена, д. 5</t>
  </si>
  <si>
    <t>Г. Смоленск, ул. Докучаева, д. 4</t>
  </si>
  <si>
    <t>Г. Смоленск, ул. Седова, д. 54</t>
  </si>
  <si>
    <t>Г. Смоленск, ул. 2-я Киевская, д. 7</t>
  </si>
  <si>
    <t>Г. Смоленск, ул. Бакунина, д. 5</t>
  </si>
  <si>
    <t>Г. Смоленск, ул. Пржевальского, д. 6/25</t>
  </si>
  <si>
    <t>Г. Смоленск, ул. Соболева, д. 22</t>
  </si>
  <si>
    <t>Г. Смоленск, ул. Твардовского, д. 3</t>
  </si>
  <si>
    <t>Г. Смоленск, ул. Тухачевского, д. 3</t>
  </si>
  <si>
    <t>Г. Смоленск, ул. Тухачевского, д. 8</t>
  </si>
  <si>
    <t>Г. Смоленск, ул. Урицкого, д. 4</t>
  </si>
  <si>
    <t>Г. Смоленск, ул. Фурманова, д. 43</t>
  </si>
  <si>
    <t>Г. Смоленск, пер. Хлебозаводской, д. 10</t>
  </si>
  <si>
    <t>Г. Смоленск, просп. Гагарина, д. 6</t>
  </si>
  <si>
    <t>Г. Смоленск, ул. 2-я Киевская, д. 18</t>
  </si>
  <si>
    <t>Г. Смоленск, ул. Бакунина, д. 2а</t>
  </si>
  <si>
    <t>Г. Смоленск, ул. Генерала Лукина, д. 12</t>
  </si>
  <si>
    <t>Г. Смоленск, ул. Генерала Лукина, д. 12а</t>
  </si>
  <si>
    <t>Г. Смоленск, ул. Лавочкина, д. 56</t>
  </si>
  <si>
    <t>Г. Смоленск, ул. Пржевальского, д. 2</t>
  </si>
  <si>
    <t>Г. Смоленск, ул. Тухачевского, д. 10</t>
  </si>
  <si>
    <t>Г. Смоленск, ул. Фаянсовая, д. 13</t>
  </si>
  <si>
    <t>Г. Смоленск, ул. Фрунзе, д. 38</t>
  </si>
  <si>
    <t>Г. Смоленск, ул. Центральная, д. 18/2</t>
  </si>
  <si>
    <t>Г. Смоленск, ул. Черняховского, д. 16а</t>
  </si>
  <si>
    <t>Г. Смоленск, Витебское шоссе, д. 28а</t>
  </si>
  <si>
    <t>Г. Смоленск, Витебское шоссе, д. 36</t>
  </si>
  <si>
    <t>Г. Смоленск, пер. 4-й Слобода-Садки, д. 13</t>
  </si>
  <si>
    <t>Г. Смоленск, пер. Больничный, д. 7</t>
  </si>
  <si>
    <t>Г. Смоленск, ул. Большая Советская, д. 13</t>
  </si>
  <si>
    <t>Г. Смоленск, ул. Гастелло, д. 7/1</t>
  </si>
  <si>
    <t>Г. Смоленск, ул. Дзержинского, д. 15</t>
  </si>
  <si>
    <t>Г. Смоленск, ул. Докучаева, д. 8</t>
  </si>
  <si>
    <t>Г. Смоленск, ул. Лавочкина, д. 50</t>
  </si>
  <si>
    <t>Г. Смоленск, ул. Мало-Краснофлотская, д. 29</t>
  </si>
  <si>
    <t>Г. Смоленск, ул. Марии Октябрьской, д. 4</t>
  </si>
  <si>
    <t>Г. Смоленск, ул. Маршала Жукова, д. 26а</t>
  </si>
  <si>
    <t>Г. Смоленск, ул. Твардовского, д. 9</t>
  </si>
  <si>
    <t>Г. Смоленск, ул. Фаянсовая, д. 15</t>
  </si>
  <si>
    <t>Г. Смоленск, ул. Фрунзе, д. 6</t>
  </si>
  <si>
    <t>Г. Смоленск, ул. Чехова, д. 2</t>
  </si>
  <si>
    <t>Г. Смоленск, Витебское шоссе, д. 1/37</t>
  </si>
  <si>
    <t>Г. Смоленск, Витебское шоссе, д. 56</t>
  </si>
  <si>
    <t>Г. Смоленск, Витебское шоссе, д. 66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</si>
  <si>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</si>
  <si>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</si>
  <si>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</si>
  <si>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4-й Слобода-Садки, д. 26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</si>
  <si>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</si>
  <si>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</si>
  <si>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</si>
  <si>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</si>
  <si>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ул. Минская, д. 15</t>
  </si>
  <si>
    <t>Г. Смоленск, ул. Николаева, д. 4</t>
  </si>
  <si>
    <t>Г. Смоленск, ул. Кирова, д. 26</t>
  </si>
  <si>
    <t>Г. Смоленск, ул. Автозаводская, д. 23</t>
  </si>
  <si>
    <t>Г. Смоленск, пер. Запольный, д. 4</t>
  </si>
  <si>
    <t>Г. Смоленск, ул. Лавочкина, д. 50а</t>
  </si>
  <si>
    <t>Г. Смоленск, пер. Запольный, д. 5а</t>
  </si>
  <si>
    <t>Г. Смоленск, ул. Маршала Жукова, д. 18</t>
  </si>
  <si>
    <t>Г. Смоленск, ул. Маршала Жукова, д. 20</t>
  </si>
  <si>
    <t>Г. Смоленск, пос. Красный Бор, д. 5/220</t>
  </si>
  <si>
    <t>Г. Смоленск, пос. Серебрянка, д. 52</t>
  </si>
  <si>
    <t>Г. Смоленск, ул. 2-я Киевская, д. 13</t>
  </si>
  <si>
    <t>Г. Смоленск, ул. Автозаводская, д. 32а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</si>
  <si>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</si>
  <si>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</si>
  <si>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</si>
  <si>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</si>
  <si>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</si>
  <si>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</si>
  <si>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</si>
  <si>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</si>
  <si>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</si>
  <si>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8/8</t>
  </si>
  <si>
    <t>Г. Смоленск, ул. Гастелло, д. 2</t>
  </si>
  <si>
    <t>Г. Смоленск, ул. Гастелло, д. 5/2</t>
  </si>
  <si>
    <t>Г. Смоленск, ул. Генерала Лукина, д. 10</t>
  </si>
  <si>
    <t>Г. Смоленск, ул. Генерала Лукина, д. 10а</t>
  </si>
  <si>
    <t>Г. Смоленск, ул. Генерала Лукина, д. 6</t>
  </si>
  <si>
    <t>Г. Смоленск, ул. Генерала Лукина, д. 8</t>
  </si>
  <si>
    <t>Г. Смоленск, ул. Губенко, д. 22</t>
  </si>
  <si>
    <t>Г. Смоленск, ул. Дзержинского, д. 22</t>
  </si>
  <si>
    <t>Г. Смоленск, ул. Докучаева, д. 10</t>
  </si>
  <si>
    <t>Г. Смоленск, ул. Карбышева, д. 2</t>
  </si>
  <si>
    <t>Г. Смоленск, ул. Карбышева, д. 4</t>
  </si>
  <si>
    <t>Г. Смоленск, ул. Котовского, д. 11</t>
  </si>
  <si>
    <t>Г. Смоленск, ул. Котовского, д. 5</t>
  </si>
  <si>
    <t>Г. Смоленск, ул. Котовского, д. 9</t>
  </si>
  <si>
    <t>Г. Смоленск, ул. Котовского, д. 9а</t>
  </si>
  <si>
    <t>Г. Смоленск, ул. Крупской, д. 39б</t>
  </si>
  <si>
    <t>Г. Смоленск, ул. Крупской, д. 58</t>
  </si>
  <si>
    <t>Г. Смоленск, ул. Лавочкина, д. 58</t>
  </si>
  <si>
    <t>Г. Смоленск, ул. Ленина, д. 33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</si>
  <si>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</si>
  <si>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</si>
  <si>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</si>
  <si>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Октября, д. 48</t>
  </si>
  <si>
    <t>Г. Смоленск, ул. Парковая, д. 22</t>
  </si>
  <si>
    <t>Г. Смоленск, ул. Пржевальского, д. 10</t>
  </si>
  <si>
    <t>Г. Смоленск, ул. Пролетарская, д. 35</t>
  </si>
  <si>
    <t>Г. Смоленск, ул. Пролетарская, д. 37</t>
  </si>
  <si>
    <t>Г. Смоленск, ул. Реввоенсовета, д. 22</t>
  </si>
  <si>
    <t>Г. Смоленск, ул. Соболева, д. 111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</si>
  <si>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</si>
  <si>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</si>
  <si>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</si>
  <si>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Тухачевского, д. 5</t>
  </si>
  <si>
    <t>Г. Смоленск, ул. Фрунзе, д. 18</t>
  </si>
  <si>
    <t>Г. Смоленск, ул. Фрунзе, д. 34а</t>
  </si>
  <si>
    <t>Г. Смоленск, ул. Фурманова, д. 16</t>
  </si>
  <si>
    <t>Г. Смоленск, ул. Центральная, д. 2</t>
  </si>
  <si>
    <t>Г. Смоленск, ул. Черняховского, д. 10</t>
  </si>
  <si>
    <t>Г. Смоленск, ул. Черняховского, д. 16</t>
  </si>
  <si>
    <t>Г. Смоленск, ул. Черняховского, д. 20</t>
  </si>
  <si>
    <t>Г. Смоленск, ул. Черняховского, д. 20а</t>
  </si>
  <si>
    <t>Г. Смоленск, ул. Черняховского, д. 24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</si>
  <si>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</si>
  <si>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</si>
  <si>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</si>
  <si>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</si>
  <si>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</si>
  <si>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</si>
  <si>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2а</t>
  </si>
  <si>
    <t>Г. Смоленск, ул. Чехова, д. 5</t>
  </si>
  <si>
    <t>Г. Смоленск, ул. Чкалова, д. 11а</t>
  </si>
  <si>
    <t>Г. Смоленск, ул. Чкалова, д. 17</t>
  </si>
  <si>
    <t>Г. Смоленск, Витебское шоссе, д. 6</t>
  </si>
  <si>
    <t>Г. Смоленск, городок Коминтерна, д. 6а</t>
  </si>
  <si>
    <t>Г. Смоленск, городок Коминтерна, д. 8а</t>
  </si>
  <si>
    <t>Г. Смоленск, пер. 3-й Горького, д. 5</t>
  </si>
  <si>
    <t>Г. Смоленск, пер. 4-й Краснофлотский, д. 1</t>
  </si>
  <si>
    <t>Г. Смоленск, пер. 4-й Слобода-Садки, д. 33</t>
  </si>
  <si>
    <t>Г. Смоленск, пер. 4-й Слобода-Садки, д. 39</t>
  </si>
  <si>
    <t>Г. Смоленск, пер. Больничный, д. 2</t>
  </si>
  <si>
    <t>Г. Смоленск, пер. Витебский, д. 3а</t>
  </si>
  <si>
    <t>Г. Смоленск, пер. Смирнова, д. 3</t>
  </si>
  <si>
    <t>Г. Смоленск, пос. 430 км, д. 18</t>
  </si>
  <si>
    <t>Г. Смоленск, пос. Нижняя Дубровенка, д. 5</t>
  </si>
  <si>
    <t>Г. Смоленск, пр. Дзержинского, д. 6</t>
  </si>
  <si>
    <t>Г. Смоленск, просп. Гагарина, д. 13/2</t>
  </si>
  <si>
    <t>Г. Смоленск, просп. Гагарина, д. 29/1</t>
  </si>
  <si>
    <t>Г. Смоленск, просп. Гагарина, д. 3</t>
  </si>
  <si>
    <t>Г. Смоленск, ул. 8 Марта, д. 17</t>
  </si>
  <si>
    <t>Г. Смоленск, ул. Белинского, д. 10</t>
  </si>
  <si>
    <t>Г. Смоленск, ул. Белинского, д. 10а</t>
  </si>
  <si>
    <t>Г. Смоленск, ул. Верхне-Рославльская, д. 15</t>
  </si>
  <si>
    <t>Г. Смоленск, ул. Верхне-Рославльская, д. 22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</si>
  <si>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</si>
  <si>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</si>
  <si>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</si>
  <si>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</si>
  <si>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</si>
  <si>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Высокая, д. 21</t>
  </si>
  <si>
    <t>Г. Смоленск, ул. Генерала Лукина, д. 8а</t>
  </si>
  <si>
    <t>Г. Смоленск, ул. Дзержинского, д. 19а</t>
  </si>
  <si>
    <t>Г. Смоленск, ул. Котовского, д. 13</t>
  </si>
  <si>
    <t>Г. Смоленск, ул. Котовского, д. 3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</si>
  <si>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</si>
  <si>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</si>
  <si>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</si>
  <si>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56</t>
  </si>
  <si>
    <t>Г. Смоленск, ул. Крупской, д. 63/2</t>
  </si>
  <si>
    <t>Г. Смоленск, ул. Кутузова, д. 10а</t>
  </si>
  <si>
    <t>Г. Смоленск, ул. Лавочкина, д. 53</t>
  </si>
  <si>
    <t>Г. Смоленск, ул. Лавочкина, д. 55</t>
  </si>
  <si>
    <t>Г. Смоленск, ул. Лавочкина, д. 57</t>
  </si>
  <si>
    <t>Г. Смоленск, ул. Лавочкина, д. 66а</t>
  </si>
  <si>
    <t>Г. Смоленск, ул. Лавочкина, д. 70</t>
  </si>
  <si>
    <t>Г. Смоленск, ул. Ленина, д. 32</t>
  </si>
  <si>
    <t>Г. Смоленск, ул. Ленина, д. 36</t>
  </si>
  <si>
    <t>Г. Смоленск, ул. Марии Октябрьской, д. 10г</t>
  </si>
  <si>
    <t>Г. Смоленск, ул. Марии Октябрьской, д. 6а</t>
  </si>
  <si>
    <t>Г. Смоленск, ул. Марии Октябрьской, д. 6б</t>
  </si>
  <si>
    <t>Г. Смоленск, ул. Московский Большак, д. 45</t>
  </si>
  <si>
    <t>Г. Смоленск, ул. Московский Большак, д. 51а</t>
  </si>
  <si>
    <t>Г. Смоленск, ул. Московский Большак, д. 55а</t>
  </si>
  <si>
    <t>Г. Смоленск, ул. Нахимсона, д. 16</t>
  </si>
  <si>
    <t>Г. Смоленск, ул. Николаева, д. 17</t>
  </si>
  <si>
    <t>Г. Смоленск, ул. Николаева, д. 22а</t>
  </si>
  <si>
    <t>Г. Смоленск, ул. Николаева, д. 7</t>
  </si>
  <si>
    <t>Г. Смоленск, ул. Ново-Московская, д. 38а</t>
  </si>
  <si>
    <t>Г. Смоленск, ул. Ново-Рославльская, д. 7</t>
  </si>
  <si>
    <t>Г. Смоленск, ул. Папанина, д. 1а</t>
  </si>
  <si>
    <t>Г. Смоленск, ул. Пржевальского, д. 12</t>
  </si>
  <si>
    <t>Г. Смоленск, ул. Пржевальского, д. 8</t>
  </si>
  <si>
    <t>Г. Смоленск, ул. Пригородная, д. 1а</t>
  </si>
  <si>
    <t>Г. Смоленск, ул. Радищева, д. 1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</si>
  <si>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</si>
  <si>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</si>
  <si>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</si>
  <si>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5а</t>
  </si>
  <si>
    <t>Г. Смоленск, ул. Радищева, д. 9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</si>
  <si>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</si>
  <si>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</si>
  <si>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</si>
  <si>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Седова, д. 26а</t>
  </si>
  <si>
    <t>Г. Смоленск, ул. Седова, д. 60</t>
  </si>
  <si>
    <t>Г. Смоленск, ул. Соболева, д. 108</t>
  </si>
  <si>
    <t>Г. Смоленск, ул. Соболева, д. 110</t>
  </si>
  <si>
    <t>Г. Смоленск, ул. Соболева, д. 86</t>
  </si>
  <si>
    <t>Г. Смоленск, ул. Социалистическая, д. 9</t>
  </si>
  <si>
    <t>Г. Смоленск, ул. Станционная, д. 4</t>
  </si>
  <si>
    <t>Г. Смоленск, ул. Урицкого, д. 17</t>
  </si>
  <si>
    <t>Г. Смоленск, ул. Урицкого, д. 3</t>
  </si>
  <si>
    <t>Г. Смоленск, ул. Фрунзе, д. 16</t>
  </si>
  <si>
    <t>Г. Смоленск, ул. Фрунзе, д. 27</t>
  </si>
  <si>
    <t>Г. Смоленск, ул. Фрунзе, д. 29</t>
  </si>
  <si>
    <t>Г. Смоленск, ул. Фрунзе, д. 36а</t>
  </si>
  <si>
    <t>Г. Смоленск, ул. Фрунзе, д. 51</t>
  </si>
  <si>
    <t xml:space="preserve">Г. Смоленск, ул. Центральная, д. 13 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</si>
  <si>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</si>
  <si>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</si>
  <si>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</si>
  <si>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8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</si>
  <si>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</si>
  <si>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</si>
  <si>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</si>
  <si>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18в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</si>
  <si>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</si>
  <si>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</si>
  <si>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</si>
  <si>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24а</t>
  </si>
  <si>
    <t>Г. Смоленск, ул. Черняховского, д. 24б</t>
  </si>
  <si>
    <t>Г. Смоленск, ул. Черняховского, д. 26б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</si>
  <si>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</si>
  <si>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</si>
  <si>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</si>
  <si>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</si>
  <si>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Энгельса, д. 16</t>
  </si>
  <si>
    <t>Г. Смоленск, пер. Витебский, д. 18</t>
  </si>
  <si>
    <t>Г. Смоленск, пер. Станционный, д. 2</t>
  </si>
  <si>
    <t>Г. Смоленск, пер. Старо-Чернушенский, д. 2а</t>
  </si>
  <si>
    <t>Г. Смоленск, пос. 430 км, д. 19</t>
  </si>
  <si>
    <t>Г. Смоленск, пос. Красный Бор, в/ч 83283, д. 6</t>
  </si>
  <si>
    <t>Г. Смоленск, пос. Серебрянка, д. 50б</t>
  </si>
  <si>
    <t>Г. Смоленск, пос. Серебрянка, д. 50в</t>
  </si>
  <si>
    <t>Г. Смоленск, ул. 12 лет Октября, д. 7а</t>
  </si>
  <si>
    <t>Г. Смоленск, ул. 2-я Загорная, д. 16</t>
  </si>
  <si>
    <t>Г. Смоленск, ул. 2-я Киевская, д. 15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</si>
  <si>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</si>
  <si>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</si>
  <si>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</si>
  <si>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</si>
  <si>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</si>
  <si>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</si>
  <si>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</si>
  <si>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</si>
  <si>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</si>
  <si>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</si>
  <si>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</si>
  <si>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</si>
  <si>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</si>
  <si>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</si>
  <si>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Брестская, д. 2</t>
  </si>
  <si>
    <t>Г. Смоленск, ул. Брестская, д. 3</t>
  </si>
  <si>
    <t>Г. Смоленск, ул. Брестская, д. 5</t>
  </si>
  <si>
    <t>Г. Смоленск, ул. Верхне-Рославльская, д. 20</t>
  </si>
  <si>
    <t>Г. Смоленск, ул. Войкова, д. 8а</t>
  </si>
  <si>
    <t>Г. Смоленск, ул. Генерала Лукина, д. 38</t>
  </si>
  <si>
    <t>Г. Смоленск, ул. Генерала Лукина, д. 40</t>
  </si>
  <si>
    <t>Г. Смоленск, ул. Глинки, д. 9</t>
  </si>
  <si>
    <t>Г. Смоленск, ул. Губенко, д. 18</t>
  </si>
  <si>
    <t>Г. Смоленск, ул. Губенко, д. 20</t>
  </si>
  <si>
    <t>Г. Смоленск, ул. Карбышева, д. 6</t>
  </si>
  <si>
    <t>Г. Смоленск, ул. Кирова, д. 1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</si>
  <si>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</si>
  <si>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</si>
  <si>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</si>
  <si>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</si>
  <si>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</si>
  <si>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</si>
  <si>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</si>
  <si>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Коммунистическая, д. 22</t>
  </si>
  <si>
    <t>Г. Смоленск, ул. Котовского, д. 1</t>
  </si>
  <si>
    <t>Г. Смоленск, ул. Котовского, д. 11а</t>
  </si>
  <si>
    <t>Г. Смоленск, ул. Котовского, д. 3а</t>
  </si>
  <si>
    <t>Г. Смоленск, ул. Лавочкина, д. 54</t>
  </si>
  <si>
    <t>Г. Смоленск, ул. Лавочкина, д. 61/2</t>
  </si>
  <si>
    <t>Г. Смоленск, ул. Ленина, д. 26</t>
  </si>
  <si>
    <t>Г. Смоленск, ул. Мало-Краснофлотская, д. 69а</t>
  </si>
  <si>
    <t>Г. Смоленск, ул. Марии Октябрьской, д. 6в</t>
  </si>
  <si>
    <t>Г. Смоленск, ул. Матросова, д. 20</t>
  </si>
  <si>
    <t>Г. Смоленск, ул. Минская, д. 5</t>
  </si>
  <si>
    <t>Г. Смоленск, ул. Минская, д. 7</t>
  </si>
  <si>
    <t>Г. Смоленск, ул. Московский Большак, д. 22</t>
  </si>
  <si>
    <t>Г. Смоленск, ул. Московское шоссе, д. 140</t>
  </si>
  <si>
    <t>Г. Смоленск, ул. Николаева, д. 15</t>
  </si>
  <si>
    <t>Г. Смоленск, ул. Николаева, д. 9</t>
  </si>
  <si>
    <t>Г. Смоленск, ул. Октябрьской революции, д. 7</t>
  </si>
  <si>
    <t>Г. Смоленск, ул. Парковая, д. 24</t>
  </si>
  <si>
    <t>Г. Смоленск, ул. Пролетарская, д. 13а</t>
  </si>
  <si>
    <t>Г. Смоленск, ул. Радищева, д. 11</t>
  </si>
  <si>
    <t>Г. Смоленск, ул. Радищева, д. 11а</t>
  </si>
  <si>
    <t>Г. Смоленск, ул. Седова, д. 54а</t>
  </si>
  <si>
    <t>Г. Смоленск, ул. Смоленская, д. 16</t>
  </si>
  <si>
    <t>Г. Смоленск, ул. Соболева, д. 107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</si>
  <si>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</si>
  <si>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</si>
  <si>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</si>
  <si>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94</t>
  </si>
  <si>
    <t>Г. Смоленск, ул. Твардовского, д. 5/11</t>
  </si>
  <si>
    <t>Г. Смоленск, ул. Урицкого, д. 15</t>
  </si>
  <si>
    <t>Г. Смоленск, ул. Урицкого, д. 6</t>
  </si>
  <si>
    <t>Г. Смоленск, ул. Урицкого, д. 8</t>
  </si>
  <si>
    <t>Г. Смоленск, ул. Фрунзе, д. 31</t>
  </si>
  <si>
    <t>Г. Смоленск, ул. Фрунзе, д. 34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</si>
  <si>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</si>
  <si>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</si>
  <si>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</si>
  <si>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</si>
  <si>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8а</t>
  </si>
  <si>
    <t>Г. Смоленск, ул. Черняховского, д. 18</t>
  </si>
  <si>
    <t>Г. Смоленск, ул. Черняховского, д. 18а</t>
  </si>
  <si>
    <t>Г. Смоленск, ул. Черняховского, д. 22в</t>
  </si>
  <si>
    <t>Г. Смоленск, ул. Черняховского, д. 23</t>
  </si>
  <si>
    <t>Г. Смоленск, ул. Шевченко, д. 78</t>
  </si>
  <si>
    <t>Г. Смоленск, ул. Щорса, д. 14а</t>
  </si>
  <si>
    <t>Г. Смоленск, бульвар Гагарина, д. 6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</si>
  <si>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</si>
  <si>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</si>
  <si>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</si>
  <si>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4-й Слобода-Садки, д. 35</t>
  </si>
  <si>
    <t>Г. Смоленск, пер. Запольный, д. 1</t>
  </si>
  <si>
    <t>Г. Смоленск, пер. Запольный, д. 3</t>
  </si>
  <si>
    <t>Г. Смоленск, пер. Ново-Чернушенский, д. 2</t>
  </si>
  <si>
    <t>Г. Смоленск, пер. Станционный, д. 4</t>
  </si>
  <si>
    <t>Г. Смоленск, пер. Хлебозаводской, д. 18</t>
  </si>
  <si>
    <t>Г. Смоленск, пос. Гедеоновка, д. 12</t>
  </si>
  <si>
    <t>Г. Смоленск, пос. Гедеоновка, д. 13</t>
  </si>
  <si>
    <t>Г. Смоленск, пос. Красный Бор, в/ч 83283, д. 3</t>
  </si>
  <si>
    <t>Г. Смоленск, пос. Красный Бор, в/ч 83283, д. 4</t>
  </si>
  <si>
    <t>Г. Смоленск, пос. Серебрянка, д. 68а</t>
  </si>
  <si>
    <t>Г. Смоленск, ул. 4-я Загорная, д. 9</t>
  </si>
  <si>
    <t>Г. Смоленск, ул. Багратиона, д. 12/13</t>
  </si>
  <si>
    <t>Г. Смоленск, ул. Белинского, д. 7</t>
  </si>
  <si>
    <t>Г. Смоленск, ул. Брестская, д. 1</t>
  </si>
  <si>
    <t>Г. Смоленск, ул. Воробьева, д. 36</t>
  </si>
  <si>
    <t>Г. Смоленск, ул. Гастелло, д. 12</t>
  </si>
  <si>
    <t>Г. Смоленск, ул. Гастелло, д. 20</t>
  </si>
  <si>
    <t>Г. Смоленск, ул. Генерала Городнянского, д. 3</t>
  </si>
  <si>
    <t>Г. Смоленск, ул. Герцена, д. 13</t>
  </si>
  <si>
    <t>Г. Смоленск, ул. Госпитальная, д. 31</t>
  </si>
  <si>
    <t>Г. Смоленск, ул. Дзержинского, д. 2а</t>
  </si>
  <si>
    <t>Г. Смоленск, ул. Докучаева, д. 11</t>
  </si>
  <si>
    <t>Г. Смоленск, ул. Докучаева, д. 6</t>
  </si>
  <si>
    <t>Г. Смоленск, ул. Кирова, д. 2/57</t>
  </si>
  <si>
    <t>Г. Смоленск, ул. Кирова, д. 29</t>
  </si>
  <si>
    <t>Г. Смоленск, ул. Кирова, д. 2а</t>
  </si>
  <si>
    <t>Г. Смоленск, ул. Козлова, д. 5</t>
  </si>
  <si>
    <t>Г. Смоленск, ул. Коненкова, д. 8</t>
  </si>
  <si>
    <t>Г. Смоленск, ул. Котовского, д. 7</t>
  </si>
  <si>
    <t>Г. Смоленск, ул. Крупской, д. 43/2</t>
  </si>
  <si>
    <t>Г. Смоленск, ул. Кутузова, д. 6</t>
  </si>
  <si>
    <t>Г. Смоленск, ул. Ленина, д. 30</t>
  </si>
  <si>
    <t>Г. Смоленск, ул. Ленина, д. 38</t>
  </si>
  <si>
    <t>Г. Смоленск, ул. Ломоносова, д. 3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</si>
  <si>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</si>
  <si>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</si>
  <si>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</si>
  <si>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Московский Большак, д. 47</t>
  </si>
  <si>
    <t>Г. Смоленск, ул. Нахимова, д. 11</t>
  </si>
  <si>
    <t>Г. Смоленск, ул. Николаева, д. 51</t>
  </si>
  <si>
    <t>Г. Смоленск, ул. Николаева, д. 61/38</t>
  </si>
  <si>
    <t>Г. Смоленск, ул. Папанина, д. 12а</t>
  </si>
  <si>
    <t>Г. Смоленск, ул. Попова, д. 4</t>
  </si>
  <si>
    <t>Г. Смоленск, ул. Рабочая, д. 5</t>
  </si>
  <si>
    <t>Г. Смоленск, ул. Раевского, д. 1</t>
  </si>
  <si>
    <t>Г. Смоленск, ул. Раевского, д. 3</t>
  </si>
  <si>
    <t>Г. Смоленск, ул. Реввоенсовета, д. 20</t>
  </si>
  <si>
    <t>Г. Смоленск, ул. Седова, д. 31а</t>
  </si>
  <si>
    <t>Г. Смоленск, ул. Седова, д. 56</t>
  </si>
  <si>
    <t>Г. Смоленск, ул. Седова, д. 56а</t>
  </si>
  <si>
    <t>Г. Смоленск, ул. Соболева, д. 84</t>
  </si>
  <si>
    <t>Г. Смоленск, ул. Социалистическая, д. 2а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</si>
  <si>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</si>
  <si>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</si>
  <si>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</si>
  <si>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Воробьева, д. 15</t>
  </si>
  <si>
    <t>Г. Смоленск, ул. Крупской, д. 65</t>
  </si>
  <si>
    <t>Г. Смоленск, ул. Октябрьской революции, д. 18</t>
  </si>
  <si>
    <t>Г. Смоленск, ул. Багратиона, д. 57б</t>
  </si>
  <si>
    <t>Г. Смоленск, ул. Николаева, д. 52</t>
  </si>
  <si>
    <t>Итого по Демидовскому городскому поселению Демидовского района Смоленской области</t>
  </si>
  <si>
    <t>С. Первомайский, ул. Советская, д. 6</t>
  </si>
  <si>
    <t>Дер. Мощинки, ул. Садовая, д. 5</t>
  </si>
  <si>
    <t>Дер. Мощинки, ул. Садовая, д. 7</t>
  </si>
  <si>
    <t>Г. Рославль, пос. ТЭЦ, д. 4</t>
  </si>
  <si>
    <t>1.</t>
  </si>
  <si>
    <t>2.</t>
  </si>
  <si>
    <t>298.</t>
  </si>
  <si>
    <t>299.</t>
  </si>
  <si>
    <t>300.</t>
  </si>
  <si>
    <t>301.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</si>
  <si>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</si>
  <si>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</si>
  <si>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</si>
  <si>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</si>
  <si>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</si>
  <si>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</si>
  <si>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</si>
  <si>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</si>
  <si>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</si>
  <si>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</si>
  <si>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</si>
  <si>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</si>
  <si>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</si>
  <si>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</si>
  <si>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</si>
  <si>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</si>
  <si>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</si>
  <si>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</si>
  <si>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</si>
  <si>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</si>
  <si>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</si>
  <si>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</si>
  <si>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</si>
  <si>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</si>
  <si>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</si>
  <si>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</si>
  <si>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331.</t>
  </si>
  <si>
    <t>332.</t>
  </si>
  <si>
    <t>333.</t>
  </si>
  <si>
    <t>334.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</si>
  <si>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</si>
  <si>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</si>
  <si>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</si>
  <si>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</si>
  <si>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</si>
  <si>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</si>
  <si>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</si>
  <si>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</si>
  <si>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</si>
  <si>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</si>
  <si>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</si>
  <si>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</si>
  <si>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</si>
  <si>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</si>
  <si>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</si>
  <si>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</si>
  <si>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</si>
  <si>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</si>
  <si>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</si>
  <si>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</si>
  <si>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</si>
  <si>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</si>
  <si>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</si>
  <si>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</si>
  <si>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</si>
  <si>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</si>
  <si>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</si>
  <si>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</si>
  <si>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</si>
  <si>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</si>
  <si>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</si>
  <si>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</si>
  <si>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</si>
  <si>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</si>
  <si>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</si>
  <si>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</si>
  <si>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</si>
  <si>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</si>
  <si>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</si>
  <si>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</si>
  <si>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</si>
  <si>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</si>
  <si>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</si>
  <si>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</si>
  <si>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</si>
  <si>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</si>
  <si>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</si>
  <si>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</si>
  <si>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</si>
  <si>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</si>
  <si>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</si>
  <si>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</si>
  <si>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</si>
  <si>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</si>
  <si>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</si>
  <si>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</si>
  <si>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</si>
  <si>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</si>
  <si>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</si>
  <si>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</si>
  <si>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</si>
  <si>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</si>
  <si>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</si>
  <si>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</si>
  <si>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</si>
  <si>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</si>
  <si>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</si>
  <si>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</si>
  <si>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</si>
  <si>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</si>
  <si>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</si>
  <si>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</si>
  <si>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</si>
  <si>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</si>
  <si>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</si>
  <si>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</si>
  <si>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</si>
  <si>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</si>
  <si>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</si>
  <si>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</si>
  <si>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</si>
  <si>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</si>
  <si>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</si>
  <si>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</si>
  <si>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</si>
  <si>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</si>
  <si>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</si>
  <si>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</si>
  <si>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</si>
  <si>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</si>
  <si>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</si>
  <si>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580.</t>
  </si>
  <si>
    <t>581.</t>
  </si>
  <si>
    <t>582.</t>
  </si>
  <si>
    <t>583.</t>
  </si>
  <si>
    <t>584.</t>
  </si>
  <si>
    <t>585.</t>
  </si>
  <si>
    <t>586.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</si>
  <si>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</si>
  <si>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</si>
  <si>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</si>
  <si>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</si>
  <si>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</si>
  <si>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</si>
  <si>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</si>
  <si>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</si>
  <si>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</si>
  <si>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</si>
  <si>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</si>
  <si>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</si>
  <si>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</si>
  <si>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</si>
  <si>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</si>
  <si>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</si>
  <si>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</si>
  <si>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</si>
  <si>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</si>
  <si>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</si>
  <si>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</si>
  <si>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</si>
  <si>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</si>
  <si>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</si>
  <si>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</si>
  <si>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</si>
  <si>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</si>
  <si>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</si>
  <si>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</si>
  <si>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</si>
  <si>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</si>
  <si>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</si>
  <si>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</si>
  <si>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</si>
  <si>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</si>
  <si>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</si>
  <si>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</si>
  <si>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</si>
  <si>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</si>
  <si>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</si>
  <si>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</si>
  <si>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</si>
  <si>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</si>
  <si>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</si>
  <si>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</si>
  <si>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</si>
  <si>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</si>
  <si>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</si>
  <si>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</si>
  <si>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</si>
  <si>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</si>
  <si>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</si>
  <si>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</si>
  <si>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</si>
  <si>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</si>
  <si>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</si>
  <si>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</si>
  <si>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</si>
  <si>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</si>
  <si>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</si>
  <si>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</si>
  <si>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651.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</si>
  <si>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</si>
  <si>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</si>
  <si>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</si>
  <si>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</si>
  <si>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</si>
  <si>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</si>
  <si>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</si>
  <si>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</si>
  <si>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</si>
  <si>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</si>
  <si>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</si>
  <si>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</si>
  <si>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</si>
  <si>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</si>
  <si>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</si>
  <si>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</si>
  <si>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</si>
  <si>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671.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</si>
  <si>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</si>
  <si>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</si>
  <si>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</si>
  <si>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</si>
  <si>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</si>
  <si>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</si>
  <si>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</si>
  <si>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</si>
  <si>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</si>
  <si>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</si>
  <si>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</si>
  <si>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</si>
  <si>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</si>
  <si>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</si>
  <si>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</si>
  <si>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</si>
  <si>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</si>
  <si>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</si>
  <si>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</si>
  <si>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</si>
  <si>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</si>
  <si>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</si>
  <si>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</si>
  <si>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</si>
  <si>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</si>
  <si>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</si>
  <si>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</si>
  <si>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</si>
  <si>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</si>
  <si>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</si>
  <si>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</si>
  <si>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</si>
  <si>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</si>
  <si>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</si>
  <si>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</si>
  <si>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</si>
  <si>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</si>
  <si>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</si>
  <si>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</si>
  <si>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</si>
  <si>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</si>
  <si>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</si>
  <si>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</si>
  <si>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</si>
  <si>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719.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</si>
  <si>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</si>
  <si>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</si>
  <si>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</si>
  <si>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</si>
  <si>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</si>
  <si>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</si>
  <si>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</si>
  <si>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</si>
  <si>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</si>
  <si>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</si>
  <si>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</si>
  <si>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</si>
  <si>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</si>
  <si>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</si>
  <si>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</si>
  <si>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</si>
  <si>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</si>
  <si>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</si>
  <si>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</si>
  <si>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</si>
  <si>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</si>
  <si>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</si>
  <si>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</si>
  <si>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</si>
  <si>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</si>
  <si>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</si>
  <si>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</si>
  <si>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</si>
  <si>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</si>
  <si>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</si>
  <si>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</si>
  <si>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</si>
  <si>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</si>
  <si>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</si>
  <si>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</si>
  <si>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</si>
  <si>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</si>
  <si>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</si>
  <si>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</si>
  <si>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</si>
  <si>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</si>
  <si>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</si>
  <si>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</si>
  <si>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</si>
  <si>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</si>
  <si>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</si>
  <si>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</si>
  <si>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</si>
  <si>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</si>
  <si>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</si>
  <si>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</si>
  <si>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</si>
  <si>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</si>
  <si>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</si>
  <si>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777.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</si>
  <si>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</si>
  <si>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</si>
  <si>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</si>
  <si>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</si>
  <si>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</si>
  <si>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</si>
  <si>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</si>
  <si>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</si>
  <si>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</si>
  <si>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</si>
  <si>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</si>
  <si>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</si>
  <si>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</si>
  <si>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</si>
  <si>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</si>
  <si>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</si>
  <si>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</si>
  <si>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</si>
  <si>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</si>
  <si>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</si>
  <si>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</si>
  <si>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</si>
  <si>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</si>
  <si>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</si>
  <si>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</si>
  <si>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</si>
  <si>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</si>
  <si>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</si>
  <si>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</si>
  <si>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</si>
  <si>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</si>
  <si>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</si>
  <si>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</si>
  <si>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</si>
  <si>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</si>
  <si>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</si>
  <si>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</si>
  <si>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</si>
  <si>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</si>
  <si>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</si>
  <si>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</si>
  <si>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</si>
  <si>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</si>
  <si>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</si>
  <si>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</si>
  <si>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</si>
  <si>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</si>
  <si>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</si>
  <si>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829.</t>
  </si>
  <si>
    <t>Итого по муниципальному образованию «город Десногорск» Смоленской области</t>
  </si>
  <si>
    <t>Г. Десногорск, мкрн. 1, д. 2</t>
  </si>
  <si>
    <t>830.</t>
  </si>
  <si>
    <t>Итого по Андрейковскому сельскому поселению Вяземского района Смоленской области</t>
  </si>
  <si>
    <t>Итого по Знаменскому сельскому поселению Угранского района Смоленской области</t>
  </si>
  <si>
    <t>Итого по Угранскому сельскому поселению Угранского района Смоленской области</t>
  </si>
  <si>
    <t>Г. Смоленск, ул. Молодежная, д. 16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</si>
  <si>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</si>
  <si>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</si>
  <si>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</si>
  <si>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</si>
  <si>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</si>
  <si>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</si>
  <si>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</si>
  <si>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</si>
  <si>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</si>
  <si>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</si>
  <si>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</si>
  <si>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</si>
  <si>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</si>
  <si>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</si>
  <si>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</si>
  <si>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</si>
  <si>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</si>
  <si>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</si>
  <si>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</si>
  <si>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</si>
  <si>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</si>
  <si>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</si>
  <si>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</si>
  <si>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</si>
  <si>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</si>
  <si>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</si>
  <si>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</si>
  <si>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</si>
  <si>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</si>
  <si>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</si>
  <si>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</si>
  <si>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</si>
  <si>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</si>
  <si>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</si>
  <si>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</si>
  <si>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</si>
  <si>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</si>
  <si>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</si>
  <si>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</si>
  <si>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</si>
  <si>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</si>
  <si>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</si>
  <si>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</si>
  <si>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</si>
  <si>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</si>
  <si>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</si>
  <si>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</si>
  <si>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</si>
  <si>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</si>
  <si>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</si>
  <si>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</si>
  <si>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</si>
  <si>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398.</t>
  </si>
  <si>
    <t>399.</t>
  </si>
  <si>
    <t>400.</t>
  </si>
  <si>
    <t>401.</t>
  </si>
  <si>
    <t>402.</t>
  </si>
  <si>
    <t>403.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</si>
  <si>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</si>
  <si>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</si>
  <si>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</si>
  <si>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</si>
  <si>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</si>
  <si>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</si>
  <si>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</si>
  <si>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</si>
  <si>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</si>
  <si>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</si>
  <si>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</si>
  <si>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</si>
  <si>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</si>
  <si>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</si>
  <si>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</si>
  <si>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</si>
  <si>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</si>
  <si>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</si>
  <si>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</si>
  <si>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</si>
  <si>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</si>
  <si>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</si>
  <si>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</si>
  <si>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</si>
  <si>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</si>
  <si>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</si>
  <si>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</si>
  <si>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</si>
  <si>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</si>
  <si>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</si>
  <si>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</si>
  <si>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</si>
  <si>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</si>
  <si>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</si>
  <si>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</si>
  <si>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</si>
  <si>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</si>
  <si>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</si>
  <si>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</si>
  <si>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</si>
  <si>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</si>
  <si>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</si>
  <si>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</si>
  <si>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</si>
  <si>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</si>
  <si>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</si>
  <si>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</si>
  <si>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</si>
  <si>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</si>
  <si>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</si>
  <si>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</si>
  <si>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</si>
  <si>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</si>
  <si>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</si>
  <si>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</si>
  <si>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</si>
  <si>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</si>
  <si>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</si>
  <si>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</si>
  <si>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</si>
  <si>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</si>
  <si>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</si>
  <si>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</si>
  <si>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</si>
  <si>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</si>
  <si>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</si>
  <si>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</si>
  <si>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</si>
  <si>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</si>
  <si>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</si>
  <si>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</si>
  <si>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</si>
  <si>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</si>
  <si>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</si>
  <si>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</si>
  <si>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</si>
  <si>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</si>
  <si>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</si>
  <si>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</si>
  <si>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</si>
  <si>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</si>
  <si>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</si>
  <si>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493.</t>
  </si>
  <si>
    <t>494.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</si>
  <si>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</si>
  <si>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</si>
  <si>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</si>
  <si>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</si>
  <si>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</si>
  <si>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</si>
  <si>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</si>
  <si>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</si>
  <si>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</si>
  <si>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</si>
  <si>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</si>
  <si>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</si>
  <si>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</si>
  <si>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</si>
  <si>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</si>
  <si>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</si>
  <si>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</si>
  <si>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</si>
  <si>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555.</t>
  </si>
  <si>
    <t>587.</t>
  </si>
  <si>
    <t>828.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</si>
  <si>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</si>
  <si>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</si>
  <si>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</si>
  <si>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</si>
  <si>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</si>
  <si>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</si>
  <si>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</si>
  <si>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</si>
  <si>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</si>
  <si>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</si>
  <si>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</si>
  <si>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</si>
  <si>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</si>
  <si>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</si>
  <si>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</si>
  <si>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</si>
  <si>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</si>
  <si>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</si>
  <si>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</si>
  <si>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</si>
  <si>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</si>
  <si>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Ползунова, д. 23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</si>
  <si>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</si>
  <si>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</si>
  <si>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</si>
  <si>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</si>
  <si>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Дер. Березино, ул. Центральная, д. 10</t>
  </si>
  <si>
    <t>Дер. Лонница, ул. Мира, д. 5</t>
  </si>
  <si>
    <t>Г. Смоленск, городок Коминтерна, д. 3</t>
  </si>
  <si>
    <t>Г. Смоленск, ул. Нахимова, д. 20</t>
  </si>
  <si>
    <t xml:space="preserve">Г. Ярцево, ул. Ленинская, д. 2 </t>
  </si>
  <si>
    <t>Г. Смоленск, ул. Чапаева, д. 4</t>
  </si>
  <si>
    <t>Итого по Воргинскому сельскому поселению Ершичского района Смоленской области</t>
  </si>
  <si>
    <t>С. Ворга, пер. Первомайский, д. 2</t>
  </si>
  <si>
    <t>Г. Смоленск, ул. Ново-Рославльская, д. 4</t>
  </si>
  <si>
    <t>Дер. Новые Батеки, ул. Школьная, д. 18</t>
  </si>
  <si>
    <t>Дер. Новые Батеки, ул. Школьная, д. 15</t>
  </si>
  <si>
    <t>Дер. Новые Батеки, ул. Школьная, д. 13</t>
  </si>
  <si>
    <t>Дер. Новые Батеки, ул. Школьная, д. 11</t>
  </si>
  <si>
    <t>Г. Вязьма, ул. Ленина, д. 6</t>
  </si>
  <si>
    <t xml:space="preserve">Г. Смоленск, ул. Реввоенсовета, д. 17 </t>
  </si>
  <si>
    <t xml:space="preserve">Г. Смоленск, ул. Нахимсона, д. 5 </t>
  </si>
  <si>
    <t xml:space="preserve">Г. Смоленск, ул. Исаковского, д. 18 </t>
  </si>
  <si>
    <t xml:space="preserve">Г. Смоленск, ул. Ленина, д. 31/19 </t>
  </si>
  <si>
    <t xml:space="preserve">Г. Смоленск, городок Коминтерна, д. 13 </t>
  </si>
  <si>
    <t xml:space="preserve">Г. Смоленск, городок Коминтерна, д. 14 </t>
  </si>
  <si>
    <t xml:space="preserve">Г. Смоленск, городок Коминтерна, д. 15 </t>
  </si>
  <si>
    <t xml:space="preserve">Г. Смоленск, ул. Маршала Жукова, д. 27 </t>
  </si>
  <si>
    <t xml:space="preserve">Г. Рославль, ул. Ленина, д. 5 </t>
  </si>
  <si>
    <t>Г. Смоленск, ул. Карла Маркса, д. 12а</t>
  </si>
  <si>
    <t xml:space="preserve">Г. Смоленск, ул. Соболева, д. 30 </t>
  </si>
  <si>
    <t>Г. Смоленск, ул. Твардовского, д. 16</t>
  </si>
  <si>
    <t xml:space="preserve">Г. Смоленск, ул. Тенишевой, д. 6 </t>
  </si>
  <si>
    <t xml:space="preserve">Г. Ярцево, ул. Чернышевского, д. 8 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</si>
  <si>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</si>
  <si>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</si>
  <si>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</si>
  <si>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</si>
  <si>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</si>
  <si>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</si>
  <si>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</si>
  <si>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</si>
  <si>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</si>
  <si>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</si>
  <si>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</si>
  <si>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</si>
  <si>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</si>
  <si>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</si>
  <si>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Пос. Красный, ул. Глинки, д. 5</t>
  </si>
  <si>
    <t>Пос. Монастырщина, территория Сельхозтехника, 
д. 10</t>
  </si>
  <si>
    <t>Г. Ярцево, ул. Гагарина, д. 23</t>
  </si>
  <si>
    <t>Г. Ярцево, ул. Первомайская, д. 24</t>
  </si>
  <si>
    <t>Г. Смоленск, ул. Бакунина, д. 2</t>
  </si>
  <si>
    <t xml:space="preserve">Итого по Татарскому сельскому поселению Монастырщинского района Смоленской области </t>
  </si>
  <si>
    <t>Дер. Татарск, д. 112</t>
  </si>
  <si>
    <t>Г. Смоленск, ул. Центральная, д. 22</t>
  </si>
  <si>
    <t>Г. Смоленск, ул. Колхозная, д. 14</t>
  </si>
  <si>
    <t>Г. Рославль, мкрн. 17, д. 9</t>
  </si>
  <si>
    <t>Итого по Пречистенскому сельскому поселению Духовщинского района Смоленской области</t>
  </si>
  <si>
    <t xml:space="preserve">С. Пречистое, пер. 2-й Октябрьский, д. 1 </t>
  </si>
  <si>
    <t>Итого по Гагаринскому сельскому поселению Гагаринского района Смоленской области</t>
  </si>
  <si>
    <t>Дер. Клушино, ул. Молодежная, д. 8</t>
  </si>
  <si>
    <t>Г. Смоленск, ул. 2-я линия Красноармейской слободы, д. 5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</si>
  <si>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</si>
  <si>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</si>
  <si>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</si>
  <si>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</si>
  <si>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335.</t>
  </si>
  <si>
    <t>404.</t>
  </si>
  <si>
    <t>527.</t>
  </si>
  <si>
    <t>528.</t>
  </si>
  <si>
    <t>579.</t>
  </si>
  <si>
    <t>670.</t>
  </si>
  <si>
    <t>778.</t>
  </si>
  <si>
    <t>779.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</si>
  <si>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</si>
  <si>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</si>
  <si>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</si>
  <si>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</si>
  <si>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</si>
  <si>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</si>
  <si>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</si>
  <si>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</si>
  <si>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</si>
  <si>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</si>
  <si>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</si>
  <si>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</si>
  <si>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</si>
  <si>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</si>
  <si>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</si>
  <si>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</si>
  <si>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</si>
  <si>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</si>
  <si>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</si>
  <si>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</si>
  <si>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</si>
  <si>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</si>
  <si>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</si>
  <si>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</si>
  <si>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</si>
  <si>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</si>
  <si>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</si>
  <si>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</si>
  <si>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</si>
  <si>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</si>
  <si>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</si>
  <si>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</si>
  <si>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</si>
  <si>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</si>
  <si>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</si>
  <si>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</si>
  <si>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</si>
  <si>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</si>
  <si>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</si>
  <si>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</si>
  <si>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</si>
  <si>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</si>
  <si>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</si>
  <si>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</si>
  <si>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</si>
  <si>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</si>
  <si>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</si>
  <si>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</si>
  <si>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</si>
  <si>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</si>
  <si>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</si>
  <si>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</si>
  <si>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</si>
  <si>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</si>
  <si>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</si>
  <si>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</si>
  <si>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</si>
  <si>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</si>
  <si>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</si>
  <si>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</si>
  <si>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</si>
  <si>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</si>
  <si>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</si>
  <si>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</si>
  <si>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</si>
  <si>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</si>
  <si>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</si>
  <si>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</si>
  <si>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</si>
  <si>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</si>
  <si>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</si>
  <si>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</si>
  <si>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</si>
  <si>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</si>
  <si>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</si>
  <si>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</si>
  <si>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</si>
  <si>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</si>
  <si>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</si>
  <si>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</si>
  <si>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</si>
  <si>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</si>
  <si>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</si>
  <si>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</si>
  <si>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</si>
  <si>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</si>
  <si>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</si>
  <si>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</si>
  <si>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</si>
  <si>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</si>
  <si>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</si>
  <si>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</si>
  <si>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</si>
  <si>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</si>
  <si>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</si>
  <si>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</si>
  <si>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</si>
  <si>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</si>
  <si>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</si>
  <si>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</si>
  <si>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</si>
  <si>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</si>
  <si>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</si>
  <si>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</si>
  <si>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</si>
  <si>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</si>
  <si>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</si>
  <si>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</si>
  <si>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</si>
  <si>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ремонт, замена, модернизация лифтов, ремонт лифтовых шахт, машинных и блочных помещений</t>
  </si>
  <si>
    <t xml:space="preserve"> холодного водоснабжения</t>
  </si>
  <si>
    <t xml:space="preserve"> горячего водоснабжения</t>
  </si>
  <si>
    <t>водоотведения</t>
  </si>
  <si>
    <t>газоснабжения</t>
  </si>
  <si>
    <t>всего</t>
  </si>
  <si>
    <t>ремонт внутридомовых инженерных систем</t>
  </si>
  <si>
    <t>Г. Сафоново, ул. Гастелло, д. 15</t>
  </si>
  <si>
    <t>С. Остер, ул. Строителей, д. 2</t>
  </si>
  <si>
    <t>С. Остер, ул. Строителей, д. 4</t>
  </si>
  <si>
    <t>Г. Смоленск, ул. Октябрьской революции, д. 40</t>
  </si>
  <si>
    <t>Итого по Булгаковскому сельскому поселению Духовщинского района Смоленской области</t>
  </si>
  <si>
    <t>Дер. Большое Береснево, ул. Лесная, д. 5</t>
  </si>
  <si>
    <t>Итого по Озерненскому городскому поселению Духовщинского района Смоленской области</t>
  </si>
  <si>
    <t>Пос. Озерный, ул. Ленина, д. 3/3</t>
  </si>
  <si>
    <t>Пос. Озерный, ул. Строителей, д. 12/5</t>
  </si>
  <si>
    <t>Пос. Озерный, ул. Строителей, д. 24</t>
  </si>
  <si>
    <t>Пос. Кардымово, ул. Каменка, д. 13</t>
  </si>
  <si>
    <t>Итого по Корохоткинскому сельскому поселению Смоленского района Смоленской области</t>
  </si>
  <si>
    <t>Пос. Гедеоновка, ул. Полевая, д. 3</t>
  </si>
  <si>
    <t>Г. Сафоново, ул. 40 лет Октября, д. 10</t>
  </si>
  <si>
    <t>Итого по Каменскому сельскому поселению Кардымовского района Смоленской области</t>
  </si>
  <si>
    <t>Итого по Тюшинскому сельскому поселению Кардымовского района Смоленской области</t>
  </si>
  <si>
    <t>Итого по Козинскому сельскому поселению Смоленского района Смоленской области</t>
  </si>
  <si>
    <t>Дер. Богородицкое, ул. Викторова, д. 27</t>
  </si>
  <si>
    <t>Пос. Верхнеднепровский, ул. Комсомольская, д. 27</t>
  </si>
  <si>
    <t>Пос. Шумячи, ул. Садовая, д. 41а</t>
  </si>
  <si>
    <t>Г. Дорогобуж, ул. Мира, д. 38</t>
  </si>
  <si>
    <t>электроснабжения</t>
  </si>
  <si>
    <t>теплоснабжения</t>
  </si>
  <si>
    <t>Итого по Игоревскому сельскому поселению Холм-Жирковского района Смоленской области</t>
  </si>
  <si>
    <t>Ст. Игоревская, ул. Южная, д. 7</t>
  </si>
  <si>
    <t>330.</t>
  </si>
  <si>
    <t>492.</t>
  </si>
  <si>
    <t>495.</t>
  </si>
  <si>
    <t>694.</t>
  </si>
  <si>
    <t>765.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</si>
  <si>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</si>
  <si>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</si>
  <si>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Г. Смоленск, ул. Валентины Гризодубовой, д. 1</t>
  </si>
  <si>
    <t>423.</t>
  </si>
  <si>
    <t>424.</t>
  </si>
  <si>
    <t>425.</t>
  </si>
  <si>
    <t>426.</t>
  </si>
  <si>
    <t>427.</t>
  </si>
  <si>
    <t>556.</t>
  </si>
  <si>
    <t>606.</t>
  </si>
  <si>
    <t>652.</t>
  </si>
  <si>
    <t>903.</t>
  </si>
  <si>
    <t>С. Лесное, ул. Центральная, д. 14</t>
  </si>
  <si>
    <t>Дер. Михейково, ул. Юбилейная, д. 3</t>
  </si>
  <si>
    <t>Дер. Суетово, ул. Магистральная, д. 10</t>
  </si>
  <si>
    <t>Итого по Капыревщинскому сельскому поселению Ярцевского района Смоленской области</t>
  </si>
  <si>
    <t>Дер. Капыревщина, ул. Славы, д. 8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</si>
  <si>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</si>
  <si>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</si>
  <si>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</si>
  <si>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</si>
  <si>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</si>
  <si>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</si>
  <si>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</si>
  <si>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</si>
  <si>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</si>
  <si>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</si>
  <si>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</si>
  <si>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</si>
  <si>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</si>
  <si>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</si>
  <si>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</si>
  <si>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</si>
  <si>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</si>
  <si>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</si>
  <si>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</si>
  <si>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</si>
  <si>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</si>
  <si>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</si>
  <si>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</si>
  <si>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</si>
  <si>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</si>
  <si>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</si>
  <si>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</si>
  <si>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</si>
  <si>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</si>
  <si>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</si>
  <si>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</si>
  <si>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</si>
  <si>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</si>
  <si>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</si>
  <si>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</si>
  <si>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</si>
  <si>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</si>
  <si>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</si>
  <si>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</si>
  <si>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</si>
  <si>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</si>
  <si>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</si>
  <si>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</si>
  <si>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</si>
  <si>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</si>
  <si>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</si>
  <si>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</si>
  <si>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</si>
  <si>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</si>
  <si>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</si>
  <si>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</si>
  <si>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</si>
  <si>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</si>
  <si>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</si>
  <si>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</si>
  <si>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</si>
  <si>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</si>
  <si>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</si>
  <si>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</si>
  <si>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</si>
  <si>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</si>
  <si>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</si>
  <si>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</si>
  <si>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</si>
  <si>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</si>
  <si>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</si>
  <si>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</si>
  <si>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</si>
  <si>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</si>
  <si>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</si>
  <si>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</si>
  <si>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</si>
  <si>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</si>
  <si>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</si>
  <si>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</si>
  <si>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</si>
  <si>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</si>
  <si>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</si>
  <si>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</si>
  <si>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</si>
  <si>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</si>
  <si>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</si>
  <si>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</si>
  <si>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</si>
  <si>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</si>
  <si>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</si>
  <si>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</si>
  <si>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</si>
  <si>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</si>
  <si>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</si>
  <si>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</si>
  <si>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</si>
  <si>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</si>
  <si>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</si>
  <si>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</si>
  <si>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</si>
  <si>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</si>
  <si>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</si>
  <si>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</si>
  <si>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</si>
  <si>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</si>
  <si>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</si>
  <si>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</si>
  <si>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</si>
  <si>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</si>
  <si>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</si>
  <si>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</si>
  <si>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</si>
  <si>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</si>
  <si>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</si>
  <si>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</si>
  <si>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</si>
  <si>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</si>
  <si>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</si>
  <si>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</si>
  <si>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</si>
  <si>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</si>
  <si>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</si>
  <si>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</si>
  <si>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</si>
  <si>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</si>
  <si>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</si>
  <si>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</si>
  <si>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</si>
  <si>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</si>
  <si>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</si>
  <si>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</si>
  <si>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</si>
  <si>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</si>
  <si>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</si>
  <si>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</si>
  <si>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</si>
  <si>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</si>
  <si>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</si>
  <si>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</si>
  <si>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</si>
  <si>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</si>
  <si>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</si>
  <si>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</si>
  <si>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</si>
  <si>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</si>
  <si>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</si>
  <si>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</si>
  <si>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</si>
  <si>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</si>
  <si>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</si>
  <si>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</si>
  <si>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</si>
  <si>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</si>
  <si>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</si>
  <si>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</si>
  <si>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</si>
  <si>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</si>
  <si>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</si>
  <si>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</si>
  <si>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</si>
  <si>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</si>
  <si>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</si>
  <si>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</si>
  <si>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</si>
  <si>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</si>
  <si>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</si>
  <si>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</si>
  <si>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</si>
  <si>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</si>
  <si>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</si>
  <si>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</si>
  <si>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</si>
  <si>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</si>
  <si>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</si>
  <si>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</si>
  <si>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</si>
  <si>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</si>
  <si>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</si>
  <si>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</si>
  <si>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</si>
  <si>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</si>
  <si>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</si>
  <si>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</si>
  <si>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</si>
  <si>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</si>
  <si>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</si>
  <si>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</si>
  <si>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</si>
  <si>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</si>
  <si>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</si>
  <si>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</si>
  <si>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</si>
  <si>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</si>
  <si>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</si>
  <si>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</si>
  <si>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</si>
  <si>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</si>
  <si>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</si>
  <si>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</si>
  <si>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</si>
  <si>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</si>
  <si>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</si>
  <si>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</si>
  <si>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</si>
  <si>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</si>
  <si>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</si>
  <si>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</si>
  <si>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</si>
  <si>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</si>
  <si>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</si>
  <si>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</si>
  <si>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</si>
  <si>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</si>
  <si>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</si>
  <si>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</si>
  <si>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</si>
  <si>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</si>
  <si>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</si>
  <si>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</si>
  <si>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</si>
  <si>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</si>
  <si>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</si>
  <si>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</si>
  <si>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</si>
  <si>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</si>
  <si>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</si>
  <si>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</si>
  <si>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</si>
  <si>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</si>
  <si>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</si>
  <si>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</si>
  <si>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</si>
  <si>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</si>
  <si>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</si>
  <si>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</si>
  <si>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</si>
  <si>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</si>
  <si>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</si>
  <si>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</si>
  <si>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</si>
  <si>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</si>
  <si>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</si>
  <si>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</si>
  <si>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</si>
  <si>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</si>
  <si>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</si>
  <si>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</si>
  <si>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</si>
  <si>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</si>
  <si>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</si>
  <si>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</si>
  <si>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</si>
  <si>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</si>
  <si>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</si>
  <si>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</si>
  <si>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</si>
  <si>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</si>
  <si>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</si>
  <si>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</si>
  <si>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</si>
  <si>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</si>
  <si>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</si>
  <si>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</si>
  <si>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</si>
  <si>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</si>
  <si>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</si>
  <si>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</si>
  <si>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</si>
  <si>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</si>
  <si>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</si>
  <si>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</si>
  <si>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</si>
  <si>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</si>
  <si>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</si>
  <si>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</si>
  <si>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</si>
  <si>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</si>
  <si>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</si>
  <si>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</si>
  <si>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</si>
  <si>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</si>
  <si>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</si>
  <si>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</si>
  <si>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</si>
  <si>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</si>
  <si>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</si>
  <si>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</si>
  <si>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</si>
  <si>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</si>
  <si>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</si>
  <si>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</si>
  <si>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</si>
  <si>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</si>
  <si>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</si>
  <si>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</si>
  <si>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</si>
  <si>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</si>
  <si>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</si>
  <si>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</si>
  <si>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302.</t>
  </si>
  <si>
    <t>313.</t>
  </si>
  <si>
    <t>397.</t>
  </si>
  <si>
    <t>650.</t>
  </si>
  <si>
    <t>672.</t>
  </si>
  <si>
    <t>718.</t>
  </si>
  <si>
    <t>720.</t>
  </si>
  <si>
    <t>776.</t>
  </si>
  <si>
    <t>938.</t>
  </si>
  <si>
    <t>Итого по муниципальному образованию Велижское городское поселение</t>
  </si>
  <si>
    <t>Итого по Ярцевскому городскому поселению Ярцевского района Смоленской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</si>
</sst>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2" fillId="0" borderId="0"/>
    <xf numFmtId="0" fontId="13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7" fillId="2" borderId="0" xfId="0" applyNumberFormat="1" applyFont="1" applyFill="1" applyBorder="1" applyAlignment="1">
      <alignment horizontal="left" vertical="center"/>
    </xf>
    <xf numFmtId="1" fontId="7" fillId="2" borderId="0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" fontId="4" fillId="2" borderId="1" xfId="1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hidden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1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9" applyFont="1" applyFill="1" applyBorder="1" applyAlignment="1">
      <alignment horizontal="left" vertical="center" wrapText="1"/>
    </xf>
    <xf numFmtId="4" fontId="4" fillId="2" borderId="1" xfId="9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4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4" fontId="4" fillId="2" borderId="2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4" fontId="4" fillId="2" borderId="6" xfId="0" applyNumberFormat="1" applyFont="1" applyFill="1" applyBorder="1" applyAlignment="1">
      <alignment horizontal="center" vertical="top" wrapText="1"/>
    </xf>
    <xf numFmtId="4" fontId="4" fillId="2" borderId="7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4" fillId="2" borderId="8" xfId="0" applyNumberFormat="1" applyFont="1" applyFill="1" applyBorder="1" applyAlignment="1">
      <alignment horizontal="center" vertical="top" wrapText="1"/>
    </xf>
    <xf numFmtId="4" fontId="4" fillId="2" borderId="9" xfId="0" applyNumberFormat="1" applyFont="1" applyFill="1" applyBorder="1" applyAlignment="1">
      <alignment horizontal="center" vertical="top" wrapText="1"/>
    </xf>
    <xf numFmtId="4" fontId="4" fillId="2" borderId="10" xfId="0" applyNumberFormat="1" applyFont="1" applyFill="1" applyBorder="1" applyAlignment="1">
      <alignment horizontal="center" vertical="top" wrapText="1"/>
    </xf>
    <xf numFmtId="4" fontId="4" fillId="2" borderId="11" xfId="0" applyNumberFormat="1" applyFont="1" applyFill="1" applyBorder="1" applyAlignment="1">
      <alignment horizontal="center" vertical="top" wrapText="1"/>
    </xf>
    <xf numFmtId="4" fontId="4" fillId="2" borderId="4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"/>
    </sheetNames>
    <sheetDataSet>
      <sheetData sheetId="0">
        <row r="32">
          <cell r="H32">
            <v>2097.3000000000002</v>
          </cell>
        </row>
        <row r="36">
          <cell r="H36">
            <v>996.4</v>
          </cell>
        </row>
        <row r="73">
          <cell r="H73">
            <v>5758.2</v>
          </cell>
        </row>
        <row r="183">
          <cell r="H183">
            <v>312</v>
          </cell>
        </row>
        <row r="457">
          <cell r="H457">
            <v>589.16</v>
          </cell>
        </row>
        <row r="478">
          <cell r="H478">
            <v>1207.92</v>
          </cell>
        </row>
        <row r="513">
          <cell r="H513">
            <v>1391.2</v>
          </cell>
        </row>
        <row r="517">
          <cell r="H517">
            <v>3730</v>
          </cell>
        </row>
        <row r="519">
          <cell r="H519">
            <v>563.4</v>
          </cell>
        </row>
        <row r="580">
          <cell r="H580">
            <v>2369.63</v>
          </cell>
        </row>
        <row r="616">
          <cell r="H616">
            <v>282.5</v>
          </cell>
        </row>
        <row r="646">
          <cell r="H646">
            <v>978.99</v>
          </cell>
        </row>
        <row r="660">
          <cell r="H660">
            <v>293.7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1102"/>
  <sheetViews>
    <sheetView tabSelected="1" view="pageBreakPreview" topLeftCell="A1075" zoomScale="70" zoomScaleNormal="50" zoomScaleSheetLayoutView="70" zoomScalePageLayoutView="40" workbookViewId="0">
      <selection activeCell="E5" sqref="E5"/>
    </sheetView>
  </sheetViews>
  <sheetFormatPr defaultRowHeight="15.75" x14ac:dyDescent="0.25"/>
  <cols>
    <col min="1" max="1" width="6.42578125" style="46" customWidth="1"/>
    <col min="2" max="2" width="54.7109375" style="50" customWidth="1"/>
    <col min="3" max="3" width="19.85546875" style="51" customWidth="1"/>
    <col min="4" max="4" width="17" style="51" customWidth="1"/>
    <col min="5" max="5" width="19.7109375" style="51" customWidth="1"/>
    <col min="6" max="10" width="17" style="51" customWidth="1"/>
    <col min="11" max="11" width="6.85546875" style="52" customWidth="1"/>
    <col min="12" max="12" width="16.42578125" style="51" customWidth="1"/>
    <col min="13" max="13" width="13.7109375" style="51" customWidth="1"/>
    <col min="14" max="14" width="19" style="51" customWidth="1"/>
    <col min="15" max="15" width="10.5703125" style="51" customWidth="1"/>
    <col min="16" max="16" width="16.42578125" style="51" customWidth="1"/>
    <col min="17" max="17" width="12.7109375" style="51" customWidth="1"/>
    <col min="18" max="18" width="18.42578125" style="51" customWidth="1"/>
    <col min="19" max="19" width="15.7109375" style="51" customWidth="1"/>
    <col min="20" max="20" width="18.42578125" style="51" customWidth="1"/>
    <col min="21" max="21" width="16.5703125" style="51" customWidth="1"/>
    <col min="22" max="22" width="18.85546875" style="1" customWidth="1"/>
    <col min="23" max="16384" width="9.140625" style="2"/>
  </cols>
  <sheetData>
    <row r="1" spans="1:22" ht="19.5" customHeight="1" x14ac:dyDescent="0.25">
      <c r="A1" s="68" t="s">
        <v>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</row>
    <row r="2" spans="1:22" ht="19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3"/>
      <c r="M2" s="3"/>
      <c r="N2" s="3"/>
      <c r="O2" s="5"/>
      <c r="P2" s="5"/>
      <c r="Q2" s="5"/>
      <c r="R2" s="5"/>
      <c r="S2" s="5"/>
      <c r="T2" s="5"/>
      <c r="U2" s="5"/>
    </row>
    <row r="3" spans="1:22" ht="192" customHeight="1" x14ac:dyDescent="0.25">
      <c r="A3" s="69" t="s">
        <v>16</v>
      </c>
      <c r="B3" s="72" t="s">
        <v>15</v>
      </c>
      <c r="C3" s="61" t="s">
        <v>13</v>
      </c>
      <c r="D3" s="76" t="s">
        <v>4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84" t="s">
        <v>12</v>
      </c>
      <c r="U3" s="85"/>
    </row>
    <row r="4" spans="1:22" ht="31.5" customHeight="1" x14ac:dyDescent="0.25">
      <c r="A4" s="70"/>
      <c r="B4" s="72"/>
      <c r="C4" s="82"/>
      <c r="D4" s="73" t="s">
        <v>1584</v>
      </c>
      <c r="E4" s="74"/>
      <c r="F4" s="74"/>
      <c r="G4" s="74"/>
      <c r="H4" s="74"/>
      <c r="I4" s="74"/>
      <c r="J4" s="75"/>
      <c r="K4" s="78" t="s">
        <v>1578</v>
      </c>
      <c r="L4" s="79"/>
      <c r="M4" s="78" t="s">
        <v>8</v>
      </c>
      <c r="N4" s="79"/>
      <c r="O4" s="78" t="s">
        <v>6</v>
      </c>
      <c r="P4" s="79"/>
      <c r="Q4" s="78" t="s">
        <v>9</v>
      </c>
      <c r="R4" s="79"/>
      <c r="S4" s="61" t="s">
        <v>14</v>
      </c>
      <c r="T4" s="77" t="s">
        <v>5</v>
      </c>
      <c r="U4" s="76" t="s">
        <v>3</v>
      </c>
    </row>
    <row r="5" spans="1:22" ht="190.5" customHeight="1" x14ac:dyDescent="0.25">
      <c r="A5" s="70"/>
      <c r="B5" s="72"/>
      <c r="C5" s="62"/>
      <c r="D5" s="6" t="s">
        <v>1583</v>
      </c>
      <c r="E5" s="7" t="s">
        <v>1606</v>
      </c>
      <c r="F5" s="7" t="s">
        <v>1607</v>
      </c>
      <c r="G5" s="7" t="s">
        <v>1579</v>
      </c>
      <c r="H5" s="7" t="s">
        <v>1580</v>
      </c>
      <c r="I5" s="7" t="s">
        <v>1581</v>
      </c>
      <c r="J5" s="7" t="s">
        <v>1582</v>
      </c>
      <c r="K5" s="80"/>
      <c r="L5" s="81"/>
      <c r="M5" s="80"/>
      <c r="N5" s="81"/>
      <c r="O5" s="80"/>
      <c r="P5" s="81"/>
      <c r="Q5" s="80"/>
      <c r="R5" s="81"/>
      <c r="S5" s="62"/>
      <c r="T5" s="77"/>
      <c r="U5" s="76"/>
    </row>
    <row r="6" spans="1:22" ht="18" customHeight="1" x14ac:dyDescent="0.25">
      <c r="A6" s="71"/>
      <c r="B6" s="72"/>
      <c r="C6" s="8" t="s">
        <v>7</v>
      </c>
      <c r="D6" s="8" t="s">
        <v>7</v>
      </c>
      <c r="E6" s="8" t="s">
        <v>7</v>
      </c>
      <c r="F6" s="8" t="s">
        <v>7</v>
      </c>
      <c r="G6" s="8" t="s">
        <v>7</v>
      </c>
      <c r="H6" s="8" t="s">
        <v>7</v>
      </c>
      <c r="I6" s="8" t="s">
        <v>7</v>
      </c>
      <c r="J6" s="8" t="s">
        <v>7</v>
      </c>
      <c r="K6" s="9" t="s">
        <v>10</v>
      </c>
      <c r="L6" s="8" t="s">
        <v>7</v>
      </c>
      <c r="M6" s="8" t="s">
        <v>18</v>
      </c>
      <c r="N6" s="8" t="s">
        <v>7</v>
      </c>
      <c r="O6" s="8" t="s">
        <v>18</v>
      </c>
      <c r="P6" s="8" t="s">
        <v>7</v>
      </c>
      <c r="Q6" s="8" t="s">
        <v>18</v>
      </c>
      <c r="R6" s="8" t="s">
        <v>7</v>
      </c>
      <c r="S6" s="8" t="s">
        <v>7</v>
      </c>
      <c r="T6" s="8" t="s">
        <v>7</v>
      </c>
      <c r="U6" s="8" t="s">
        <v>7</v>
      </c>
    </row>
    <row r="7" spans="1:22" s="11" customFormat="1" ht="15" customHeight="1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  <c r="N7" s="9">
        <v>14</v>
      </c>
      <c r="O7" s="9">
        <v>15</v>
      </c>
      <c r="P7" s="9">
        <v>16</v>
      </c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10"/>
    </row>
    <row r="8" spans="1:22" ht="24.95" customHeight="1" x14ac:dyDescent="0.25">
      <c r="A8" s="83" t="s">
        <v>26</v>
      </c>
      <c r="B8" s="83"/>
      <c r="C8" s="12">
        <f t="shared" ref="C8:U8" si="0">C10+C346+C763</f>
        <v>4134770696.9299998</v>
      </c>
      <c r="D8" s="12">
        <f t="shared" si="0"/>
        <v>884088538.60000002</v>
      </c>
      <c r="E8" s="12">
        <f t="shared" si="0"/>
        <v>144613431.57999998</v>
      </c>
      <c r="F8" s="12">
        <f t="shared" si="0"/>
        <v>323748407.63999999</v>
      </c>
      <c r="G8" s="12">
        <f t="shared" si="0"/>
        <v>127406147.56</v>
      </c>
      <c r="H8" s="12">
        <f t="shared" si="0"/>
        <v>128997410.59999999</v>
      </c>
      <c r="I8" s="12">
        <f t="shared" si="0"/>
        <v>159323141.22</v>
      </c>
      <c r="J8" s="12">
        <f t="shared" si="0"/>
        <v>0</v>
      </c>
      <c r="K8" s="13">
        <f t="shared" si="0"/>
        <v>44</v>
      </c>
      <c r="L8" s="12">
        <f t="shared" si="0"/>
        <v>96250000</v>
      </c>
      <c r="M8" s="12">
        <f t="shared" si="0"/>
        <v>411712.58000000007</v>
      </c>
      <c r="N8" s="12">
        <f t="shared" si="0"/>
        <v>2088333869.6500001</v>
      </c>
      <c r="O8" s="12">
        <f t="shared" si="0"/>
        <v>7570.4500000000007</v>
      </c>
      <c r="P8" s="12">
        <f t="shared" si="0"/>
        <v>13859420</v>
      </c>
      <c r="Q8" s="12">
        <f t="shared" si="0"/>
        <v>290252.26</v>
      </c>
      <c r="R8" s="12">
        <f t="shared" si="0"/>
        <v>834316450.65999997</v>
      </c>
      <c r="S8" s="12">
        <f t="shared" si="0"/>
        <v>16558349.109999999</v>
      </c>
      <c r="T8" s="12">
        <f t="shared" si="0"/>
        <v>678303.6</v>
      </c>
      <c r="U8" s="12">
        <f t="shared" si="0"/>
        <v>196516421.31</v>
      </c>
    </row>
    <row r="9" spans="1:22" s="15" customFormat="1" ht="24.95" customHeight="1" x14ac:dyDescent="0.25">
      <c r="A9" s="65" t="s">
        <v>25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14"/>
    </row>
    <row r="10" spans="1:22" ht="24.95" customHeight="1" x14ac:dyDescent="0.25">
      <c r="A10" s="64" t="s">
        <v>210</v>
      </c>
      <c r="B10" s="64"/>
      <c r="C10" s="12">
        <f>C11+C14+C29+C31+C33+C35+C37+C40+C43+C48+C53+C55+C58+C64+C60+C66+C68+C71+C73+C75+C78+C80+C82+C102+C105+C112+C120+C130+C132+C134+C136+C294+C299+C301+C304+C308+C312+C314+C316+C319+C321+C323+C326+C328+C330</f>
        <v>1304703663.8499999</v>
      </c>
      <c r="D10" s="12">
        <f t="shared" ref="D10:U10" si="1">D11+D14+D29+D31+D33+D35+D37+D40+D43+D48+D53+D55+D58+D60+D64+D66+D68+D71+D73+D75+D78+D80+D82+D102+D105+D112+D120+D130+D132+D134+D136+D294+D299+D301+D304+D308+D312+D314+D316+D319+D323+D326+D328+D330</f>
        <v>395675725.60000002</v>
      </c>
      <c r="E10" s="12">
        <f t="shared" si="1"/>
        <v>62167347.579999998</v>
      </c>
      <c r="F10" s="12">
        <f t="shared" si="1"/>
        <v>148872623.63999999</v>
      </c>
      <c r="G10" s="12">
        <f t="shared" si="1"/>
        <v>52615000.560000002</v>
      </c>
      <c r="H10" s="12">
        <f t="shared" si="1"/>
        <v>62318120.600000001</v>
      </c>
      <c r="I10" s="12">
        <f t="shared" si="1"/>
        <v>69702633.219999999</v>
      </c>
      <c r="J10" s="12">
        <f t="shared" si="1"/>
        <v>0</v>
      </c>
      <c r="K10" s="13">
        <f t="shared" si="1"/>
        <v>20</v>
      </c>
      <c r="L10" s="12">
        <f t="shared" si="1"/>
        <v>43600000</v>
      </c>
      <c r="M10" s="12">
        <f t="shared" si="1"/>
        <v>112309.20000000001</v>
      </c>
      <c r="N10" s="12">
        <f t="shared" si="1"/>
        <v>516724385.00999999</v>
      </c>
      <c r="O10" s="12">
        <f t="shared" si="1"/>
        <v>4358.75</v>
      </c>
      <c r="P10" s="12">
        <f t="shared" si="1"/>
        <v>7439720</v>
      </c>
      <c r="Q10" s="12">
        <f t="shared" si="1"/>
        <v>97854.23000000001</v>
      </c>
      <c r="R10" s="12">
        <f t="shared" si="1"/>
        <v>257122360.66</v>
      </c>
      <c r="S10" s="12">
        <f t="shared" si="1"/>
        <v>9226339.1099999994</v>
      </c>
      <c r="T10" s="12">
        <f t="shared" si="1"/>
        <v>678303.6</v>
      </c>
      <c r="U10" s="12">
        <f t="shared" si="1"/>
        <v>70067485.870000005</v>
      </c>
    </row>
    <row r="11" spans="1:22" s="17" customFormat="1" ht="45" customHeight="1" x14ac:dyDescent="0.25">
      <c r="A11" s="63" t="s">
        <v>1936</v>
      </c>
      <c r="B11" s="63"/>
      <c r="C11" s="12">
        <f t="shared" ref="C11:C73" si="2">D11+L11+N11+P11+R11+S11+T11+U11</f>
        <v>5866571</v>
      </c>
      <c r="D11" s="12">
        <f t="shared" ref="D11:U11" si="3">SUM(D12:D13)</f>
        <v>1170495</v>
      </c>
      <c r="E11" s="12">
        <f t="shared" si="3"/>
        <v>221445</v>
      </c>
      <c r="F11" s="12">
        <f t="shared" si="3"/>
        <v>506160</v>
      </c>
      <c r="G11" s="12">
        <f t="shared" si="3"/>
        <v>189810</v>
      </c>
      <c r="H11" s="12">
        <f t="shared" si="3"/>
        <v>0</v>
      </c>
      <c r="I11" s="12">
        <f t="shared" si="3"/>
        <v>253080</v>
      </c>
      <c r="J11" s="12">
        <f t="shared" si="3"/>
        <v>0</v>
      </c>
      <c r="K11" s="13">
        <f t="shared" si="3"/>
        <v>0</v>
      </c>
      <c r="L11" s="12">
        <f t="shared" si="3"/>
        <v>0</v>
      </c>
      <c r="M11" s="12">
        <f t="shared" si="3"/>
        <v>406</v>
      </c>
      <c r="N11" s="12">
        <f t="shared" si="3"/>
        <v>1496516</v>
      </c>
      <c r="O11" s="12">
        <f t="shared" si="3"/>
        <v>0</v>
      </c>
      <c r="P11" s="12">
        <f t="shared" si="3"/>
        <v>0</v>
      </c>
      <c r="Q11" s="12">
        <f t="shared" si="3"/>
        <v>666.52</v>
      </c>
      <c r="R11" s="12">
        <f t="shared" si="3"/>
        <v>1999560</v>
      </c>
      <c r="S11" s="12">
        <f t="shared" si="3"/>
        <v>0</v>
      </c>
      <c r="T11" s="12">
        <f t="shared" si="3"/>
        <v>0</v>
      </c>
      <c r="U11" s="12">
        <f t="shared" si="3"/>
        <v>1200000</v>
      </c>
      <c r="V11" s="16">
        <f>C11+C347+C764</f>
        <v>26575245</v>
      </c>
    </row>
    <row r="12" spans="1:22" ht="21.95" customHeight="1" x14ac:dyDescent="0.25">
      <c r="A12" s="18" t="s">
        <v>841</v>
      </c>
      <c r="B12" s="19" t="s">
        <v>21</v>
      </c>
      <c r="C12" s="12">
        <f t="shared" si="2"/>
        <v>3101011</v>
      </c>
      <c r="D12" s="20">
        <f>SUM(E12:J12)</f>
        <v>625115</v>
      </c>
      <c r="E12" s="20">
        <f>350*337.9</f>
        <v>118264.99999999999</v>
      </c>
      <c r="F12" s="20">
        <f>800*337.9</f>
        <v>270320</v>
      </c>
      <c r="G12" s="20">
        <f>300*337.9</f>
        <v>101370</v>
      </c>
      <c r="H12" s="20">
        <f>500*0</f>
        <v>0</v>
      </c>
      <c r="I12" s="20">
        <f>400*337.9</f>
        <v>135160</v>
      </c>
      <c r="J12" s="20">
        <f>350*0</f>
        <v>0</v>
      </c>
      <c r="K12" s="21">
        <v>0</v>
      </c>
      <c r="L12" s="20">
        <v>0</v>
      </c>
      <c r="M12" s="20">
        <v>196</v>
      </c>
      <c r="N12" s="20">
        <f>M12*3686</f>
        <v>722456</v>
      </c>
      <c r="O12" s="20">
        <v>0</v>
      </c>
      <c r="P12" s="20">
        <v>0</v>
      </c>
      <c r="Q12" s="20">
        <v>384.48</v>
      </c>
      <c r="R12" s="20">
        <f>Q12*3000</f>
        <v>1153440</v>
      </c>
      <c r="S12" s="20">
        <v>0</v>
      </c>
      <c r="T12" s="20">
        <v>0</v>
      </c>
      <c r="U12" s="20">
        <v>600000</v>
      </c>
      <c r="V12" s="1">
        <f>N12/M12</f>
        <v>3686</v>
      </c>
    </row>
    <row r="13" spans="1:22" ht="21.95" customHeight="1" x14ac:dyDescent="0.25">
      <c r="A13" s="18" t="s">
        <v>842</v>
      </c>
      <c r="B13" s="19" t="s">
        <v>22</v>
      </c>
      <c r="C13" s="12">
        <f t="shared" si="2"/>
        <v>2765560</v>
      </c>
      <c r="D13" s="20">
        <f>SUM(E13:J13)</f>
        <v>545380</v>
      </c>
      <c r="E13" s="20">
        <f>350*294.8</f>
        <v>103180</v>
      </c>
      <c r="F13" s="20">
        <f>800*294.8</f>
        <v>235840</v>
      </c>
      <c r="G13" s="20">
        <f>300*294.8</f>
        <v>88440</v>
      </c>
      <c r="H13" s="20">
        <f>500*0</f>
        <v>0</v>
      </c>
      <c r="I13" s="20">
        <f>400*294.8</f>
        <v>117920</v>
      </c>
      <c r="J13" s="20">
        <f>350*0</f>
        <v>0</v>
      </c>
      <c r="K13" s="21">
        <v>0</v>
      </c>
      <c r="L13" s="20">
        <v>0</v>
      </c>
      <c r="M13" s="20">
        <v>210</v>
      </c>
      <c r="N13" s="20">
        <f>M13*3686</f>
        <v>774060</v>
      </c>
      <c r="O13" s="20">
        <v>0</v>
      </c>
      <c r="P13" s="20">
        <v>0</v>
      </c>
      <c r="Q13" s="20">
        <v>282.04000000000002</v>
      </c>
      <c r="R13" s="20">
        <f>Q13*3000</f>
        <v>846120.00000000012</v>
      </c>
      <c r="S13" s="20">
        <v>0</v>
      </c>
      <c r="T13" s="20">
        <v>0</v>
      </c>
      <c r="U13" s="20">
        <v>600000</v>
      </c>
      <c r="V13" s="1">
        <f>N13/M13</f>
        <v>3686</v>
      </c>
    </row>
    <row r="14" spans="1:22" ht="45" customHeight="1" x14ac:dyDescent="0.25">
      <c r="A14" s="63" t="s">
        <v>0</v>
      </c>
      <c r="B14" s="63"/>
      <c r="C14" s="12">
        <f t="shared" si="2"/>
        <v>51693956.759999998</v>
      </c>
      <c r="D14" s="12">
        <f t="shared" ref="D14:U14" si="4">SUM(D15:D28)</f>
        <v>2055897.5</v>
      </c>
      <c r="E14" s="12">
        <f t="shared" si="4"/>
        <v>306197.5</v>
      </c>
      <c r="F14" s="12">
        <f t="shared" si="4"/>
        <v>699880</v>
      </c>
      <c r="G14" s="12">
        <f t="shared" si="4"/>
        <v>262455</v>
      </c>
      <c r="H14" s="12">
        <f t="shared" si="4"/>
        <v>437425</v>
      </c>
      <c r="I14" s="12">
        <f t="shared" si="4"/>
        <v>349940</v>
      </c>
      <c r="J14" s="12">
        <f t="shared" si="4"/>
        <v>0</v>
      </c>
      <c r="K14" s="13">
        <f t="shared" si="4"/>
        <v>0</v>
      </c>
      <c r="L14" s="12">
        <f t="shared" si="4"/>
        <v>0</v>
      </c>
      <c r="M14" s="12">
        <f t="shared" si="4"/>
        <v>8037.3200000000006</v>
      </c>
      <c r="N14" s="12">
        <f t="shared" si="4"/>
        <v>40753665.199999996</v>
      </c>
      <c r="O14" s="12">
        <f t="shared" si="4"/>
        <v>182.3</v>
      </c>
      <c r="P14" s="12">
        <f t="shared" si="4"/>
        <v>218760</v>
      </c>
      <c r="Q14" s="12">
        <f t="shared" si="4"/>
        <v>1744.2</v>
      </c>
      <c r="R14" s="12">
        <f t="shared" si="4"/>
        <v>5060696</v>
      </c>
      <c r="S14" s="12">
        <f t="shared" si="4"/>
        <v>273000</v>
      </c>
      <c r="T14" s="12">
        <f t="shared" si="4"/>
        <v>0</v>
      </c>
      <c r="U14" s="12">
        <f t="shared" si="4"/>
        <v>3331938.06</v>
      </c>
      <c r="V14" s="22">
        <f>C14+C350+C767</f>
        <v>307853208.51999998</v>
      </c>
    </row>
    <row r="15" spans="1:22" ht="21.95" customHeight="1" x14ac:dyDescent="0.25">
      <c r="A15" s="18" t="s">
        <v>1632</v>
      </c>
      <c r="B15" s="23" t="s">
        <v>39</v>
      </c>
      <c r="C15" s="12">
        <f t="shared" si="2"/>
        <v>7151453.5</v>
      </c>
      <c r="D15" s="20">
        <f>SUM(E15:J15)</f>
        <v>2055897.5</v>
      </c>
      <c r="E15" s="20">
        <f>350*874.85</f>
        <v>306197.5</v>
      </c>
      <c r="F15" s="20">
        <f>800*874.85</f>
        <v>699880</v>
      </c>
      <c r="G15" s="20">
        <f>300*874.85</f>
        <v>262455</v>
      </c>
      <c r="H15" s="20">
        <f>500*874.85</f>
        <v>437425</v>
      </c>
      <c r="I15" s="20">
        <f>400*874.85</f>
        <v>349940</v>
      </c>
      <c r="J15" s="20">
        <f>350*0</f>
        <v>0</v>
      </c>
      <c r="K15" s="21">
        <v>0</v>
      </c>
      <c r="L15" s="20">
        <v>0</v>
      </c>
      <c r="M15" s="20">
        <v>617</v>
      </c>
      <c r="N15" s="24">
        <v>3270100</v>
      </c>
      <c r="O15" s="20">
        <v>182.3</v>
      </c>
      <c r="P15" s="20">
        <v>218760</v>
      </c>
      <c r="Q15" s="20">
        <v>435.2</v>
      </c>
      <c r="R15" s="20">
        <v>1133696</v>
      </c>
      <c r="S15" s="20">
        <v>273000</v>
      </c>
      <c r="T15" s="20">
        <v>0</v>
      </c>
      <c r="U15" s="20">
        <v>200000</v>
      </c>
      <c r="V15" s="1">
        <f t="shared" ref="V15:V28" si="5">N15/M15</f>
        <v>5300</v>
      </c>
    </row>
    <row r="16" spans="1:22" ht="21.95" customHeight="1" x14ac:dyDescent="0.25">
      <c r="A16" s="18" t="s">
        <v>1633</v>
      </c>
      <c r="B16" s="23" t="s">
        <v>41</v>
      </c>
      <c r="C16" s="12">
        <f t="shared" si="2"/>
        <v>8335619.5999999996</v>
      </c>
      <c r="D16" s="20">
        <f>SUM(E16:J16)</f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1">
        <v>0</v>
      </c>
      <c r="L16" s="20">
        <v>0</v>
      </c>
      <c r="M16" s="20">
        <v>926.8</v>
      </c>
      <c r="N16" s="24">
        <v>4208619.5999999996</v>
      </c>
      <c r="O16" s="20">
        <v>0</v>
      </c>
      <c r="P16" s="20">
        <v>0</v>
      </c>
      <c r="Q16" s="20">
        <v>1309</v>
      </c>
      <c r="R16" s="20">
        <v>3927000</v>
      </c>
      <c r="S16" s="20">
        <v>0</v>
      </c>
      <c r="T16" s="20">
        <v>0</v>
      </c>
      <c r="U16" s="20">
        <v>200000</v>
      </c>
      <c r="V16" s="22">
        <f t="shared" si="5"/>
        <v>4541.0224428139836</v>
      </c>
    </row>
    <row r="17" spans="1:22" ht="21.95" customHeight="1" x14ac:dyDescent="0.25">
      <c r="A17" s="18" t="s">
        <v>1634</v>
      </c>
      <c r="B17" s="25" t="s">
        <v>42</v>
      </c>
      <c r="C17" s="12">
        <f t="shared" si="2"/>
        <v>3460560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1">
        <v>0</v>
      </c>
      <c r="L17" s="20">
        <v>0</v>
      </c>
      <c r="M17" s="20">
        <v>615.20000000000005</v>
      </c>
      <c r="N17" s="24">
        <v>3260560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200000</v>
      </c>
      <c r="V17" s="1">
        <f t="shared" si="5"/>
        <v>5300</v>
      </c>
    </row>
    <row r="18" spans="1:22" ht="21.95" customHeight="1" x14ac:dyDescent="0.25">
      <c r="A18" s="18" t="s">
        <v>1635</v>
      </c>
      <c r="B18" s="25" t="s">
        <v>43</v>
      </c>
      <c r="C18" s="12">
        <f t="shared" si="2"/>
        <v>4437593.3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1">
        <v>0</v>
      </c>
      <c r="L18" s="20">
        <v>0</v>
      </c>
      <c r="M18" s="20">
        <v>861.3</v>
      </c>
      <c r="N18" s="24">
        <v>4328404.8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109188.5</v>
      </c>
      <c r="V18" s="1">
        <f t="shared" si="5"/>
        <v>5025.4322535701849</v>
      </c>
    </row>
    <row r="19" spans="1:22" ht="21.95" customHeight="1" x14ac:dyDescent="0.25">
      <c r="A19" s="18" t="s">
        <v>1636</v>
      </c>
      <c r="B19" s="25" t="s">
        <v>44</v>
      </c>
      <c r="C19" s="12">
        <f t="shared" si="2"/>
        <v>300000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1">
        <v>0</v>
      </c>
      <c r="L19" s="20">
        <v>0</v>
      </c>
      <c r="M19" s="20">
        <v>0</v>
      </c>
      <c r="N19" s="24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300000</v>
      </c>
      <c r="V19" s="1" t="e">
        <f t="shared" si="5"/>
        <v>#DIV/0!</v>
      </c>
    </row>
    <row r="20" spans="1:22" ht="21.95" customHeight="1" x14ac:dyDescent="0.25">
      <c r="A20" s="18" t="s">
        <v>1637</v>
      </c>
      <c r="B20" s="25" t="s">
        <v>45</v>
      </c>
      <c r="C20" s="12">
        <f t="shared" si="2"/>
        <v>4481870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1">
        <v>0</v>
      </c>
      <c r="L20" s="20">
        <v>0</v>
      </c>
      <c r="M20" s="20">
        <v>807.9</v>
      </c>
      <c r="N20" s="24">
        <f>M20*5300</f>
        <v>4281870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200000</v>
      </c>
      <c r="V20" s="1">
        <f t="shared" si="5"/>
        <v>5300</v>
      </c>
    </row>
    <row r="21" spans="1:22" ht="21.95" customHeight="1" x14ac:dyDescent="0.25">
      <c r="A21" s="18" t="s">
        <v>1638</v>
      </c>
      <c r="B21" s="25" t="s">
        <v>48</v>
      </c>
      <c r="C21" s="12">
        <f t="shared" si="2"/>
        <v>3039549.67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1">
        <v>0</v>
      </c>
      <c r="L21" s="20">
        <v>0</v>
      </c>
      <c r="M21" s="20">
        <v>547.4</v>
      </c>
      <c r="N21" s="24">
        <v>2901110.4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138439.26999999999</v>
      </c>
      <c r="V21" s="1">
        <f t="shared" si="5"/>
        <v>5299.7997807818783</v>
      </c>
    </row>
    <row r="22" spans="1:22" ht="21.95" customHeight="1" x14ac:dyDescent="0.25">
      <c r="A22" s="18" t="s">
        <v>1639</v>
      </c>
      <c r="B22" s="23" t="s">
        <v>1413</v>
      </c>
      <c r="C22" s="12">
        <f t="shared" si="2"/>
        <v>3856760.0000000005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1">
        <v>0</v>
      </c>
      <c r="L22" s="20">
        <v>0</v>
      </c>
      <c r="M22" s="20">
        <v>610.32000000000005</v>
      </c>
      <c r="N22" s="24">
        <f>M22*5500</f>
        <v>3356760.0000000005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500000</v>
      </c>
      <c r="V22" s="1">
        <f t="shared" si="5"/>
        <v>5500</v>
      </c>
    </row>
    <row r="23" spans="1:22" ht="21.95" customHeight="1" x14ac:dyDescent="0.25">
      <c r="A23" s="18" t="s">
        <v>1640</v>
      </c>
      <c r="B23" s="25" t="s">
        <v>50</v>
      </c>
      <c r="C23" s="12">
        <f t="shared" si="2"/>
        <v>1908740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1">
        <v>0</v>
      </c>
      <c r="L23" s="20">
        <v>0</v>
      </c>
      <c r="M23" s="20">
        <v>517.79999999999995</v>
      </c>
      <c r="N23" s="24">
        <v>1708740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200000</v>
      </c>
      <c r="V23" s="1">
        <f t="shared" si="5"/>
        <v>3300.0000000000005</v>
      </c>
    </row>
    <row r="24" spans="1:22" ht="21.95" customHeight="1" x14ac:dyDescent="0.25">
      <c r="A24" s="18" t="s">
        <v>1641</v>
      </c>
      <c r="B24" s="25" t="s">
        <v>53</v>
      </c>
      <c r="C24" s="12">
        <f t="shared" si="2"/>
        <v>1518810.69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1">
        <v>0</v>
      </c>
      <c r="L24" s="20">
        <v>0</v>
      </c>
      <c r="M24" s="20">
        <v>283.60000000000002</v>
      </c>
      <c r="N24" s="24">
        <v>1434500.4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84310.29</v>
      </c>
      <c r="V24" s="1">
        <f t="shared" si="5"/>
        <v>5058.1819464033842</v>
      </c>
    </row>
    <row r="25" spans="1:22" ht="21.95" customHeight="1" x14ac:dyDescent="0.25">
      <c r="A25" s="18" t="s">
        <v>1642</v>
      </c>
      <c r="B25" s="25" t="s">
        <v>54</v>
      </c>
      <c r="C25" s="12">
        <f t="shared" si="2"/>
        <v>2745000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1">
        <v>0</v>
      </c>
      <c r="L25" s="20">
        <v>0</v>
      </c>
      <c r="M25" s="20">
        <v>390</v>
      </c>
      <c r="N25" s="24">
        <f>M25*5500</f>
        <v>2145000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600000</v>
      </c>
      <c r="V25" s="1">
        <f t="shared" si="5"/>
        <v>5500</v>
      </c>
    </row>
    <row r="26" spans="1:22" ht="21.95" customHeight="1" x14ac:dyDescent="0.25">
      <c r="A26" s="18" t="s">
        <v>1643</v>
      </c>
      <c r="B26" s="23" t="s">
        <v>55</v>
      </c>
      <c r="C26" s="12">
        <f t="shared" si="2"/>
        <v>3486000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1">
        <v>0</v>
      </c>
      <c r="L26" s="20">
        <v>0</v>
      </c>
      <c r="M26" s="20">
        <v>620</v>
      </c>
      <c r="N26" s="24">
        <f>M26*5300</f>
        <v>3286000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200000</v>
      </c>
      <c r="V26" s="1">
        <f t="shared" si="5"/>
        <v>5300</v>
      </c>
    </row>
    <row r="27" spans="1:22" ht="21.95" customHeight="1" x14ac:dyDescent="0.25">
      <c r="A27" s="18" t="s">
        <v>1644</v>
      </c>
      <c r="B27" s="23" t="s">
        <v>56</v>
      </c>
      <c r="C27" s="12">
        <f t="shared" si="2"/>
        <v>3486000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1">
        <v>0</v>
      </c>
      <c r="L27" s="20">
        <v>0</v>
      </c>
      <c r="M27" s="20">
        <v>620</v>
      </c>
      <c r="N27" s="24">
        <f>M27*5300</f>
        <v>3286000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200000</v>
      </c>
      <c r="V27" s="1">
        <f t="shared" si="5"/>
        <v>5300</v>
      </c>
    </row>
    <row r="28" spans="1:22" ht="21.95" customHeight="1" x14ac:dyDescent="0.25">
      <c r="A28" s="18" t="s">
        <v>1645</v>
      </c>
      <c r="B28" s="23" t="s">
        <v>57</v>
      </c>
      <c r="C28" s="12">
        <f t="shared" si="2"/>
        <v>3486000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1">
        <v>0</v>
      </c>
      <c r="L28" s="20">
        <v>0</v>
      </c>
      <c r="M28" s="20">
        <v>620</v>
      </c>
      <c r="N28" s="24">
        <f>M28*5300</f>
        <v>3286000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200000</v>
      </c>
      <c r="V28" s="1">
        <f t="shared" si="5"/>
        <v>5300</v>
      </c>
    </row>
    <row r="29" spans="1:22" ht="45" customHeight="1" x14ac:dyDescent="0.25">
      <c r="A29" s="63" t="s">
        <v>1207</v>
      </c>
      <c r="B29" s="63"/>
      <c r="C29" s="12">
        <f t="shared" si="2"/>
        <v>2884450</v>
      </c>
      <c r="D29" s="12">
        <f t="shared" ref="D29:U29" si="6">SUM(D30)</f>
        <v>0</v>
      </c>
      <c r="E29" s="12">
        <f t="shared" si="6"/>
        <v>0</v>
      </c>
      <c r="F29" s="12">
        <f t="shared" si="6"/>
        <v>0</v>
      </c>
      <c r="G29" s="12">
        <f t="shared" si="6"/>
        <v>0</v>
      </c>
      <c r="H29" s="12">
        <f t="shared" si="6"/>
        <v>0</v>
      </c>
      <c r="I29" s="12">
        <f t="shared" si="6"/>
        <v>0</v>
      </c>
      <c r="J29" s="12">
        <f t="shared" si="6"/>
        <v>0</v>
      </c>
      <c r="K29" s="13">
        <f t="shared" si="6"/>
        <v>0</v>
      </c>
      <c r="L29" s="12">
        <f t="shared" si="6"/>
        <v>0</v>
      </c>
      <c r="M29" s="12">
        <f t="shared" si="6"/>
        <v>506.5</v>
      </c>
      <c r="N29" s="12">
        <f t="shared" si="6"/>
        <v>2684450</v>
      </c>
      <c r="O29" s="12">
        <f t="shared" si="6"/>
        <v>0</v>
      </c>
      <c r="P29" s="12">
        <f t="shared" si="6"/>
        <v>0</v>
      </c>
      <c r="Q29" s="12">
        <f t="shared" si="6"/>
        <v>0</v>
      </c>
      <c r="R29" s="12">
        <f t="shared" si="6"/>
        <v>0</v>
      </c>
      <c r="S29" s="12">
        <f t="shared" si="6"/>
        <v>0</v>
      </c>
      <c r="T29" s="12">
        <f t="shared" si="6"/>
        <v>0</v>
      </c>
      <c r="U29" s="12">
        <f t="shared" si="6"/>
        <v>200000</v>
      </c>
      <c r="V29" s="22">
        <f>C29</f>
        <v>2884450</v>
      </c>
    </row>
    <row r="30" spans="1:22" ht="21.95" customHeight="1" x14ac:dyDescent="0.25">
      <c r="A30" s="18" t="s">
        <v>1646</v>
      </c>
      <c r="B30" s="25" t="s">
        <v>27</v>
      </c>
      <c r="C30" s="12">
        <f t="shared" si="2"/>
        <v>2884450</v>
      </c>
      <c r="D30" s="20">
        <f>SUM(E30:J30)</f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1">
        <v>0</v>
      </c>
      <c r="L30" s="20">
        <v>0</v>
      </c>
      <c r="M30" s="20">
        <v>506.5</v>
      </c>
      <c r="N30" s="24">
        <f>M30*5300</f>
        <v>2684450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200000</v>
      </c>
      <c r="V30" s="1">
        <f>N30/M30</f>
        <v>5300</v>
      </c>
    </row>
    <row r="31" spans="1:22" ht="45" customHeight="1" x14ac:dyDescent="0.25">
      <c r="A31" s="63" t="s">
        <v>1389</v>
      </c>
      <c r="B31" s="63"/>
      <c r="C31" s="12">
        <f t="shared" si="2"/>
        <v>5159513</v>
      </c>
      <c r="D31" s="12">
        <f t="shared" ref="D31:U31" si="7">SUM(D32)</f>
        <v>0</v>
      </c>
      <c r="E31" s="12">
        <f t="shared" si="7"/>
        <v>0</v>
      </c>
      <c r="F31" s="12">
        <f t="shared" si="7"/>
        <v>0</v>
      </c>
      <c r="G31" s="12">
        <f t="shared" si="7"/>
        <v>0</v>
      </c>
      <c r="H31" s="12">
        <f t="shared" si="7"/>
        <v>0</v>
      </c>
      <c r="I31" s="12">
        <f t="shared" si="7"/>
        <v>0</v>
      </c>
      <c r="J31" s="12">
        <f t="shared" si="7"/>
        <v>0</v>
      </c>
      <c r="K31" s="13">
        <f t="shared" si="7"/>
        <v>0</v>
      </c>
      <c r="L31" s="12">
        <f t="shared" si="7"/>
        <v>0</v>
      </c>
      <c r="M31" s="12">
        <f t="shared" si="7"/>
        <v>1345.5</v>
      </c>
      <c r="N31" s="12">
        <f t="shared" si="7"/>
        <v>4959513</v>
      </c>
      <c r="O31" s="12">
        <f t="shared" si="7"/>
        <v>0</v>
      </c>
      <c r="P31" s="12">
        <f t="shared" si="7"/>
        <v>0</v>
      </c>
      <c r="Q31" s="12">
        <f t="shared" si="7"/>
        <v>0</v>
      </c>
      <c r="R31" s="12">
        <f t="shared" si="7"/>
        <v>0</v>
      </c>
      <c r="S31" s="12">
        <f t="shared" si="7"/>
        <v>0</v>
      </c>
      <c r="T31" s="12">
        <f t="shared" si="7"/>
        <v>0</v>
      </c>
      <c r="U31" s="12">
        <f t="shared" si="7"/>
        <v>200000</v>
      </c>
      <c r="V31" s="22">
        <f>C31</f>
        <v>5159513</v>
      </c>
    </row>
    <row r="32" spans="1:22" ht="21.95" customHeight="1" x14ac:dyDescent="0.25">
      <c r="A32" s="18" t="s">
        <v>1647</v>
      </c>
      <c r="B32" s="25" t="s">
        <v>1390</v>
      </c>
      <c r="C32" s="12">
        <f t="shared" si="2"/>
        <v>5159513</v>
      </c>
      <c r="D32" s="20">
        <f>SUM(E32:J32)</f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1">
        <v>0</v>
      </c>
      <c r="L32" s="20">
        <v>0</v>
      </c>
      <c r="M32" s="20">
        <v>1345.5</v>
      </c>
      <c r="N32" s="24">
        <f>M32*3686</f>
        <v>4959513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200000</v>
      </c>
      <c r="V32" s="1">
        <f>N32/M32</f>
        <v>3686</v>
      </c>
    </row>
    <row r="33" spans="1:22" ht="45" customHeight="1" x14ac:dyDescent="0.25">
      <c r="A33" s="63" t="s">
        <v>75</v>
      </c>
      <c r="B33" s="63"/>
      <c r="C33" s="12">
        <f t="shared" si="2"/>
        <v>1334845.79</v>
      </c>
      <c r="D33" s="12">
        <f t="shared" ref="D33:U33" si="8">SUM(D34)</f>
        <v>98442.83</v>
      </c>
      <c r="E33" s="12">
        <f t="shared" si="8"/>
        <v>98442.83</v>
      </c>
      <c r="F33" s="12">
        <f t="shared" si="8"/>
        <v>0</v>
      </c>
      <c r="G33" s="12">
        <f t="shared" si="8"/>
        <v>0</v>
      </c>
      <c r="H33" s="12">
        <f t="shared" si="8"/>
        <v>0</v>
      </c>
      <c r="I33" s="12">
        <f t="shared" si="8"/>
        <v>0</v>
      </c>
      <c r="J33" s="12">
        <f t="shared" si="8"/>
        <v>0</v>
      </c>
      <c r="K33" s="13">
        <f t="shared" si="8"/>
        <v>0</v>
      </c>
      <c r="L33" s="12">
        <f t="shared" si="8"/>
        <v>0</v>
      </c>
      <c r="M33" s="12">
        <f t="shared" si="8"/>
        <v>255</v>
      </c>
      <c r="N33" s="12">
        <f t="shared" si="8"/>
        <v>1159135.44</v>
      </c>
      <c r="O33" s="12">
        <f t="shared" si="8"/>
        <v>0</v>
      </c>
      <c r="P33" s="12">
        <f t="shared" si="8"/>
        <v>0</v>
      </c>
      <c r="Q33" s="12">
        <f t="shared" si="8"/>
        <v>0</v>
      </c>
      <c r="R33" s="12">
        <f t="shared" si="8"/>
        <v>0</v>
      </c>
      <c r="S33" s="12">
        <f t="shared" si="8"/>
        <v>0</v>
      </c>
      <c r="T33" s="12">
        <f t="shared" si="8"/>
        <v>0</v>
      </c>
      <c r="U33" s="12">
        <f t="shared" si="8"/>
        <v>77267.520000000004</v>
      </c>
      <c r="V33" s="22">
        <f>C33+C371+C790</f>
        <v>25758663.289999999</v>
      </c>
    </row>
    <row r="34" spans="1:22" ht="23.1" customHeight="1" x14ac:dyDescent="0.25">
      <c r="A34" s="26" t="s">
        <v>1648</v>
      </c>
      <c r="B34" s="25" t="s">
        <v>74</v>
      </c>
      <c r="C34" s="12">
        <f t="shared" si="2"/>
        <v>1334845.79</v>
      </c>
      <c r="D34" s="20">
        <f>SUM(E34:J34)</f>
        <v>98442.83</v>
      </c>
      <c r="E34" s="20">
        <v>98442.83</v>
      </c>
      <c r="F34" s="20">
        <f>800*0</f>
        <v>0</v>
      </c>
      <c r="G34" s="20">
        <f>300*0</f>
        <v>0</v>
      </c>
      <c r="H34" s="20">
        <f>500*0</f>
        <v>0</v>
      </c>
      <c r="I34" s="20">
        <f>400*0</f>
        <v>0</v>
      </c>
      <c r="J34" s="20">
        <f>350*0</f>
        <v>0</v>
      </c>
      <c r="K34" s="9">
        <v>0</v>
      </c>
      <c r="L34" s="8">
        <v>0</v>
      </c>
      <c r="M34" s="8">
        <v>255</v>
      </c>
      <c r="N34" s="24">
        <v>1159135.44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77267.520000000004</v>
      </c>
      <c r="V34" s="1">
        <f>N34/M34</f>
        <v>4545.6291764705884</v>
      </c>
    </row>
    <row r="35" spans="1:22" ht="45" customHeight="1" x14ac:dyDescent="0.25">
      <c r="A35" s="63" t="s">
        <v>1454</v>
      </c>
      <c r="B35" s="63"/>
      <c r="C35" s="12">
        <f t="shared" si="2"/>
        <v>2051640.0000000002</v>
      </c>
      <c r="D35" s="12">
        <f t="shared" ref="D35:U35" si="9">SUM(D36)</f>
        <v>0</v>
      </c>
      <c r="E35" s="12">
        <f t="shared" si="9"/>
        <v>0</v>
      </c>
      <c r="F35" s="12">
        <f t="shared" si="9"/>
        <v>0</v>
      </c>
      <c r="G35" s="12">
        <f t="shared" si="9"/>
        <v>0</v>
      </c>
      <c r="H35" s="12">
        <f t="shared" si="9"/>
        <v>0</v>
      </c>
      <c r="I35" s="12">
        <f t="shared" si="9"/>
        <v>0</v>
      </c>
      <c r="J35" s="12">
        <f t="shared" si="9"/>
        <v>0</v>
      </c>
      <c r="K35" s="13">
        <f t="shared" si="9"/>
        <v>0</v>
      </c>
      <c r="L35" s="12">
        <f t="shared" si="9"/>
        <v>0</v>
      </c>
      <c r="M35" s="12">
        <f t="shared" si="9"/>
        <v>0</v>
      </c>
      <c r="N35" s="12">
        <f t="shared" si="9"/>
        <v>0</v>
      </c>
      <c r="O35" s="12">
        <f t="shared" si="9"/>
        <v>323.25</v>
      </c>
      <c r="P35" s="12">
        <f t="shared" si="9"/>
        <v>387900</v>
      </c>
      <c r="Q35" s="12">
        <f t="shared" si="9"/>
        <v>554.58000000000004</v>
      </c>
      <c r="R35" s="12">
        <f t="shared" si="9"/>
        <v>1663740.0000000002</v>
      </c>
      <c r="S35" s="12">
        <f t="shared" si="9"/>
        <v>0</v>
      </c>
      <c r="T35" s="12">
        <f t="shared" si="9"/>
        <v>0</v>
      </c>
      <c r="U35" s="12">
        <f t="shared" si="9"/>
        <v>0</v>
      </c>
      <c r="V35" s="22">
        <f>C35</f>
        <v>2051640.0000000002</v>
      </c>
    </row>
    <row r="36" spans="1:22" ht="27" customHeight="1" x14ac:dyDescent="0.25">
      <c r="A36" s="18" t="s">
        <v>1649</v>
      </c>
      <c r="B36" s="25" t="s">
        <v>1455</v>
      </c>
      <c r="C36" s="12">
        <f t="shared" si="2"/>
        <v>2051640.0000000002</v>
      </c>
      <c r="D36" s="20">
        <f>SUM(E36:J36)</f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1">
        <v>0</v>
      </c>
      <c r="L36" s="20">
        <v>0</v>
      </c>
      <c r="M36" s="20">
        <v>0</v>
      </c>
      <c r="N36" s="20">
        <v>0</v>
      </c>
      <c r="O36" s="20">
        <v>323.25</v>
      </c>
      <c r="P36" s="20">
        <f>O36*1200</f>
        <v>387900</v>
      </c>
      <c r="Q36" s="20">
        <v>554.58000000000004</v>
      </c>
      <c r="R36" s="20">
        <f>Q36*3000</f>
        <v>1663740.0000000002</v>
      </c>
      <c r="S36" s="20">
        <v>0</v>
      </c>
      <c r="T36" s="20">
        <v>0</v>
      </c>
      <c r="U36" s="20">
        <v>0</v>
      </c>
      <c r="V36" s="1" t="e">
        <f>N36/M36</f>
        <v>#DIV/0!</v>
      </c>
    </row>
    <row r="37" spans="1:22" ht="45" customHeight="1" x14ac:dyDescent="0.25">
      <c r="A37" s="63" t="s">
        <v>2</v>
      </c>
      <c r="B37" s="63"/>
      <c r="C37" s="12">
        <f t="shared" si="2"/>
        <v>2184809.2999999998</v>
      </c>
      <c r="D37" s="12">
        <f t="shared" ref="D37:U37" si="10">SUM(D38:D39)</f>
        <v>0</v>
      </c>
      <c r="E37" s="12">
        <f t="shared" si="10"/>
        <v>0</v>
      </c>
      <c r="F37" s="12">
        <f t="shared" si="10"/>
        <v>0</v>
      </c>
      <c r="G37" s="12">
        <f t="shared" si="10"/>
        <v>0</v>
      </c>
      <c r="H37" s="12">
        <f t="shared" si="10"/>
        <v>0</v>
      </c>
      <c r="I37" s="12">
        <f t="shared" si="10"/>
        <v>0</v>
      </c>
      <c r="J37" s="12">
        <f t="shared" si="10"/>
        <v>0</v>
      </c>
      <c r="K37" s="13">
        <f t="shared" si="10"/>
        <v>0</v>
      </c>
      <c r="L37" s="12">
        <f t="shared" si="10"/>
        <v>0</v>
      </c>
      <c r="M37" s="12">
        <f t="shared" si="10"/>
        <v>496</v>
      </c>
      <c r="N37" s="12">
        <f t="shared" si="10"/>
        <v>1830260.64</v>
      </c>
      <c r="O37" s="12">
        <f t="shared" si="10"/>
        <v>0</v>
      </c>
      <c r="P37" s="12">
        <f t="shared" si="10"/>
        <v>0</v>
      </c>
      <c r="Q37" s="12">
        <f t="shared" si="10"/>
        <v>0</v>
      </c>
      <c r="R37" s="12">
        <f t="shared" si="10"/>
        <v>0</v>
      </c>
      <c r="S37" s="12">
        <f t="shared" si="10"/>
        <v>0</v>
      </c>
      <c r="T37" s="12">
        <f t="shared" si="10"/>
        <v>0</v>
      </c>
      <c r="U37" s="12">
        <f t="shared" si="10"/>
        <v>354548.66000000003</v>
      </c>
      <c r="V37" s="22">
        <f>C37+C376+C794</f>
        <v>15743194.300000001</v>
      </c>
    </row>
    <row r="38" spans="1:22" ht="20.100000000000001" customHeight="1" x14ac:dyDescent="0.25">
      <c r="A38" s="18" t="s">
        <v>1650</v>
      </c>
      <c r="B38" s="25" t="s">
        <v>78</v>
      </c>
      <c r="C38" s="12">
        <f t="shared" si="2"/>
        <v>300000</v>
      </c>
      <c r="D38" s="20">
        <f t="shared" ref="D38:D39" si="11">SUM(E38:J38)</f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1">
        <v>0</v>
      </c>
      <c r="L38" s="20">
        <v>0</v>
      </c>
      <c r="M38" s="8">
        <v>0</v>
      </c>
      <c r="N38" s="8">
        <v>0</v>
      </c>
      <c r="O38" s="20">
        <v>0</v>
      </c>
      <c r="P38" s="20">
        <v>0</v>
      </c>
      <c r="Q38" s="20">
        <v>0</v>
      </c>
      <c r="R38" s="20">
        <v>0</v>
      </c>
      <c r="S38" s="8">
        <v>0</v>
      </c>
      <c r="T38" s="20">
        <v>0</v>
      </c>
      <c r="U38" s="20">
        <v>300000</v>
      </c>
      <c r="V38" s="1" t="e">
        <f t="shared" ref="V38:V39" si="12">N38/M38</f>
        <v>#DIV/0!</v>
      </c>
    </row>
    <row r="39" spans="1:22" s="1" customFormat="1" ht="20.100000000000001" customHeight="1" x14ac:dyDescent="0.25">
      <c r="A39" s="18" t="s">
        <v>1651</v>
      </c>
      <c r="B39" s="25" t="s">
        <v>79</v>
      </c>
      <c r="C39" s="12">
        <f>D39+L39+N39+P39+R39+S39+T39+U39</f>
        <v>1884809.2999999998</v>
      </c>
      <c r="D39" s="20">
        <f t="shared" si="11"/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9">
        <v>0</v>
      </c>
      <c r="L39" s="8">
        <v>0</v>
      </c>
      <c r="M39" s="8">
        <v>496</v>
      </c>
      <c r="N39" s="8">
        <v>1830260.64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20">
        <v>0</v>
      </c>
      <c r="U39" s="8">
        <v>54548.66</v>
      </c>
      <c r="V39" s="1">
        <f t="shared" si="12"/>
        <v>3690.0416129032255</v>
      </c>
    </row>
    <row r="40" spans="1:22" ht="45" customHeight="1" x14ac:dyDescent="0.25">
      <c r="A40" s="63" t="s">
        <v>836</v>
      </c>
      <c r="B40" s="63"/>
      <c r="C40" s="12">
        <f t="shared" si="2"/>
        <v>3289800</v>
      </c>
      <c r="D40" s="12">
        <f t="shared" ref="D40:U40" si="13">SUM(D41:D42)</f>
        <v>0</v>
      </c>
      <c r="E40" s="12">
        <f t="shared" si="13"/>
        <v>0</v>
      </c>
      <c r="F40" s="12">
        <f t="shared" si="13"/>
        <v>0</v>
      </c>
      <c r="G40" s="12">
        <f t="shared" si="13"/>
        <v>0</v>
      </c>
      <c r="H40" s="12">
        <f t="shared" si="13"/>
        <v>0</v>
      </c>
      <c r="I40" s="12">
        <f t="shared" si="13"/>
        <v>0</v>
      </c>
      <c r="J40" s="12">
        <f t="shared" si="13"/>
        <v>0</v>
      </c>
      <c r="K40" s="13">
        <f t="shared" si="13"/>
        <v>0</v>
      </c>
      <c r="L40" s="12">
        <f t="shared" si="13"/>
        <v>0</v>
      </c>
      <c r="M40" s="12">
        <f t="shared" si="13"/>
        <v>906</v>
      </c>
      <c r="N40" s="12">
        <f t="shared" si="13"/>
        <v>2989800</v>
      </c>
      <c r="O40" s="12">
        <f t="shared" si="13"/>
        <v>0</v>
      </c>
      <c r="P40" s="12">
        <f t="shared" si="13"/>
        <v>0</v>
      </c>
      <c r="Q40" s="12">
        <f t="shared" si="13"/>
        <v>0</v>
      </c>
      <c r="R40" s="12">
        <f t="shared" si="13"/>
        <v>0</v>
      </c>
      <c r="S40" s="12">
        <f t="shared" si="13"/>
        <v>0</v>
      </c>
      <c r="T40" s="12">
        <f t="shared" si="13"/>
        <v>0</v>
      </c>
      <c r="U40" s="12">
        <f t="shared" si="13"/>
        <v>300000</v>
      </c>
      <c r="V40" s="22">
        <f>C40+C382+C800</f>
        <v>23110090.399999999</v>
      </c>
    </row>
    <row r="41" spans="1:22" ht="20.100000000000001" customHeight="1" x14ac:dyDescent="0.25">
      <c r="A41" s="18" t="s">
        <v>1652</v>
      </c>
      <c r="B41" s="25" t="s">
        <v>88</v>
      </c>
      <c r="C41" s="12">
        <f t="shared" si="2"/>
        <v>466300</v>
      </c>
      <c r="D41" s="20">
        <f t="shared" ref="D41:D42" si="14">SUM(E41:J41)</f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1">
        <v>0</v>
      </c>
      <c r="L41" s="20">
        <v>0</v>
      </c>
      <c r="M41" s="20">
        <v>111</v>
      </c>
      <c r="N41" s="24">
        <v>366300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100000</v>
      </c>
      <c r="V41" s="1">
        <f t="shared" ref="V41:V42" si="15">N41/M41</f>
        <v>3300</v>
      </c>
    </row>
    <row r="42" spans="1:22" ht="20.100000000000001" customHeight="1" x14ac:dyDescent="0.25">
      <c r="A42" s="18" t="s">
        <v>1653</v>
      </c>
      <c r="B42" s="25" t="s">
        <v>89</v>
      </c>
      <c r="C42" s="12">
        <f t="shared" si="2"/>
        <v>2823500</v>
      </c>
      <c r="D42" s="20">
        <f t="shared" si="14"/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1">
        <v>0</v>
      </c>
      <c r="L42" s="20">
        <v>0</v>
      </c>
      <c r="M42" s="20">
        <v>795</v>
      </c>
      <c r="N42" s="24">
        <v>2623500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200000</v>
      </c>
      <c r="V42" s="1">
        <f t="shared" si="15"/>
        <v>3300</v>
      </c>
    </row>
    <row r="43" spans="1:22" ht="45" customHeight="1" x14ac:dyDescent="0.25">
      <c r="A43" s="63" t="s">
        <v>94</v>
      </c>
      <c r="B43" s="63"/>
      <c r="C43" s="12">
        <f t="shared" si="2"/>
        <v>11348572.120000001</v>
      </c>
      <c r="D43" s="12">
        <f t="shared" ref="D43:U43" si="16">SUM(D44:D47)</f>
        <v>1548572.12</v>
      </c>
      <c r="E43" s="12">
        <f t="shared" si="16"/>
        <v>151690</v>
      </c>
      <c r="F43" s="12">
        <f t="shared" si="16"/>
        <v>1093502.1200000001</v>
      </c>
      <c r="G43" s="12">
        <f t="shared" si="16"/>
        <v>130020</v>
      </c>
      <c r="H43" s="12">
        <f t="shared" si="16"/>
        <v>0</v>
      </c>
      <c r="I43" s="12">
        <f t="shared" si="16"/>
        <v>173360</v>
      </c>
      <c r="J43" s="12">
        <f t="shared" si="16"/>
        <v>0</v>
      </c>
      <c r="K43" s="13">
        <f t="shared" si="16"/>
        <v>4</v>
      </c>
      <c r="L43" s="12">
        <f t="shared" si="16"/>
        <v>9200000</v>
      </c>
      <c r="M43" s="12">
        <f t="shared" si="16"/>
        <v>0</v>
      </c>
      <c r="N43" s="12">
        <f t="shared" si="16"/>
        <v>0</v>
      </c>
      <c r="O43" s="12">
        <f t="shared" si="16"/>
        <v>0</v>
      </c>
      <c r="P43" s="12">
        <f t="shared" si="16"/>
        <v>0</v>
      </c>
      <c r="Q43" s="12">
        <f t="shared" si="16"/>
        <v>0</v>
      </c>
      <c r="R43" s="12">
        <f t="shared" si="16"/>
        <v>0</v>
      </c>
      <c r="S43" s="12">
        <f t="shared" si="16"/>
        <v>0</v>
      </c>
      <c r="T43" s="12">
        <f t="shared" si="16"/>
        <v>0</v>
      </c>
      <c r="U43" s="12">
        <f t="shared" si="16"/>
        <v>600000</v>
      </c>
      <c r="V43" s="22">
        <f>C43+C387+C806</f>
        <v>30730943.32</v>
      </c>
    </row>
    <row r="44" spans="1:22" s="1" customFormat="1" ht="21.95" customHeight="1" x14ac:dyDescent="0.25">
      <c r="A44" s="26" t="s">
        <v>1654</v>
      </c>
      <c r="B44" s="25" t="s">
        <v>96</v>
      </c>
      <c r="C44" s="12">
        <f t="shared" si="2"/>
        <v>655070</v>
      </c>
      <c r="D44" s="20">
        <f t="shared" ref="D44:D47" si="17">SUM(E44:J44)</f>
        <v>455070</v>
      </c>
      <c r="E44" s="8">
        <f>350*433.4</f>
        <v>151690</v>
      </c>
      <c r="F44" s="8">
        <f>800*0</f>
        <v>0</v>
      </c>
      <c r="G44" s="8">
        <f>300*433.4</f>
        <v>130020</v>
      </c>
      <c r="H44" s="8">
        <f>500*0</f>
        <v>0</v>
      </c>
      <c r="I44" s="8">
        <f>400*433.4</f>
        <v>173360</v>
      </c>
      <c r="J44" s="8">
        <f>350*0</f>
        <v>0</v>
      </c>
      <c r="K44" s="9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200000</v>
      </c>
      <c r="V44" s="1" t="e">
        <f t="shared" ref="V44:V47" si="18">N44/M44</f>
        <v>#DIV/0!</v>
      </c>
    </row>
    <row r="45" spans="1:22" ht="21.95" customHeight="1" x14ac:dyDescent="0.25">
      <c r="A45" s="26" t="s">
        <v>1655</v>
      </c>
      <c r="B45" s="25" t="s">
        <v>97</v>
      </c>
      <c r="C45" s="12">
        <f t="shared" si="2"/>
        <v>4800000</v>
      </c>
      <c r="D45" s="20">
        <f t="shared" si="17"/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1">
        <v>2</v>
      </c>
      <c r="L45" s="20">
        <v>4600000</v>
      </c>
      <c r="M45" s="8">
        <v>0</v>
      </c>
      <c r="N45" s="8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200000</v>
      </c>
      <c r="V45" s="1" t="e">
        <f t="shared" si="18"/>
        <v>#DIV/0!</v>
      </c>
    </row>
    <row r="46" spans="1:22" ht="21.95" customHeight="1" x14ac:dyDescent="0.25">
      <c r="A46" s="26" t="s">
        <v>1656</v>
      </c>
      <c r="B46" s="25" t="s">
        <v>100</v>
      </c>
      <c r="C46" s="12">
        <f t="shared" si="2"/>
        <v>4800000</v>
      </c>
      <c r="D46" s="20">
        <f t="shared" si="17"/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1">
        <v>2</v>
      </c>
      <c r="L46" s="20">
        <v>4600000</v>
      </c>
      <c r="M46" s="8">
        <v>0</v>
      </c>
      <c r="N46" s="8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200000</v>
      </c>
      <c r="V46" s="1" t="e">
        <f t="shared" si="18"/>
        <v>#DIV/0!</v>
      </c>
    </row>
    <row r="47" spans="1:22" ht="21.95" customHeight="1" x14ac:dyDescent="0.25">
      <c r="A47" s="26" t="s">
        <v>1657</v>
      </c>
      <c r="B47" s="25" t="s">
        <v>1605</v>
      </c>
      <c r="C47" s="12">
        <f t="shared" si="2"/>
        <v>1093502.1200000001</v>
      </c>
      <c r="D47" s="20">
        <f t="shared" si="17"/>
        <v>1093502.1200000001</v>
      </c>
      <c r="E47" s="20">
        <v>0</v>
      </c>
      <c r="F47" s="20">
        <v>1093502.1200000001</v>
      </c>
      <c r="G47" s="20">
        <v>0</v>
      </c>
      <c r="H47" s="20">
        <v>0</v>
      </c>
      <c r="I47" s="20">
        <v>0</v>
      </c>
      <c r="J47" s="20">
        <v>0</v>
      </c>
      <c r="K47" s="21">
        <v>0</v>
      </c>
      <c r="L47" s="20">
        <v>0</v>
      </c>
      <c r="M47" s="8">
        <v>0</v>
      </c>
      <c r="N47" s="8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1" t="e">
        <f t="shared" si="18"/>
        <v>#DIV/0!</v>
      </c>
    </row>
    <row r="48" spans="1:22" ht="45" customHeight="1" x14ac:dyDescent="0.25">
      <c r="A48" s="63" t="s">
        <v>103</v>
      </c>
      <c r="B48" s="63"/>
      <c r="C48" s="12">
        <f t="shared" si="2"/>
        <v>16941870</v>
      </c>
      <c r="D48" s="12">
        <f t="shared" ref="D48:U48" si="19">SUM(D49:D52)</f>
        <v>0</v>
      </c>
      <c r="E48" s="12">
        <f t="shared" si="19"/>
        <v>0</v>
      </c>
      <c r="F48" s="12">
        <f t="shared" si="19"/>
        <v>0</v>
      </c>
      <c r="G48" s="12">
        <f t="shared" si="19"/>
        <v>0</v>
      </c>
      <c r="H48" s="12">
        <f t="shared" si="19"/>
        <v>0</v>
      </c>
      <c r="I48" s="12">
        <f t="shared" si="19"/>
        <v>0</v>
      </c>
      <c r="J48" s="12">
        <f t="shared" si="19"/>
        <v>0</v>
      </c>
      <c r="K48" s="13">
        <f t="shared" si="19"/>
        <v>0</v>
      </c>
      <c r="L48" s="12">
        <f t="shared" si="19"/>
        <v>0</v>
      </c>
      <c r="M48" s="12">
        <f t="shared" si="19"/>
        <v>3014.3</v>
      </c>
      <c r="N48" s="12">
        <f t="shared" si="19"/>
        <v>16141870</v>
      </c>
      <c r="O48" s="12">
        <f t="shared" si="19"/>
        <v>0</v>
      </c>
      <c r="P48" s="12">
        <f t="shared" si="19"/>
        <v>0</v>
      </c>
      <c r="Q48" s="12">
        <f t="shared" si="19"/>
        <v>0</v>
      </c>
      <c r="R48" s="12">
        <f t="shared" si="19"/>
        <v>0</v>
      </c>
      <c r="S48" s="12">
        <f t="shared" si="19"/>
        <v>0</v>
      </c>
      <c r="T48" s="12">
        <f t="shared" si="19"/>
        <v>0</v>
      </c>
      <c r="U48" s="12">
        <f t="shared" si="19"/>
        <v>800000</v>
      </c>
      <c r="V48" s="22">
        <f>C48+C391+C809</f>
        <v>51835354.600000001</v>
      </c>
    </row>
    <row r="49" spans="1:22" ht="21" customHeight="1" x14ac:dyDescent="0.25">
      <c r="A49" s="18" t="s">
        <v>1658</v>
      </c>
      <c r="B49" s="25" t="s">
        <v>109</v>
      </c>
      <c r="C49" s="12">
        <f t="shared" si="2"/>
        <v>4767200</v>
      </c>
      <c r="D49" s="20">
        <f t="shared" ref="D49:D52" si="20">SUM(E49:J49)</f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1">
        <v>0</v>
      </c>
      <c r="L49" s="20">
        <v>0</v>
      </c>
      <c r="M49" s="8">
        <v>830.4</v>
      </c>
      <c r="N49" s="8">
        <v>4567200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200000</v>
      </c>
      <c r="V49" s="1">
        <f t="shared" ref="V49:V52" si="21">N49/M49</f>
        <v>5500</v>
      </c>
    </row>
    <row r="50" spans="1:22" ht="21.95" customHeight="1" x14ac:dyDescent="0.25">
      <c r="A50" s="18" t="s">
        <v>1659</v>
      </c>
      <c r="B50" s="25" t="s">
        <v>111</v>
      </c>
      <c r="C50" s="12">
        <f t="shared" si="2"/>
        <v>4206800</v>
      </c>
      <c r="D50" s="20">
        <f t="shared" si="20"/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1">
        <v>0</v>
      </c>
      <c r="L50" s="20">
        <v>0</v>
      </c>
      <c r="M50" s="8">
        <v>756</v>
      </c>
      <c r="N50" s="24">
        <f>M50*5300</f>
        <v>4006800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200000</v>
      </c>
      <c r="V50" s="1">
        <f t="shared" si="21"/>
        <v>5300</v>
      </c>
    </row>
    <row r="51" spans="1:22" ht="21.95" customHeight="1" x14ac:dyDescent="0.25">
      <c r="A51" s="18" t="s">
        <v>1660</v>
      </c>
      <c r="B51" s="25" t="s">
        <v>112</v>
      </c>
      <c r="C51" s="12">
        <f t="shared" si="2"/>
        <v>4206800</v>
      </c>
      <c r="D51" s="20">
        <f t="shared" si="20"/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1">
        <v>0</v>
      </c>
      <c r="L51" s="20">
        <v>0</v>
      </c>
      <c r="M51" s="8">
        <v>756</v>
      </c>
      <c r="N51" s="24">
        <f>M51*5300</f>
        <v>4006800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200000</v>
      </c>
      <c r="V51" s="1">
        <f t="shared" si="21"/>
        <v>5300</v>
      </c>
    </row>
    <row r="52" spans="1:22" ht="21.95" customHeight="1" x14ac:dyDescent="0.25">
      <c r="A52" s="18" t="s">
        <v>1661</v>
      </c>
      <c r="B52" s="25" t="s">
        <v>113</v>
      </c>
      <c r="C52" s="12">
        <f t="shared" si="2"/>
        <v>3761070</v>
      </c>
      <c r="D52" s="20">
        <f t="shared" si="20"/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1">
        <v>0</v>
      </c>
      <c r="L52" s="20">
        <v>0</v>
      </c>
      <c r="M52" s="20">
        <v>671.9</v>
      </c>
      <c r="N52" s="24">
        <f>M52*5300</f>
        <v>3561070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200000</v>
      </c>
      <c r="V52" s="1">
        <f t="shared" si="21"/>
        <v>5300</v>
      </c>
    </row>
    <row r="53" spans="1:22" ht="45" customHeight="1" x14ac:dyDescent="0.25">
      <c r="A53" s="63" t="s">
        <v>1452</v>
      </c>
      <c r="B53" s="63"/>
      <c r="C53" s="12">
        <f t="shared" si="2"/>
        <v>2818731.24</v>
      </c>
      <c r="D53" s="12">
        <f t="shared" ref="D53:U53" si="22">SUM(D54)</f>
        <v>0</v>
      </c>
      <c r="E53" s="12">
        <f t="shared" si="22"/>
        <v>0</v>
      </c>
      <c r="F53" s="12">
        <f t="shared" si="22"/>
        <v>0</v>
      </c>
      <c r="G53" s="12">
        <f t="shared" si="22"/>
        <v>0</v>
      </c>
      <c r="H53" s="12">
        <f t="shared" si="22"/>
        <v>0</v>
      </c>
      <c r="I53" s="12">
        <f t="shared" si="22"/>
        <v>0</v>
      </c>
      <c r="J53" s="12">
        <f t="shared" si="22"/>
        <v>0</v>
      </c>
      <c r="K53" s="13">
        <f t="shared" si="22"/>
        <v>0</v>
      </c>
      <c r="L53" s="12">
        <f t="shared" si="22"/>
        <v>0</v>
      </c>
      <c r="M53" s="12">
        <f t="shared" si="22"/>
        <v>585.66</v>
      </c>
      <c r="N53" s="12">
        <f t="shared" si="22"/>
        <v>2818731.24</v>
      </c>
      <c r="O53" s="12">
        <f t="shared" si="22"/>
        <v>0</v>
      </c>
      <c r="P53" s="12">
        <f t="shared" si="22"/>
        <v>0</v>
      </c>
      <c r="Q53" s="12">
        <f t="shared" si="22"/>
        <v>0</v>
      </c>
      <c r="R53" s="12">
        <f t="shared" si="22"/>
        <v>0</v>
      </c>
      <c r="S53" s="12">
        <f t="shared" si="22"/>
        <v>0</v>
      </c>
      <c r="T53" s="12">
        <f t="shared" si="22"/>
        <v>0</v>
      </c>
      <c r="U53" s="12">
        <f t="shared" si="22"/>
        <v>0</v>
      </c>
      <c r="V53" s="22">
        <f>C53</f>
        <v>2818731.24</v>
      </c>
    </row>
    <row r="54" spans="1:22" ht="21.95" customHeight="1" x14ac:dyDescent="0.25">
      <c r="A54" s="26" t="s">
        <v>1662</v>
      </c>
      <c r="B54" s="25" t="s">
        <v>1453</v>
      </c>
      <c r="C54" s="12">
        <f t="shared" si="2"/>
        <v>2818731.24</v>
      </c>
      <c r="D54" s="20">
        <f>SUM(E54:J54)</f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9">
        <v>0</v>
      </c>
      <c r="L54" s="8">
        <v>0</v>
      </c>
      <c r="M54" s="8">
        <v>585.66</v>
      </c>
      <c r="N54" s="8">
        <v>2818731.24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1">
        <f>N54/M54</f>
        <v>4812.9140456920404</v>
      </c>
    </row>
    <row r="55" spans="1:22" ht="45" customHeight="1" x14ac:dyDescent="0.25">
      <c r="A55" s="63" t="s">
        <v>125</v>
      </c>
      <c r="B55" s="63"/>
      <c r="C55" s="12">
        <f t="shared" si="2"/>
        <v>6769875</v>
      </c>
      <c r="D55" s="12">
        <f t="shared" ref="D55:U55" si="23">SUM(D56:D57)</f>
        <v>0</v>
      </c>
      <c r="E55" s="12">
        <f t="shared" si="23"/>
        <v>0</v>
      </c>
      <c r="F55" s="12">
        <f t="shared" si="23"/>
        <v>0</v>
      </c>
      <c r="G55" s="12">
        <f t="shared" si="23"/>
        <v>0</v>
      </c>
      <c r="H55" s="12">
        <f t="shared" si="23"/>
        <v>0</v>
      </c>
      <c r="I55" s="12">
        <f t="shared" si="23"/>
        <v>0</v>
      </c>
      <c r="J55" s="12">
        <f t="shared" si="23"/>
        <v>0</v>
      </c>
      <c r="K55" s="13">
        <f t="shared" si="23"/>
        <v>0</v>
      </c>
      <c r="L55" s="12">
        <f t="shared" si="23"/>
        <v>0</v>
      </c>
      <c r="M55" s="12">
        <f t="shared" si="23"/>
        <v>1021.25</v>
      </c>
      <c r="N55" s="12">
        <f t="shared" si="23"/>
        <v>4406875</v>
      </c>
      <c r="O55" s="12">
        <f t="shared" si="23"/>
        <v>0</v>
      </c>
      <c r="P55" s="12">
        <f t="shared" si="23"/>
        <v>0</v>
      </c>
      <c r="Q55" s="12">
        <f t="shared" si="23"/>
        <v>600</v>
      </c>
      <c r="R55" s="12">
        <f t="shared" si="23"/>
        <v>1563000</v>
      </c>
      <c r="S55" s="12">
        <f t="shared" si="23"/>
        <v>0</v>
      </c>
      <c r="T55" s="12">
        <f t="shared" si="23"/>
        <v>0</v>
      </c>
      <c r="U55" s="12">
        <f t="shared" si="23"/>
        <v>800000</v>
      </c>
      <c r="V55" s="22">
        <f>C55+C403+C822</f>
        <v>14640125</v>
      </c>
    </row>
    <row r="56" spans="1:22" ht="21.95" customHeight="1" x14ac:dyDescent="0.25">
      <c r="A56" s="26" t="s">
        <v>1663</v>
      </c>
      <c r="B56" s="25" t="s">
        <v>1230</v>
      </c>
      <c r="C56" s="12">
        <f t="shared" si="2"/>
        <v>3578000</v>
      </c>
      <c r="D56" s="20">
        <f t="shared" ref="D56:D57" si="24">SUM(E56:J56)</f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9">
        <v>0</v>
      </c>
      <c r="L56" s="8">
        <v>0</v>
      </c>
      <c r="M56" s="8">
        <v>550</v>
      </c>
      <c r="N56" s="8">
        <f>M56*3300</f>
        <v>1815000</v>
      </c>
      <c r="O56" s="8">
        <v>0</v>
      </c>
      <c r="P56" s="8">
        <v>0</v>
      </c>
      <c r="Q56" s="8">
        <v>600</v>
      </c>
      <c r="R56" s="8">
        <f>Q56*2605</f>
        <v>1563000</v>
      </c>
      <c r="S56" s="8">
        <v>0</v>
      </c>
      <c r="T56" s="8">
        <v>0</v>
      </c>
      <c r="U56" s="8">
        <v>200000</v>
      </c>
      <c r="V56" s="1">
        <f t="shared" ref="V56:V57" si="25">N56/M56</f>
        <v>3300</v>
      </c>
    </row>
    <row r="57" spans="1:22" ht="21.95" customHeight="1" x14ac:dyDescent="0.25">
      <c r="A57" s="26" t="s">
        <v>1664</v>
      </c>
      <c r="B57" s="27" t="s">
        <v>123</v>
      </c>
      <c r="C57" s="12">
        <f t="shared" si="2"/>
        <v>3191875</v>
      </c>
      <c r="D57" s="20">
        <f t="shared" si="24"/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9">
        <v>0</v>
      </c>
      <c r="L57" s="8">
        <v>0</v>
      </c>
      <c r="M57" s="8">
        <v>471.25</v>
      </c>
      <c r="N57" s="8">
        <f>M57*5500</f>
        <v>2591875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600000</v>
      </c>
      <c r="V57" s="1">
        <f t="shared" si="25"/>
        <v>5500</v>
      </c>
    </row>
    <row r="58" spans="1:22" ht="45" customHeight="1" x14ac:dyDescent="0.25">
      <c r="A58" s="63" t="s">
        <v>133</v>
      </c>
      <c r="B58" s="63"/>
      <c r="C58" s="12">
        <f t="shared" si="2"/>
        <v>300000</v>
      </c>
      <c r="D58" s="12">
        <f t="shared" ref="D58:U58" si="26">SUM(D59)</f>
        <v>0</v>
      </c>
      <c r="E58" s="12">
        <f t="shared" si="26"/>
        <v>0</v>
      </c>
      <c r="F58" s="12">
        <f t="shared" si="26"/>
        <v>0</v>
      </c>
      <c r="G58" s="12">
        <f t="shared" si="26"/>
        <v>0</v>
      </c>
      <c r="H58" s="12">
        <f t="shared" si="26"/>
        <v>0</v>
      </c>
      <c r="I58" s="12">
        <f t="shared" si="26"/>
        <v>0</v>
      </c>
      <c r="J58" s="12">
        <f t="shared" si="26"/>
        <v>0</v>
      </c>
      <c r="K58" s="13">
        <f t="shared" si="26"/>
        <v>0</v>
      </c>
      <c r="L58" s="12">
        <f t="shared" si="26"/>
        <v>0</v>
      </c>
      <c r="M58" s="12">
        <f t="shared" si="26"/>
        <v>0</v>
      </c>
      <c r="N58" s="12">
        <f t="shared" si="26"/>
        <v>0</v>
      </c>
      <c r="O58" s="12">
        <f t="shared" si="26"/>
        <v>0</v>
      </c>
      <c r="P58" s="12">
        <f t="shared" si="26"/>
        <v>0</v>
      </c>
      <c r="Q58" s="12">
        <f t="shared" si="26"/>
        <v>0</v>
      </c>
      <c r="R58" s="12">
        <f t="shared" si="26"/>
        <v>0</v>
      </c>
      <c r="S58" s="12">
        <f t="shared" si="26"/>
        <v>0</v>
      </c>
      <c r="T58" s="12">
        <f t="shared" si="26"/>
        <v>0</v>
      </c>
      <c r="U58" s="12">
        <f t="shared" si="26"/>
        <v>300000</v>
      </c>
      <c r="V58" s="22">
        <f>C58+C408</f>
        <v>11419730</v>
      </c>
    </row>
    <row r="59" spans="1:22" ht="21.95" customHeight="1" x14ac:dyDescent="0.25">
      <c r="A59" s="18" t="s">
        <v>1665</v>
      </c>
      <c r="B59" s="25" t="s">
        <v>129</v>
      </c>
      <c r="C59" s="12">
        <f t="shared" si="2"/>
        <v>300000</v>
      </c>
      <c r="D59" s="20">
        <f>SUM(E59:J59)</f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1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8">
        <v>0</v>
      </c>
      <c r="S59" s="20">
        <v>0</v>
      </c>
      <c r="T59" s="20">
        <v>0</v>
      </c>
      <c r="U59" s="20">
        <v>300000</v>
      </c>
      <c r="V59" s="1" t="e">
        <f>N59/M59</f>
        <v>#DIV/0!</v>
      </c>
    </row>
    <row r="60" spans="1:22" ht="45" customHeight="1" x14ac:dyDescent="0.25">
      <c r="A60" s="63" t="s">
        <v>135</v>
      </c>
      <c r="B60" s="63"/>
      <c r="C60" s="12">
        <f t="shared" si="2"/>
        <v>19476281</v>
      </c>
      <c r="D60" s="12">
        <f t="shared" ref="D60:U60" si="27">SUM(D61:D63)</f>
        <v>0</v>
      </c>
      <c r="E60" s="12">
        <f t="shared" si="27"/>
        <v>0</v>
      </c>
      <c r="F60" s="12">
        <f t="shared" si="27"/>
        <v>0</v>
      </c>
      <c r="G60" s="12">
        <f t="shared" si="27"/>
        <v>0</v>
      </c>
      <c r="H60" s="12">
        <f t="shared" si="27"/>
        <v>0</v>
      </c>
      <c r="I60" s="12">
        <f t="shared" si="27"/>
        <v>0</v>
      </c>
      <c r="J60" s="12">
        <f t="shared" si="27"/>
        <v>0</v>
      </c>
      <c r="K60" s="13">
        <f t="shared" si="27"/>
        <v>0</v>
      </c>
      <c r="L60" s="12">
        <f t="shared" si="27"/>
        <v>0</v>
      </c>
      <c r="M60" s="12">
        <f t="shared" si="27"/>
        <v>3332.8</v>
      </c>
      <c r="N60" s="12">
        <f t="shared" si="27"/>
        <v>10998240</v>
      </c>
      <c r="O60" s="12">
        <f t="shared" si="27"/>
        <v>0</v>
      </c>
      <c r="P60" s="12">
        <f t="shared" si="27"/>
        <v>0</v>
      </c>
      <c r="Q60" s="12">
        <f t="shared" si="27"/>
        <v>3024.2</v>
      </c>
      <c r="R60" s="12">
        <f t="shared" si="27"/>
        <v>7878040.9999999991</v>
      </c>
      <c r="S60" s="12">
        <f t="shared" si="27"/>
        <v>0</v>
      </c>
      <c r="T60" s="12">
        <f t="shared" si="27"/>
        <v>0</v>
      </c>
      <c r="U60" s="12">
        <f t="shared" si="27"/>
        <v>600000</v>
      </c>
      <c r="V60" s="22">
        <f>C60+C414</f>
        <v>22840781</v>
      </c>
    </row>
    <row r="61" spans="1:22" ht="21.95" customHeight="1" x14ac:dyDescent="0.25">
      <c r="A61" s="18" t="s">
        <v>1666</v>
      </c>
      <c r="B61" s="25" t="s">
        <v>136</v>
      </c>
      <c r="C61" s="12">
        <f t="shared" si="2"/>
        <v>3839240</v>
      </c>
      <c r="D61" s="20">
        <f t="shared" ref="D61:D63" si="28">SUM(E61:J61)</f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1">
        <v>0</v>
      </c>
      <c r="L61" s="20">
        <v>0</v>
      </c>
      <c r="M61" s="20">
        <v>1102.8</v>
      </c>
      <c r="N61" s="20">
        <v>3639240</v>
      </c>
      <c r="O61" s="20">
        <v>0</v>
      </c>
      <c r="P61" s="20">
        <v>0</v>
      </c>
      <c r="Q61" s="20">
        <v>0</v>
      </c>
      <c r="R61" s="8">
        <v>0</v>
      </c>
      <c r="S61" s="20">
        <v>0</v>
      </c>
      <c r="T61" s="20">
        <v>0</v>
      </c>
      <c r="U61" s="20">
        <v>200000</v>
      </c>
      <c r="V61" s="1">
        <f t="shared" ref="V61:V63" si="29">N61/M61</f>
        <v>3300</v>
      </c>
    </row>
    <row r="62" spans="1:22" ht="21.95" customHeight="1" x14ac:dyDescent="0.25">
      <c r="A62" s="18" t="s">
        <v>1667</v>
      </c>
      <c r="B62" s="25" t="s">
        <v>137</v>
      </c>
      <c r="C62" s="12">
        <f t="shared" si="2"/>
        <v>4193000</v>
      </c>
      <c r="D62" s="20">
        <f t="shared" si="28"/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1">
        <v>0</v>
      </c>
      <c r="L62" s="20">
        <v>0</v>
      </c>
      <c r="M62" s="20">
        <v>1210</v>
      </c>
      <c r="N62" s="20">
        <f>M62*3300</f>
        <v>3993000</v>
      </c>
      <c r="O62" s="20">
        <v>0</v>
      </c>
      <c r="P62" s="20">
        <v>0</v>
      </c>
      <c r="Q62" s="20">
        <v>0</v>
      </c>
      <c r="R62" s="8">
        <v>0</v>
      </c>
      <c r="S62" s="20">
        <v>0</v>
      </c>
      <c r="T62" s="20">
        <v>0</v>
      </c>
      <c r="U62" s="20">
        <v>200000</v>
      </c>
      <c r="V62" s="1">
        <f t="shared" si="29"/>
        <v>3300</v>
      </c>
    </row>
    <row r="63" spans="1:22" ht="21.95" customHeight="1" x14ac:dyDescent="0.25">
      <c r="A63" s="18" t="s">
        <v>1668</v>
      </c>
      <c r="B63" s="25" t="s">
        <v>138</v>
      </c>
      <c r="C63" s="12">
        <f t="shared" si="2"/>
        <v>11444041</v>
      </c>
      <c r="D63" s="20">
        <f t="shared" si="28"/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1">
        <v>0</v>
      </c>
      <c r="L63" s="20">
        <v>0</v>
      </c>
      <c r="M63" s="20">
        <v>1020</v>
      </c>
      <c r="N63" s="20">
        <v>3366000</v>
      </c>
      <c r="O63" s="20">
        <v>0</v>
      </c>
      <c r="P63" s="20">
        <v>0</v>
      </c>
      <c r="Q63" s="20">
        <v>3024.2</v>
      </c>
      <c r="R63" s="8">
        <f>Q63*2605</f>
        <v>7878040.9999999991</v>
      </c>
      <c r="S63" s="20">
        <v>0</v>
      </c>
      <c r="T63" s="20">
        <v>0</v>
      </c>
      <c r="U63" s="20">
        <v>200000</v>
      </c>
      <c r="V63" s="1">
        <f t="shared" si="29"/>
        <v>3300</v>
      </c>
    </row>
    <row r="64" spans="1:22" ht="45" customHeight="1" x14ac:dyDescent="0.25">
      <c r="A64" s="63" t="s">
        <v>1213</v>
      </c>
      <c r="B64" s="63"/>
      <c r="C64" s="12">
        <f t="shared" si="2"/>
        <v>1388000</v>
      </c>
      <c r="D64" s="12">
        <f t="shared" ref="D64:U64" si="30">SUM(D65)</f>
        <v>0</v>
      </c>
      <c r="E64" s="12">
        <f t="shared" si="30"/>
        <v>0</v>
      </c>
      <c r="F64" s="12">
        <f t="shared" si="30"/>
        <v>0</v>
      </c>
      <c r="G64" s="12">
        <f t="shared" si="30"/>
        <v>0</v>
      </c>
      <c r="H64" s="12">
        <f t="shared" si="30"/>
        <v>0</v>
      </c>
      <c r="I64" s="12">
        <f t="shared" si="30"/>
        <v>0</v>
      </c>
      <c r="J64" s="12">
        <f t="shared" si="30"/>
        <v>0</v>
      </c>
      <c r="K64" s="13">
        <f t="shared" si="30"/>
        <v>0</v>
      </c>
      <c r="L64" s="12">
        <f t="shared" si="30"/>
        <v>0</v>
      </c>
      <c r="M64" s="12">
        <f t="shared" si="30"/>
        <v>360</v>
      </c>
      <c r="N64" s="12">
        <f t="shared" si="30"/>
        <v>1188000</v>
      </c>
      <c r="O64" s="12">
        <f t="shared" si="30"/>
        <v>0</v>
      </c>
      <c r="P64" s="12">
        <f t="shared" si="30"/>
        <v>0</v>
      </c>
      <c r="Q64" s="12">
        <f t="shared" si="30"/>
        <v>0</v>
      </c>
      <c r="R64" s="12">
        <f t="shared" si="30"/>
        <v>0</v>
      </c>
      <c r="S64" s="12">
        <f t="shared" si="30"/>
        <v>0</v>
      </c>
      <c r="T64" s="12">
        <f t="shared" si="30"/>
        <v>0</v>
      </c>
      <c r="U64" s="12">
        <f t="shared" si="30"/>
        <v>200000</v>
      </c>
      <c r="V64" s="22">
        <f>C64</f>
        <v>1388000</v>
      </c>
    </row>
    <row r="65" spans="1:22" ht="21.95" customHeight="1" x14ac:dyDescent="0.25">
      <c r="A65" s="18" t="s">
        <v>1669</v>
      </c>
      <c r="B65" s="25" t="s">
        <v>1214</v>
      </c>
      <c r="C65" s="12">
        <f t="shared" si="2"/>
        <v>1388000</v>
      </c>
      <c r="D65" s="20">
        <f>SUM(E65:J65)</f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1">
        <v>0</v>
      </c>
      <c r="L65" s="20">
        <v>0</v>
      </c>
      <c r="M65" s="20">
        <v>360</v>
      </c>
      <c r="N65" s="20">
        <f>M65*3300</f>
        <v>1188000</v>
      </c>
      <c r="O65" s="20">
        <v>0</v>
      </c>
      <c r="P65" s="20">
        <v>0</v>
      </c>
      <c r="Q65" s="20">
        <v>0</v>
      </c>
      <c r="R65" s="8">
        <v>0</v>
      </c>
      <c r="S65" s="20">
        <v>0</v>
      </c>
      <c r="T65" s="20">
        <v>0</v>
      </c>
      <c r="U65" s="20">
        <v>200000</v>
      </c>
      <c r="V65" s="1">
        <f>N65/M65</f>
        <v>3300</v>
      </c>
    </row>
    <row r="66" spans="1:22" ht="45" customHeight="1" x14ac:dyDescent="0.25">
      <c r="A66" s="66" t="s">
        <v>134</v>
      </c>
      <c r="B66" s="67"/>
      <c r="C66" s="12">
        <f t="shared" si="2"/>
        <v>2597765</v>
      </c>
      <c r="D66" s="12">
        <f t="shared" ref="D66:U66" si="31">SUM(D67)</f>
        <v>0</v>
      </c>
      <c r="E66" s="12">
        <f t="shared" si="31"/>
        <v>0</v>
      </c>
      <c r="F66" s="12">
        <f t="shared" si="31"/>
        <v>0</v>
      </c>
      <c r="G66" s="12">
        <f t="shared" si="31"/>
        <v>0</v>
      </c>
      <c r="H66" s="12">
        <f t="shared" si="31"/>
        <v>0</v>
      </c>
      <c r="I66" s="12">
        <f t="shared" si="31"/>
        <v>0</v>
      </c>
      <c r="J66" s="12">
        <f t="shared" si="31"/>
        <v>0</v>
      </c>
      <c r="K66" s="13">
        <f t="shared" si="31"/>
        <v>0</v>
      </c>
      <c r="L66" s="12">
        <f t="shared" si="31"/>
        <v>0</v>
      </c>
      <c r="M66" s="12">
        <f t="shared" si="31"/>
        <v>366.8</v>
      </c>
      <c r="N66" s="12">
        <f t="shared" si="31"/>
        <v>1150285</v>
      </c>
      <c r="O66" s="12">
        <f t="shared" si="31"/>
        <v>0</v>
      </c>
      <c r="P66" s="12">
        <f t="shared" si="31"/>
        <v>0</v>
      </c>
      <c r="Q66" s="12">
        <f t="shared" si="31"/>
        <v>496</v>
      </c>
      <c r="R66" s="12">
        <f t="shared" si="31"/>
        <v>1292080</v>
      </c>
      <c r="S66" s="12">
        <f t="shared" si="31"/>
        <v>155400</v>
      </c>
      <c r="T66" s="12">
        <f t="shared" si="31"/>
        <v>0</v>
      </c>
      <c r="U66" s="12">
        <f t="shared" si="31"/>
        <v>0</v>
      </c>
      <c r="V66" s="22" t="e">
        <f>C66+#REF!</f>
        <v>#REF!</v>
      </c>
    </row>
    <row r="67" spans="1:22" ht="21" customHeight="1" x14ac:dyDescent="0.25">
      <c r="A67" s="18" t="s">
        <v>1670</v>
      </c>
      <c r="B67" s="25" t="s">
        <v>1442</v>
      </c>
      <c r="C67" s="12">
        <f t="shared" si="2"/>
        <v>2597765</v>
      </c>
      <c r="D67" s="20">
        <f>SUM(E67:J67)</f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1">
        <v>0</v>
      </c>
      <c r="L67" s="20">
        <v>0</v>
      </c>
      <c r="M67" s="20">
        <v>366.8</v>
      </c>
      <c r="N67" s="20">
        <v>1150285</v>
      </c>
      <c r="O67" s="20">
        <v>0</v>
      </c>
      <c r="P67" s="20">
        <v>0</v>
      </c>
      <c r="Q67" s="20">
        <v>496</v>
      </c>
      <c r="R67" s="20">
        <v>1292080</v>
      </c>
      <c r="S67" s="20">
        <v>155400</v>
      </c>
      <c r="T67" s="20">
        <v>0</v>
      </c>
      <c r="U67" s="20">
        <v>0</v>
      </c>
      <c r="V67" s="1">
        <f>N67/M67</f>
        <v>3136.0005452562705</v>
      </c>
    </row>
    <row r="68" spans="1:22" ht="45" customHeight="1" x14ac:dyDescent="0.25">
      <c r="A68" s="63" t="s">
        <v>141</v>
      </c>
      <c r="B68" s="63"/>
      <c r="C68" s="12">
        <f t="shared" si="2"/>
        <v>2205540.71</v>
      </c>
      <c r="D68" s="12">
        <f t="shared" ref="D68:U68" si="32">SUM(D69:D70)</f>
        <v>0</v>
      </c>
      <c r="E68" s="12">
        <f t="shared" si="32"/>
        <v>0</v>
      </c>
      <c r="F68" s="12">
        <f t="shared" si="32"/>
        <v>0</v>
      </c>
      <c r="G68" s="12">
        <f t="shared" si="32"/>
        <v>0</v>
      </c>
      <c r="H68" s="12">
        <f t="shared" si="32"/>
        <v>0</v>
      </c>
      <c r="I68" s="12">
        <f t="shared" si="32"/>
        <v>0</v>
      </c>
      <c r="J68" s="12">
        <f t="shared" si="32"/>
        <v>0</v>
      </c>
      <c r="K68" s="13">
        <f t="shared" si="32"/>
        <v>0</v>
      </c>
      <c r="L68" s="12">
        <f t="shared" si="32"/>
        <v>0</v>
      </c>
      <c r="M68" s="12">
        <f t="shared" si="32"/>
        <v>798.72</v>
      </c>
      <c r="N68" s="12">
        <f t="shared" si="32"/>
        <v>2156524.85</v>
      </c>
      <c r="O68" s="12">
        <f t="shared" si="32"/>
        <v>0</v>
      </c>
      <c r="P68" s="12">
        <f t="shared" si="32"/>
        <v>0</v>
      </c>
      <c r="Q68" s="12">
        <f t="shared" si="32"/>
        <v>0</v>
      </c>
      <c r="R68" s="12">
        <f t="shared" si="32"/>
        <v>0</v>
      </c>
      <c r="S68" s="12">
        <f t="shared" si="32"/>
        <v>0</v>
      </c>
      <c r="T68" s="12">
        <f t="shared" si="32"/>
        <v>0</v>
      </c>
      <c r="U68" s="12">
        <f t="shared" si="32"/>
        <v>49015.86</v>
      </c>
      <c r="V68" s="22">
        <f>C68+C418</f>
        <v>6122185.71</v>
      </c>
    </row>
    <row r="69" spans="1:22" ht="32.25" customHeight="1" x14ac:dyDescent="0.25">
      <c r="A69" s="28" t="s">
        <v>1671</v>
      </c>
      <c r="B69" s="25" t="s">
        <v>1443</v>
      </c>
      <c r="C69" s="12">
        <f t="shared" si="2"/>
        <v>1563527.48</v>
      </c>
      <c r="D69" s="20">
        <f t="shared" ref="D69:D70" si="33">SUM(E69:J69)</f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1">
        <v>0</v>
      </c>
      <c r="L69" s="20">
        <v>0</v>
      </c>
      <c r="M69" s="20">
        <v>424.18</v>
      </c>
      <c r="N69" s="8">
        <f>M69*3686</f>
        <v>1563527.48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1">
        <f t="shared" ref="V69:V70" si="34">N69/M69</f>
        <v>3686</v>
      </c>
    </row>
    <row r="70" spans="1:22" ht="20.100000000000001" customHeight="1" x14ac:dyDescent="0.25">
      <c r="A70" s="18" t="s">
        <v>1672</v>
      </c>
      <c r="B70" s="25" t="s">
        <v>143</v>
      </c>
      <c r="C70" s="12">
        <f t="shared" si="2"/>
        <v>642013.23</v>
      </c>
      <c r="D70" s="20">
        <f t="shared" si="33"/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1">
        <v>0</v>
      </c>
      <c r="L70" s="20">
        <v>0</v>
      </c>
      <c r="M70" s="20">
        <v>374.54</v>
      </c>
      <c r="N70" s="8">
        <v>592997.37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>
        <v>49015.86</v>
      </c>
      <c r="V70" s="1">
        <f t="shared" si="34"/>
        <v>1583.2684626475143</v>
      </c>
    </row>
    <row r="71" spans="1:22" ht="45" customHeight="1" x14ac:dyDescent="0.25">
      <c r="A71" s="63" t="s">
        <v>1447</v>
      </c>
      <c r="B71" s="63"/>
      <c r="C71" s="12">
        <f t="shared" si="2"/>
        <v>1027363.6</v>
      </c>
      <c r="D71" s="12">
        <f t="shared" ref="D71:U71" si="35">SUM(D72)</f>
        <v>0</v>
      </c>
      <c r="E71" s="12">
        <f t="shared" si="35"/>
        <v>0</v>
      </c>
      <c r="F71" s="12">
        <f t="shared" si="35"/>
        <v>0</v>
      </c>
      <c r="G71" s="12">
        <f t="shared" si="35"/>
        <v>0</v>
      </c>
      <c r="H71" s="12">
        <f t="shared" si="35"/>
        <v>0</v>
      </c>
      <c r="I71" s="12">
        <f t="shared" si="35"/>
        <v>0</v>
      </c>
      <c r="J71" s="12">
        <f t="shared" si="35"/>
        <v>0</v>
      </c>
      <c r="K71" s="13">
        <f t="shared" si="35"/>
        <v>0</v>
      </c>
      <c r="L71" s="12">
        <f t="shared" si="35"/>
        <v>0</v>
      </c>
      <c r="M71" s="12">
        <f t="shared" si="35"/>
        <v>327.60000000000002</v>
      </c>
      <c r="N71" s="12">
        <f t="shared" si="35"/>
        <v>1027363.6</v>
      </c>
      <c r="O71" s="12">
        <f t="shared" si="35"/>
        <v>0</v>
      </c>
      <c r="P71" s="12">
        <f t="shared" si="35"/>
        <v>0</v>
      </c>
      <c r="Q71" s="12">
        <f t="shared" si="35"/>
        <v>0</v>
      </c>
      <c r="R71" s="12">
        <f t="shared" si="35"/>
        <v>0</v>
      </c>
      <c r="S71" s="12">
        <f t="shared" si="35"/>
        <v>0</v>
      </c>
      <c r="T71" s="12">
        <f t="shared" si="35"/>
        <v>0</v>
      </c>
      <c r="U71" s="12">
        <f t="shared" si="35"/>
        <v>0</v>
      </c>
      <c r="V71" s="22">
        <f>C71</f>
        <v>1027363.6</v>
      </c>
    </row>
    <row r="72" spans="1:22" ht="21.75" customHeight="1" x14ac:dyDescent="0.25">
      <c r="A72" s="18" t="s">
        <v>1673</v>
      </c>
      <c r="B72" s="25" t="s">
        <v>1448</v>
      </c>
      <c r="C72" s="12">
        <f t="shared" si="2"/>
        <v>1027363.6</v>
      </c>
      <c r="D72" s="20">
        <f>SUM(E72:J72)</f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1">
        <v>0</v>
      </c>
      <c r="L72" s="20">
        <v>0</v>
      </c>
      <c r="M72" s="20">
        <v>327.60000000000002</v>
      </c>
      <c r="N72" s="8">
        <v>1027363.6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1">
        <f>N72/M72</f>
        <v>3136.0305250305246</v>
      </c>
    </row>
    <row r="73" spans="1:22" ht="45" customHeight="1" x14ac:dyDescent="0.25">
      <c r="A73" s="63" t="s">
        <v>147</v>
      </c>
      <c r="B73" s="63"/>
      <c r="C73" s="12">
        <f t="shared" si="2"/>
        <v>5371460</v>
      </c>
      <c r="D73" s="12">
        <f t="shared" ref="D73:U73" si="36">SUM(D74)</f>
        <v>1593960</v>
      </c>
      <c r="E73" s="12">
        <f t="shared" si="36"/>
        <v>301560</v>
      </c>
      <c r="F73" s="12">
        <f t="shared" si="36"/>
        <v>689280</v>
      </c>
      <c r="G73" s="12">
        <f t="shared" si="36"/>
        <v>258480</v>
      </c>
      <c r="H73" s="12">
        <f t="shared" si="36"/>
        <v>0</v>
      </c>
      <c r="I73" s="12">
        <f t="shared" si="36"/>
        <v>344640</v>
      </c>
      <c r="J73" s="12">
        <f t="shared" si="36"/>
        <v>0</v>
      </c>
      <c r="K73" s="13">
        <f t="shared" si="36"/>
        <v>0</v>
      </c>
      <c r="L73" s="12">
        <f t="shared" si="36"/>
        <v>0</v>
      </c>
      <c r="M73" s="12">
        <f t="shared" si="36"/>
        <v>675</v>
      </c>
      <c r="N73" s="12">
        <f t="shared" si="36"/>
        <v>3577500</v>
      </c>
      <c r="O73" s="12">
        <f t="shared" si="36"/>
        <v>0</v>
      </c>
      <c r="P73" s="12">
        <f t="shared" si="36"/>
        <v>0</v>
      </c>
      <c r="Q73" s="12">
        <f t="shared" si="36"/>
        <v>0</v>
      </c>
      <c r="R73" s="12">
        <f t="shared" si="36"/>
        <v>0</v>
      </c>
      <c r="S73" s="12">
        <f t="shared" si="36"/>
        <v>0</v>
      </c>
      <c r="T73" s="12">
        <f t="shared" si="36"/>
        <v>0</v>
      </c>
      <c r="U73" s="12">
        <f t="shared" si="36"/>
        <v>200000</v>
      </c>
      <c r="V73" s="22">
        <f>C73</f>
        <v>5371460</v>
      </c>
    </row>
    <row r="74" spans="1:22" ht="21.95" customHeight="1" x14ac:dyDescent="0.25">
      <c r="A74" s="18" t="s">
        <v>1674</v>
      </c>
      <c r="B74" s="25" t="s">
        <v>1229</v>
      </c>
      <c r="C74" s="12">
        <f t="shared" ref="C74:C137" si="37">D74+L74+N74+P74+R74+S74+T74+U74</f>
        <v>5371460</v>
      </c>
      <c r="D74" s="20">
        <f>SUM(E74:J74)</f>
        <v>1593960</v>
      </c>
      <c r="E74" s="20">
        <f>350*861.6</f>
        <v>301560</v>
      </c>
      <c r="F74" s="20">
        <f>800*861.6</f>
        <v>689280</v>
      </c>
      <c r="G74" s="20">
        <f>300*861.6</f>
        <v>258480</v>
      </c>
      <c r="H74" s="20">
        <f>500*0</f>
        <v>0</v>
      </c>
      <c r="I74" s="20">
        <f>400*861.6</f>
        <v>344640</v>
      </c>
      <c r="J74" s="20">
        <f>350*0</f>
        <v>0</v>
      </c>
      <c r="K74" s="21">
        <v>0</v>
      </c>
      <c r="L74" s="20">
        <v>0</v>
      </c>
      <c r="M74" s="20">
        <v>675</v>
      </c>
      <c r="N74" s="20">
        <f>5300*M74</f>
        <v>3577500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200000</v>
      </c>
      <c r="V74" s="1">
        <f>N74/M74</f>
        <v>5300</v>
      </c>
    </row>
    <row r="75" spans="1:22" ht="45" customHeight="1" x14ac:dyDescent="0.25">
      <c r="A75" s="63" t="s">
        <v>150</v>
      </c>
      <c r="B75" s="63"/>
      <c r="C75" s="12">
        <f t="shared" si="37"/>
        <v>6424150</v>
      </c>
      <c r="D75" s="12">
        <f t="shared" ref="D75:U75" si="38">SUM(D76:D77)</f>
        <v>0</v>
      </c>
      <c r="E75" s="12">
        <f t="shared" si="38"/>
        <v>0</v>
      </c>
      <c r="F75" s="12">
        <f t="shared" si="38"/>
        <v>0</v>
      </c>
      <c r="G75" s="12">
        <f t="shared" si="38"/>
        <v>0</v>
      </c>
      <c r="H75" s="12">
        <f t="shared" si="38"/>
        <v>0</v>
      </c>
      <c r="I75" s="12">
        <f t="shared" si="38"/>
        <v>0</v>
      </c>
      <c r="J75" s="12">
        <f t="shared" si="38"/>
        <v>0</v>
      </c>
      <c r="K75" s="13">
        <f t="shared" si="38"/>
        <v>0</v>
      </c>
      <c r="L75" s="12">
        <f t="shared" si="38"/>
        <v>0</v>
      </c>
      <c r="M75" s="12">
        <f t="shared" si="38"/>
        <v>1285.5</v>
      </c>
      <c r="N75" s="12">
        <f t="shared" si="38"/>
        <v>6024150</v>
      </c>
      <c r="O75" s="12">
        <f t="shared" si="38"/>
        <v>0</v>
      </c>
      <c r="P75" s="12">
        <f t="shared" si="38"/>
        <v>0</v>
      </c>
      <c r="Q75" s="12">
        <f t="shared" si="38"/>
        <v>0</v>
      </c>
      <c r="R75" s="12">
        <f t="shared" si="38"/>
        <v>0</v>
      </c>
      <c r="S75" s="12">
        <f t="shared" si="38"/>
        <v>0</v>
      </c>
      <c r="T75" s="12">
        <f t="shared" si="38"/>
        <v>0</v>
      </c>
      <c r="U75" s="12">
        <f t="shared" si="38"/>
        <v>400000</v>
      </c>
      <c r="V75" s="22">
        <f>C75+C424+C833</f>
        <v>36310085</v>
      </c>
    </row>
    <row r="76" spans="1:22" ht="21.95" customHeight="1" x14ac:dyDescent="0.25">
      <c r="A76" s="18" t="s">
        <v>1675</v>
      </c>
      <c r="B76" s="25" t="s">
        <v>155</v>
      </c>
      <c r="C76" s="12">
        <f t="shared" si="37"/>
        <v>4922300</v>
      </c>
      <c r="D76" s="20">
        <f t="shared" ref="D76:D77" si="39">SUM(E76:J76)</f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1">
        <v>0</v>
      </c>
      <c r="L76" s="20">
        <v>0</v>
      </c>
      <c r="M76" s="20">
        <v>891</v>
      </c>
      <c r="N76" s="20">
        <v>4722300</v>
      </c>
      <c r="O76" s="20">
        <v>0</v>
      </c>
      <c r="P76" s="20">
        <v>0</v>
      </c>
      <c r="Q76" s="20">
        <v>0</v>
      </c>
      <c r="R76" s="8">
        <v>0</v>
      </c>
      <c r="S76" s="20">
        <v>0</v>
      </c>
      <c r="T76" s="20">
        <v>0</v>
      </c>
      <c r="U76" s="20">
        <v>200000</v>
      </c>
      <c r="V76" s="1">
        <f t="shared" ref="V76:V77" si="40">N76/M76</f>
        <v>5300</v>
      </c>
    </row>
    <row r="77" spans="1:22" ht="21.95" customHeight="1" x14ac:dyDescent="0.25">
      <c r="A77" s="18" t="s">
        <v>1676</v>
      </c>
      <c r="B77" s="25" t="s">
        <v>159</v>
      </c>
      <c r="C77" s="12">
        <f t="shared" si="37"/>
        <v>1501850</v>
      </c>
      <c r="D77" s="20">
        <f t="shared" si="39"/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1">
        <v>0</v>
      </c>
      <c r="L77" s="20">
        <v>0</v>
      </c>
      <c r="M77" s="20">
        <v>394.5</v>
      </c>
      <c r="N77" s="20">
        <v>1301850</v>
      </c>
      <c r="O77" s="20">
        <v>0</v>
      </c>
      <c r="P77" s="20">
        <v>0</v>
      </c>
      <c r="Q77" s="20">
        <v>0</v>
      </c>
      <c r="R77" s="8">
        <v>0</v>
      </c>
      <c r="S77" s="20">
        <v>0</v>
      </c>
      <c r="T77" s="20">
        <v>0</v>
      </c>
      <c r="U77" s="20">
        <v>200000</v>
      </c>
      <c r="V77" s="1">
        <f t="shared" si="40"/>
        <v>3300</v>
      </c>
    </row>
    <row r="78" spans="1:22" ht="45" customHeight="1" x14ac:dyDescent="0.25">
      <c r="A78" s="63" t="s">
        <v>1615</v>
      </c>
      <c r="B78" s="63"/>
      <c r="C78" s="12">
        <f t="shared" si="37"/>
        <v>1774100</v>
      </c>
      <c r="D78" s="12">
        <f t="shared" ref="D78:U78" si="41">SUM(D79)</f>
        <v>0</v>
      </c>
      <c r="E78" s="12">
        <f t="shared" si="41"/>
        <v>0</v>
      </c>
      <c r="F78" s="12">
        <f t="shared" si="41"/>
        <v>0</v>
      </c>
      <c r="G78" s="12">
        <f t="shared" si="41"/>
        <v>0</v>
      </c>
      <c r="H78" s="12">
        <f t="shared" si="41"/>
        <v>0</v>
      </c>
      <c r="I78" s="12">
        <f t="shared" si="41"/>
        <v>0</v>
      </c>
      <c r="J78" s="12">
        <f t="shared" si="41"/>
        <v>0</v>
      </c>
      <c r="K78" s="13">
        <f t="shared" si="41"/>
        <v>0</v>
      </c>
      <c r="L78" s="12">
        <f t="shared" si="41"/>
        <v>0</v>
      </c>
      <c r="M78" s="12">
        <f t="shared" si="41"/>
        <v>297</v>
      </c>
      <c r="N78" s="12">
        <f t="shared" si="41"/>
        <v>1574100</v>
      </c>
      <c r="O78" s="12">
        <f t="shared" si="41"/>
        <v>0</v>
      </c>
      <c r="P78" s="12">
        <f t="shared" si="41"/>
        <v>0</v>
      </c>
      <c r="Q78" s="12">
        <f t="shared" si="41"/>
        <v>0</v>
      </c>
      <c r="R78" s="12">
        <f t="shared" si="41"/>
        <v>0</v>
      </c>
      <c r="S78" s="12">
        <f t="shared" si="41"/>
        <v>0</v>
      </c>
      <c r="T78" s="12">
        <f t="shared" si="41"/>
        <v>0</v>
      </c>
      <c r="U78" s="12">
        <f t="shared" si="41"/>
        <v>200000</v>
      </c>
      <c r="V78" s="22">
        <f>C78+C431+C838</f>
        <v>4804640</v>
      </c>
    </row>
    <row r="79" spans="1:22" ht="21.95" customHeight="1" x14ac:dyDescent="0.25">
      <c r="A79" s="18" t="s">
        <v>1677</v>
      </c>
      <c r="B79" s="25" t="s">
        <v>160</v>
      </c>
      <c r="C79" s="12">
        <f t="shared" si="37"/>
        <v>1774100</v>
      </c>
      <c r="D79" s="20">
        <f>SUM(E79:J79)</f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1">
        <v>0</v>
      </c>
      <c r="L79" s="20">
        <v>0</v>
      </c>
      <c r="M79" s="20">
        <v>297</v>
      </c>
      <c r="N79" s="20">
        <f>M79*5300</f>
        <v>1574100</v>
      </c>
      <c r="O79" s="20">
        <v>0</v>
      </c>
      <c r="P79" s="20">
        <v>0</v>
      </c>
      <c r="Q79" s="20">
        <v>0</v>
      </c>
      <c r="R79" s="8">
        <v>0</v>
      </c>
      <c r="S79" s="20">
        <v>0</v>
      </c>
      <c r="T79" s="20">
        <v>0</v>
      </c>
      <c r="U79" s="20">
        <v>200000</v>
      </c>
      <c r="V79" s="1">
        <f>N79/M79</f>
        <v>5300</v>
      </c>
    </row>
    <row r="80" spans="1:22" ht="45" customHeight="1" x14ac:dyDescent="0.25">
      <c r="A80" s="63" t="s">
        <v>163</v>
      </c>
      <c r="B80" s="63"/>
      <c r="C80" s="12">
        <f t="shared" si="37"/>
        <v>2543000</v>
      </c>
      <c r="D80" s="12">
        <f t="shared" ref="D80:U80" si="42">SUM(D81)</f>
        <v>0</v>
      </c>
      <c r="E80" s="12">
        <f t="shared" si="42"/>
        <v>0</v>
      </c>
      <c r="F80" s="12">
        <f t="shared" si="42"/>
        <v>0</v>
      </c>
      <c r="G80" s="12">
        <f t="shared" si="42"/>
        <v>0</v>
      </c>
      <c r="H80" s="12">
        <f t="shared" si="42"/>
        <v>0</v>
      </c>
      <c r="I80" s="12">
        <f t="shared" si="42"/>
        <v>0</v>
      </c>
      <c r="J80" s="12">
        <f t="shared" si="42"/>
        <v>0</v>
      </c>
      <c r="K80" s="13">
        <f t="shared" si="42"/>
        <v>0</v>
      </c>
      <c r="L80" s="12">
        <f t="shared" si="42"/>
        <v>0</v>
      </c>
      <c r="M80" s="12">
        <f t="shared" si="42"/>
        <v>710</v>
      </c>
      <c r="N80" s="12">
        <f t="shared" si="42"/>
        <v>2343000</v>
      </c>
      <c r="O80" s="12">
        <f t="shared" si="42"/>
        <v>0</v>
      </c>
      <c r="P80" s="12">
        <f t="shared" si="42"/>
        <v>0</v>
      </c>
      <c r="Q80" s="12">
        <f t="shared" si="42"/>
        <v>0</v>
      </c>
      <c r="R80" s="12">
        <f t="shared" si="42"/>
        <v>0</v>
      </c>
      <c r="S80" s="12">
        <f t="shared" si="42"/>
        <v>0</v>
      </c>
      <c r="T80" s="12">
        <f t="shared" si="42"/>
        <v>0</v>
      </c>
      <c r="U80" s="12">
        <f t="shared" si="42"/>
        <v>200000</v>
      </c>
      <c r="V80" s="22">
        <f>C80</f>
        <v>2543000</v>
      </c>
    </row>
    <row r="81" spans="1:22" ht="21.95" customHeight="1" x14ac:dyDescent="0.25">
      <c r="A81" s="18" t="s">
        <v>1678</v>
      </c>
      <c r="B81" s="25" t="s">
        <v>164</v>
      </c>
      <c r="C81" s="12">
        <f t="shared" si="37"/>
        <v>2543000</v>
      </c>
      <c r="D81" s="20">
        <f>SUM(E81:J81)</f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1">
        <v>0</v>
      </c>
      <c r="L81" s="20">
        <v>0</v>
      </c>
      <c r="M81" s="20">
        <v>710</v>
      </c>
      <c r="N81" s="20">
        <f>M81*3300</f>
        <v>2343000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200000</v>
      </c>
      <c r="V81" s="1">
        <f>N81/M81</f>
        <v>3300</v>
      </c>
    </row>
    <row r="82" spans="1:22" ht="45" customHeight="1" x14ac:dyDescent="0.25">
      <c r="A82" s="63" t="s">
        <v>165</v>
      </c>
      <c r="B82" s="63"/>
      <c r="C82" s="12">
        <f t="shared" si="37"/>
        <v>147669132.52000001</v>
      </c>
      <c r="D82" s="12">
        <f t="shared" ref="D82:U82" si="43">SUM(D83:D101)</f>
        <v>31421896.960000001</v>
      </c>
      <c r="E82" s="12">
        <f t="shared" si="43"/>
        <v>5076928.9799999995</v>
      </c>
      <c r="F82" s="12">
        <f t="shared" si="43"/>
        <v>11026359.520000001</v>
      </c>
      <c r="G82" s="12">
        <f t="shared" si="43"/>
        <v>4109518.56</v>
      </c>
      <c r="H82" s="12">
        <f t="shared" si="43"/>
        <v>5736050</v>
      </c>
      <c r="I82" s="12">
        <f t="shared" si="43"/>
        <v>5473039.8999999994</v>
      </c>
      <c r="J82" s="12">
        <f t="shared" si="43"/>
        <v>0</v>
      </c>
      <c r="K82" s="13">
        <f t="shared" si="43"/>
        <v>0</v>
      </c>
      <c r="L82" s="12">
        <f t="shared" si="43"/>
        <v>0</v>
      </c>
      <c r="M82" s="12">
        <f t="shared" si="43"/>
        <v>13767.990000000002</v>
      </c>
      <c r="N82" s="12">
        <f t="shared" si="43"/>
        <v>51412944.109999999</v>
      </c>
      <c r="O82" s="12">
        <f t="shared" si="43"/>
        <v>0</v>
      </c>
      <c r="P82" s="12">
        <f t="shared" si="43"/>
        <v>0</v>
      </c>
      <c r="Q82" s="12">
        <f t="shared" si="43"/>
        <v>21482.999999999996</v>
      </c>
      <c r="R82" s="12">
        <f t="shared" si="43"/>
        <v>55960632.600000001</v>
      </c>
      <c r="S82" s="12">
        <f t="shared" si="43"/>
        <v>5714519.1100000003</v>
      </c>
      <c r="T82" s="12">
        <f t="shared" si="43"/>
        <v>0</v>
      </c>
      <c r="U82" s="12">
        <f t="shared" si="43"/>
        <v>3159139.7399999998</v>
      </c>
      <c r="V82" s="22">
        <f>C82+C433+C840</f>
        <v>361919931.12</v>
      </c>
    </row>
    <row r="83" spans="1:22" ht="21.95" customHeight="1" x14ac:dyDescent="0.25">
      <c r="A83" s="18" t="s">
        <v>1679</v>
      </c>
      <c r="B83" s="25" t="s">
        <v>1436</v>
      </c>
      <c r="C83" s="12">
        <f t="shared" si="37"/>
        <v>3609210</v>
      </c>
      <c r="D83" s="20">
        <f t="shared" ref="D83:D101" si="44">SUM(E83:J83)</f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1">
        <v>0</v>
      </c>
      <c r="L83" s="20">
        <v>0</v>
      </c>
      <c r="M83" s="8">
        <v>1093.7</v>
      </c>
      <c r="N83" s="8">
        <v>3609210</v>
      </c>
      <c r="O83" s="20">
        <v>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  <c r="U83" s="20">
        <v>0</v>
      </c>
      <c r="V83" s="1">
        <f t="shared" ref="V83:V101" si="45">N83/M83</f>
        <v>3300</v>
      </c>
    </row>
    <row r="84" spans="1:22" ht="21.95" customHeight="1" x14ac:dyDescent="0.25">
      <c r="A84" s="18" t="s">
        <v>1680</v>
      </c>
      <c r="B84" s="29" t="s">
        <v>168</v>
      </c>
      <c r="C84" s="12">
        <f t="shared" si="37"/>
        <v>22001912</v>
      </c>
      <c r="D84" s="20">
        <f t="shared" si="44"/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1">
        <v>0</v>
      </c>
      <c r="L84" s="20">
        <v>0</v>
      </c>
      <c r="M84" s="20">
        <v>1167.4000000000001</v>
      </c>
      <c r="N84" s="20">
        <f t="shared" ref="N84:N89" si="46">M84*3300</f>
        <v>3852420.0000000005</v>
      </c>
      <c r="O84" s="20">
        <v>0</v>
      </c>
      <c r="P84" s="20">
        <v>0</v>
      </c>
      <c r="Q84" s="8">
        <v>6890.4</v>
      </c>
      <c r="R84" s="20">
        <f>Q84*2605</f>
        <v>17949492</v>
      </c>
      <c r="S84" s="20">
        <v>0</v>
      </c>
      <c r="T84" s="20">
        <v>0</v>
      </c>
      <c r="U84" s="20">
        <v>200000</v>
      </c>
      <c r="V84" s="1">
        <f t="shared" si="45"/>
        <v>3300</v>
      </c>
    </row>
    <row r="85" spans="1:22" ht="21.95" customHeight="1" x14ac:dyDescent="0.25">
      <c r="A85" s="18" t="s">
        <v>1681</v>
      </c>
      <c r="B85" s="29" t="s">
        <v>167</v>
      </c>
      <c r="C85" s="12">
        <f t="shared" si="37"/>
        <v>15306941.550000001</v>
      </c>
      <c r="D85" s="20">
        <f t="shared" si="44"/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1">
        <v>0</v>
      </c>
      <c r="L85" s="20">
        <v>0</v>
      </c>
      <c r="M85" s="20">
        <v>1739.49</v>
      </c>
      <c r="N85" s="20">
        <v>4959902.4000000004</v>
      </c>
      <c r="O85" s="20">
        <v>0</v>
      </c>
      <c r="P85" s="20">
        <v>0</v>
      </c>
      <c r="Q85" s="8">
        <v>3485</v>
      </c>
      <c r="R85" s="20">
        <v>10155964.800000001</v>
      </c>
      <c r="S85" s="20">
        <v>0</v>
      </c>
      <c r="T85" s="20">
        <v>0</v>
      </c>
      <c r="U85" s="20">
        <v>191074.35</v>
      </c>
      <c r="V85" s="1">
        <f t="shared" si="45"/>
        <v>2851.3543624855565</v>
      </c>
    </row>
    <row r="86" spans="1:22" ht="21.95" customHeight="1" x14ac:dyDescent="0.25">
      <c r="A86" s="18" t="s">
        <v>1682</v>
      </c>
      <c r="B86" s="29" t="s">
        <v>169</v>
      </c>
      <c r="C86" s="12">
        <f t="shared" si="37"/>
        <v>3771590</v>
      </c>
      <c r="D86" s="20">
        <f t="shared" si="44"/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1">
        <v>0</v>
      </c>
      <c r="L86" s="20">
        <v>0</v>
      </c>
      <c r="M86" s="20">
        <v>1082.3</v>
      </c>
      <c r="N86" s="20">
        <f t="shared" si="46"/>
        <v>3571590</v>
      </c>
      <c r="O86" s="20">
        <v>0</v>
      </c>
      <c r="P86" s="20">
        <v>0</v>
      </c>
      <c r="Q86" s="8">
        <v>0</v>
      </c>
      <c r="R86" s="20">
        <v>0</v>
      </c>
      <c r="S86" s="20">
        <v>0</v>
      </c>
      <c r="T86" s="20">
        <v>0</v>
      </c>
      <c r="U86" s="20">
        <v>200000</v>
      </c>
      <c r="V86" s="1">
        <f t="shared" si="45"/>
        <v>3300</v>
      </c>
    </row>
    <row r="87" spans="1:22" ht="21.95" customHeight="1" x14ac:dyDescent="0.25">
      <c r="A87" s="18" t="s">
        <v>1683</v>
      </c>
      <c r="B87" s="29" t="s">
        <v>170</v>
      </c>
      <c r="C87" s="12">
        <f t="shared" si="37"/>
        <v>13614740</v>
      </c>
      <c r="D87" s="20">
        <f t="shared" si="44"/>
        <v>13414740</v>
      </c>
      <c r="E87" s="20">
        <f>350*5708.4</f>
        <v>1997939.9999999998</v>
      </c>
      <c r="F87" s="20">
        <f>800*5708.4</f>
        <v>4566720</v>
      </c>
      <c r="G87" s="20">
        <f>300*5708.4</f>
        <v>1712520</v>
      </c>
      <c r="H87" s="20">
        <f>500*5708.4</f>
        <v>2854200</v>
      </c>
      <c r="I87" s="20">
        <f>400*5708.4</f>
        <v>2283360</v>
      </c>
      <c r="J87" s="20">
        <f t="shared" ref="J87" si="47">350*0</f>
        <v>0</v>
      </c>
      <c r="K87" s="21">
        <v>0</v>
      </c>
      <c r="L87" s="20">
        <v>0</v>
      </c>
      <c r="M87" s="20">
        <v>0</v>
      </c>
      <c r="N87" s="20">
        <f t="shared" si="46"/>
        <v>0</v>
      </c>
      <c r="O87" s="20">
        <v>0</v>
      </c>
      <c r="P87" s="20">
        <v>0</v>
      </c>
      <c r="Q87" s="8">
        <v>0</v>
      </c>
      <c r="R87" s="20">
        <f>Q87*2605</f>
        <v>0</v>
      </c>
      <c r="S87" s="20">
        <v>0</v>
      </c>
      <c r="T87" s="20">
        <v>0</v>
      </c>
      <c r="U87" s="20">
        <v>200000</v>
      </c>
      <c r="V87" s="1" t="e">
        <f t="shared" si="45"/>
        <v>#DIV/0!</v>
      </c>
    </row>
    <row r="88" spans="1:22" ht="21.95" customHeight="1" x14ac:dyDescent="0.25">
      <c r="A88" s="18" t="s">
        <v>1684</v>
      </c>
      <c r="B88" s="29" t="s">
        <v>171</v>
      </c>
      <c r="C88" s="12">
        <f t="shared" si="37"/>
        <v>14996157.5</v>
      </c>
      <c r="D88" s="20">
        <f t="shared" si="44"/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1">
        <v>0</v>
      </c>
      <c r="L88" s="20">
        <v>0</v>
      </c>
      <c r="M88" s="20">
        <v>1512.8</v>
      </c>
      <c r="N88" s="20">
        <f t="shared" si="46"/>
        <v>4992240</v>
      </c>
      <c r="O88" s="20">
        <v>0</v>
      </c>
      <c r="P88" s="20">
        <v>0</v>
      </c>
      <c r="Q88" s="8">
        <v>3763.5</v>
      </c>
      <c r="R88" s="20">
        <f>Q88*2605</f>
        <v>9803917.5</v>
      </c>
      <c r="S88" s="20">
        <v>0</v>
      </c>
      <c r="T88" s="20">
        <v>0</v>
      </c>
      <c r="U88" s="20">
        <v>200000</v>
      </c>
      <c r="V88" s="1">
        <f t="shared" si="45"/>
        <v>3300</v>
      </c>
    </row>
    <row r="89" spans="1:22" ht="21.95" customHeight="1" x14ac:dyDescent="0.25">
      <c r="A89" s="18" t="s">
        <v>1685</v>
      </c>
      <c r="B89" s="29" t="s">
        <v>172</v>
      </c>
      <c r="C89" s="12">
        <f t="shared" si="37"/>
        <v>19185405</v>
      </c>
      <c r="D89" s="20">
        <f t="shared" si="44"/>
        <v>13544695</v>
      </c>
      <c r="E89" s="20">
        <f>350*5763.7</f>
        <v>2017295</v>
      </c>
      <c r="F89" s="20">
        <f>800*5763.7</f>
        <v>4610960</v>
      </c>
      <c r="G89" s="20">
        <f>300*5763.7</f>
        <v>1729110</v>
      </c>
      <c r="H89" s="20">
        <f>500*5763.7</f>
        <v>2881850</v>
      </c>
      <c r="I89" s="20">
        <f>400*5763.7</f>
        <v>2305480</v>
      </c>
      <c r="J89" s="20">
        <f t="shared" ref="J89" si="48">350*0</f>
        <v>0</v>
      </c>
      <c r="K89" s="21">
        <v>0</v>
      </c>
      <c r="L89" s="20">
        <v>0</v>
      </c>
      <c r="M89" s="20">
        <v>1648.7</v>
      </c>
      <c r="N89" s="20">
        <f t="shared" si="46"/>
        <v>5440710</v>
      </c>
      <c r="O89" s="20">
        <v>0</v>
      </c>
      <c r="P89" s="20">
        <v>0</v>
      </c>
      <c r="Q89" s="8">
        <v>0</v>
      </c>
      <c r="R89" s="20">
        <v>0</v>
      </c>
      <c r="S89" s="20">
        <v>0</v>
      </c>
      <c r="T89" s="20">
        <v>0</v>
      </c>
      <c r="U89" s="20">
        <v>200000</v>
      </c>
      <c r="V89" s="1">
        <f t="shared" si="45"/>
        <v>3300</v>
      </c>
    </row>
    <row r="90" spans="1:22" ht="21.95" customHeight="1" x14ac:dyDescent="0.25">
      <c r="A90" s="18" t="s">
        <v>1686</v>
      </c>
      <c r="B90" s="25" t="s">
        <v>1451</v>
      </c>
      <c r="C90" s="12">
        <f t="shared" si="37"/>
        <v>20043863.609999999</v>
      </c>
      <c r="D90" s="20">
        <f t="shared" si="44"/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1">
        <v>0</v>
      </c>
      <c r="L90" s="8">
        <v>0</v>
      </c>
      <c r="M90" s="20">
        <v>1528.1</v>
      </c>
      <c r="N90" s="8">
        <v>4584300</v>
      </c>
      <c r="O90" s="20">
        <v>0</v>
      </c>
      <c r="P90" s="20">
        <v>0</v>
      </c>
      <c r="Q90" s="20">
        <v>3740.9</v>
      </c>
      <c r="R90" s="20">
        <v>9745044.5</v>
      </c>
      <c r="S90" s="20">
        <v>5714519.1100000003</v>
      </c>
      <c r="T90" s="20">
        <v>0</v>
      </c>
      <c r="U90" s="20">
        <v>0</v>
      </c>
      <c r="V90" s="1">
        <f t="shared" si="45"/>
        <v>3000</v>
      </c>
    </row>
    <row r="91" spans="1:22" ht="21.95" customHeight="1" x14ac:dyDescent="0.25">
      <c r="A91" s="18" t="s">
        <v>1687</v>
      </c>
      <c r="B91" s="27" t="s">
        <v>173</v>
      </c>
      <c r="C91" s="12">
        <f t="shared" si="37"/>
        <v>2190763.4900000002</v>
      </c>
      <c r="D91" s="20">
        <f t="shared" si="44"/>
        <v>246557.52</v>
      </c>
      <c r="E91" s="20">
        <v>113918.51</v>
      </c>
      <c r="F91" s="20">
        <v>103701.71</v>
      </c>
      <c r="G91" s="20">
        <v>18613.580000000002</v>
      </c>
      <c r="H91" s="20">
        <v>0</v>
      </c>
      <c r="I91" s="20">
        <v>10323.719999999999</v>
      </c>
      <c r="J91" s="20">
        <f t="shared" ref="J91:J92" si="49">350*0</f>
        <v>0</v>
      </c>
      <c r="K91" s="21">
        <v>0</v>
      </c>
      <c r="L91" s="20">
        <v>0</v>
      </c>
      <c r="M91" s="20">
        <v>268</v>
      </c>
      <c r="N91" s="20">
        <v>1108047.6000000001</v>
      </c>
      <c r="O91" s="20">
        <v>0</v>
      </c>
      <c r="P91" s="20">
        <v>0</v>
      </c>
      <c r="Q91" s="8">
        <v>520</v>
      </c>
      <c r="R91" s="20">
        <v>651824.71</v>
      </c>
      <c r="S91" s="20">
        <f>S892</f>
        <v>0</v>
      </c>
      <c r="T91" s="20">
        <v>0</v>
      </c>
      <c r="U91" s="20">
        <v>184333.66</v>
      </c>
      <c r="V91" s="1">
        <f t="shared" si="45"/>
        <v>4134.5059701492537</v>
      </c>
    </row>
    <row r="92" spans="1:22" ht="21.95" customHeight="1" x14ac:dyDescent="0.25">
      <c r="A92" s="18" t="s">
        <v>1688</v>
      </c>
      <c r="B92" s="27" t="s">
        <v>174</v>
      </c>
      <c r="C92" s="12">
        <f t="shared" si="37"/>
        <v>3326887.5</v>
      </c>
      <c r="D92" s="20">
        <f t="shared" si="44"/>
        <v>367290</v>
      </c>
      <c r="E92" s="20">
        <v>182140</v>
      </c>
      <c r="F92" s="20">
        <f>800*0</f>
        <v>0</v>
      </c>
      <c r="G92" s="20">
        <f>300*264.5</f>
        <v>79350</v>
      </c>
      <c r="H92" s="20">
        <f>500*0</f>
        <v>0</v>
      </c>
      <c r="I92" s="20">
        <f>400*264.5</f>
        <v>105800</v>
      </c>
      <c r="J92" s="20">
        <f t="shared" si="49"/>
        <v>0</v>
      </c>
      <c r="K92" s="21">
        <v>0</v>
      </c>
      <c r="L92" s="20">
        <v>0</v>
      </c>
      <c r="M92" s="20">
        <v>285</v>
      </c>
      <c r="N92" s="20">
        <f t="shared" ref="N92:N100" si="50">M92*5300</f>
        <v>1510500</v>
      </c>
      <c r="O92" s="20">
        <v>0</v>
      </c>
      <c r="P92" s="20">
        <v>0</v>
      </c>
      <c r="Q92" s="20">
        <v>479.5</v>
      </c>
      <c r="R92" s="20">
        <f t="shared" ref="R92:R100" si="51">Q92*2605</f>
        <v>1249097.5</v>
      </c>
      <c r="S92" s="20">
        <f>S919</f>
        <v>0</v>
      </c>
      <c r="T92" s="20">
        <v>0</v>
      </c>
      <c r="U92" s="20">
        <v>200000</v>
      </c>
      <c r="V92" s="1">
        <f t="shared" si="45"/>
        <v>5300</v>
      </c>
    </row>
    <row r="93" spans="1:22" ht="21.95" customHeight="1" x14ac:dyDescent="0.25">
      <c r="A93" s="18" t="s">
        <v>1689</v>
      </c>
      <c r="B93" s="27" t="s">
        <v>840</v>
      </c>
      <c r="C93" s="12">
        <f t="shared" si="37"/>
        <v>58827.5</v>
      </c>
      <c r="D93" s="20">
        <f t="shared" si="44"/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1">
        <v>0</v>
      </c>
      <c r="L93" s="20">
        <v>0</v>
      </c>
      <c r="M93" s="20">
        <v>0</v>
      </c>
      <c r="N93" s="20">
        <f t="shared" si="50"/>
        <v>0</v>
      </c>
      <c r="O93" s="20">
        <v>0</v>
      </c>
      <c r="P93" s="20">
        <f>O93*410</f>
        <v>0</v>
      </c>
      <c r="Q93" s="20">
        <v>0</v>
      </c>
      <c r="R93" s="20">
        <f t="shared" si="51"/>
        <v>0</v>
      </c>
      <c r="S93" s="20">
        <v>0</v>
      </c>
      <c r="T93" s="20">
        <v>0</v>
      </c>
      <c r="U93" s="20">
        <v>58827.5</v>
      </c>
      <c r="V93" s="1" t="e">
        <f t="shared" si="45"/>
        <v>#DIV/0!</v>
      </c>
    </row>
    <row r="94" spans="1:22" ht="21.95" customHeight="1" x14ac:dyDescent="0.25">
      <c r="A94" s="18" t="s">
        <v>1690</v>
      </c>
      <c r="B94" s="27" t="s">
        <v>175</v>
      </c>
      <c r="C94" s="12">
        <f t="shared" si="37"/>
        <v>5261291.6399999997</v>
      </c>
      <c r="D94" s="20">
        <f t="shared" si="44"/>
        <v>765959.44</v>
      </c>
      <c r="E94" s="20">
        <v>182430.47</v>
      </c>
      <c r="F94" s="20">
        <v>411937.81</v>
      </c>
      <c r="G94" s="20">
        <v>70034.98</v>
      </c>
      <c r="H94" s="20">
        <f>500*0</f>
        <v>0</v>
      </c>
      <c r="I94" s="20">
        <v>101556.18</v>
      </c>
      <c r="J94" s="20">
        <f t="shared" ref="J94:J95" si="52">350*0</f>
        <v>0</v>
      </c>
      <c r="K94" s="21">
        <v>0</v>
      </c>
      <c r="L94" s="20">
        <v>0</v>
      </c>
      <c r="M94" s="20">
        <v>595</v>
      </c>
      <c r="N94" s="20">
        <v>2692274.11</v>
      </c>
      <c r="O94" s="20">
        <v>0</v>
      </c>
      <c r="P94" s="20">
        <v>0</v>
      </c>
      <c r="Q94" s="20">
        <v>761</v>
      </c>
      <c r="R94" s="20">
        <v>1605058.09</v>
      </c>
      <c r="S94" s="20">
        <f>S920</f>
        <v>0</v>
      </c>
      <c r="T94" s="20">
        <v>0</v>
      </c>
      <c r="U94" s="20">
        <v>198000</v>
      </c>
      <c r="V94" s="1">
        <f t="shared" si="45"/>
        <v>4524.8304369747893</v>
      </c>
    </row>
    <row r="95" spans="1:22" ht="21.95" customHeight="1" x14ac:dyDescent="0.25">
      <c r="A95" s="18" t="s">
        <v>1691</v>
      </c>
      <c r="B95" s="27" t="s">
        <v>176</v>
      </c>
      <c r="C95" s="12">
        <f t="shared" si="37"/>
        <v>8940213</v>
      </c>
      <c r="D95" s="20">
        <f t="shared" si="44"/>
        <v>1587670</v>
      </c>
      <c r="E95" s="20">
        <f>350*858.2</f>
        <v>300370</v>
      </c>
      <c r="F95" s="20">
        <f>800*858.2</f>
        <v>686560</v>
      </c>
      <c r="G95" s="20">
        <f>300*858.2</f>
        <v>257460</v>
      </c>
      <c r="H95" s="20">
        <f>500*0</f>
        <v>0</v>
      </c>
      <c r="I95" s="20">
        <f>400*858.2</f>
        <v>343280</v>
      </c>
      <c r="J95" s="20">
        <f t="shared" si="52"/>
        <v>0</v>
      </c>
      <c r="K95" s="21">
        <v>0</v>
      </c>
      <c r="L95" s="20">
        <v>0</v>
      </c>
      <c r="M95" s="20">
        <v>958</v>
      </c>
      <c r="N95" s="20">
        <f t="shared" si="50"/>
        <v>5077400</v>
      </c>
      <c r="O95" s="20">
        <v>0</v>
      </c>
      <c r="P95" s="20">
        <f>O95*410</f>
        <v>0</v>
      </c>
      <c r="Q95" s="20">
        <v>796.6</v>
      </c>
      <c r="R95" s="20">
        <f t="shared" si="51"/>
        <v>2075143</v>
      </c>
      <c r="S95" s="20">
        <f>S921</f>
        <v>0</v>
      </c>
      <c r="T95" s="20">
        <v>0</v>
      </c>
      <c r="U95" s="20">
        <v>200000</v>
      </c>
      <c r="V95" s="1">
        <f t="shared" si="45"/>
        <v>5300</v>
      </c>
    </row>
    <row r="96" spans="1:22" ht="21.95" customHeight="1" x14ac:dyDescent="0.25">
      <c r="A96" s="18" t="s">
        <v>1692</v>
      </c>
      <c r="B96" s="27" t="s">
        <v>177</v>
      </c>
      <c r="C96" s="12">
        <f t="shared" si="37"/>
        <v>124764.64</v>
      </c>
      <c r="D96" s="20">
        <f t="shared" si="44"/>
        <v>0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1">
        <v>0</v>
      </c>
      <c r="L96" s="20">
        <v>0</v>
      </c>
      <c r="M96" s="20">
        <v>0</v>
      </c>
      <c r="N96" s="20">
        <v>0</v>
      </c>
      <c r="O96" s="20">
        <v>0</v>
      </c>
      <c r="P96" s="20">
        <f>O96*410</f>
        <v>0</v>
      </c>
      <c r="Q96" s="20">
        <v>0</v>
      </c>
      <c r="R96" s="20">
        <f t="shared" si="51"/>
        <v>0</v>
      </c>
      <c r="S96" s="20">
        <v>0</v>
      </c>
      <c r="T96" s="20">
        <v>0</v>
      </c>
      <c r="U96" s="20">
        <v>124764.64</v>
      </c>
      <c r="V96" s="1" t="e">
        <f t="shared" si="45"/>
        <v>#DIV/0!</v>
      </c>
    </row>
    <row r="97" spans="1:22" ht="21.95" customHeight="1" x14ac:dyDescent="0.25">
      <c r="A97" s="18" t="s">
        <v>1693</v>
      </c>
      <c r="B97" s="27" t="s">
        <v>178</v>
      </c>
      <c r="C97" s="12">
        <f t="shared" si="37"/>
        <v>4375705.5</v>
      </c>
      <c r="D97" s="20">
        <f t="shared" si="44"/>
        <v>737040</v>
      </c>
      <c r="E97" s="20">
        <f>350*398.4</f>
        <v>139440</v>
      </c>
      <c r="F97" s="20">
        <f>800*398.4</f>
        <v>318720</v>
      </c>
      <c r="G97" s="20">
        <f>300*398.4</f>
        <v>119520</v>
      </c>
      <c r="H97" s="20">
        <f>500*0</f>
        <v>0</v>
      </c>
      <c r="I97" s="20">
        <f>400*398.4</f>
        <v>159360</v>
      </c>
      <c r="J97" s="20">
        <f t="shared" ref="J97:J98" si="53">350*0</f>
        <v>0</v>
      </c>
      <c r="K97" s="21">
        <v>0</v>
      </c>
      <c r="L97" s="20">
        <v>0</v>
      </c>
      <c r="M97" s="20">
        <v>432</v>
      </c>
      <c r="N97" s="20">
        <f t="shared" si="50"/>
        <v>2289600</v>
      </c>
      <c r="O97" s="20">
        <v>0</v>
      </c>
      <c r="P97" s="20">
        <v>0</v>
      </c>
      <c r="Q97" s="20">
        <v>441.1</v>
      </c>
      <c r="R97" s="20">
        <f t="shared" si="51"/>
        <v>1149065.5</v>
      </c>
      <c r="S97" s="20">
        <v>0</v>
      </c>
      <c r="T97" s="20">
        <v>0</v>
      </c>
      <c r="U97" s="20">
        <v>200000</v>
      </c>
      <c r="V97" s="1">
        <f t="shared" si="45"/>
        <v>5300</v>
      </c>
    </row>
    <row r="98" spans="1:22" ht="21.95" customHeight="1" x14ac:dyDescent="0.25">
      <c r="A98" s="18" t="s">
        <v>1694</v>
      </c>
      <c r="B98" s="27" t="s">
        <v>179</v>
      </c>
      <c r="C98" s="12">
        <f t="shared" si="37"/>
        <v>4516700</v>
      </c>
      <c r="D98" s="20">
        <f t="shared" si="44"/>
        <v>757945</v>
      </c>
      <c r="E98" s="20">
        <f>350*409.7</f>
        <v>143395</v>
      </c>
      <c r="F98" s="20">
        <f>800*409.7</f>
        <v>327760</v>
      </c>
      <c r="G98" s="20">
        <f>300*409.7</f>
        <v>122910</v>
      </c>
      <c r="H98" s="20">
        <f>500*0</f>
        <v>0</v>
      </c>
      <c r="I98" s="20">
        <f>400*409.7</f>
        <v>163880</v>
      </c>
      <c r="J98" s="20">
        <f t="shared" si="53"/>
        <v>0</v>
      </c>
      <c r="K98" s="21">
        <v>0</v>
      </c>
      <c r="L98" s="20">
        <v>0</v>
      </c>
      <c r="M98" s="20">
        <v>374.1</v>
      </c>
      <c r="N98" s="20">
        <f t="shared" si="50"/>
        <v>1982730.0000000002</v>
      </c>
      <c r="O98" s="20">
        <v>0</v>
      </c>
      <c r="P98" s="20">
        <v>0</v>
      </c>
      <c r="Q98" s="20">
        <v>605</v>
      </c>
      <c r="R98" s="20">
        <f t="shared" si="51"/>
        <v>1576025</v>
      </c>
      <c r="S98" s="20">
        <f>S881</f>
        <v>0</v>
      </c>
      <c r="T98" s="20">
        <v>0</v>
      </c>
      <c r="U98" s="20">
        <v>200000</v>
      </c>
      <c r="V98" s="1">
        <f t="shared" si="45"/>
        <v>5300</v>
      </c>
    </row>
    <row r="99" spans="1:22" ht="21.95" customHeight="1" x14ac:dyDescent="0.25">
      <c r="A99" s="18" t="s">
        <v>1695</v>
      </c>
      <c r="B99" s="29" t="s">
        <v>180</v>
      </c>
      <c r="C99" s="12">
        <f t="shared" si="37"/>
        <v>52206.080000000002</v>
      </c>
      <c r="D99" s="20">
        <f t="shared" si="44"/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1">
        <v>0</v>
      </c>
      <c r="L99" s="20">
        <v>0</v>
      </c>
      <c r="M99" s="20">
        <v>0</v>
      </c>
      <c r="N99" s="20">
        <f t="shared" si="50"/>
        <v>0</v>
      </c>
      <c r="O99" s="20">
        <v>0</v>
      </c>
      <c r="P99" s="20">
        <v>0</v>
      </c>
      <c r="Q99" s="20">
        <v>0</v>
      </c>
      <c r="R99" s="20">
        <f t="shared" si="51"/>
        <v>0</v>
      </c>
      <c r="S99" s="20">
        <f>S882</f>
        <v>0</v>
      </c>
      <c r="T99" s="20">
        <v>0</v>
      </c>
      <c r="U99" s="20">
        <v>52206.080000000002</v>
      </c>
      <c r="V99" s="1" t="e">
        <f t="shared" si="45"/>
        <v>#DIV/0!</v>
      </c>
    </row>
    <row r="100" spans="1:22" ht="21.95" customHeight="1" x14ac:dyDescent="0.25">
      <c r="A100" s="18" t="s">
        <v>1696</v>
      </c>
      <c r="B100" s="29" t="s">
        <v>181</v>
      </c>
      <c r="C100" s="12">
        <f t="shared" si="37"/>
        <v>49933.51</v>
      </c>
      <c r="D100" s="20">
        <f t="shared" si="44"/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1">
        <v>0</v>
      </c>
      <c r="L100" s="20">
        <v>0</v>
      </c>
      <c r="M100" s="20">
        <v>0</v>
      </c>
      <c r="N100" s="20">
        <f t="shared" si="50"/>
        <v>0</v>
      </c>
      <c r="O100" s="20">
        <v>0</v>
      </c>
      <c r="P100" s="20">
        <v>0</v>
      </c>
      <c r="Q100" s="20">
        <v>0</v>
      </c>
      <c r="R100" s="20">
        <f t="shared" si="51"/>
        <v>0</v>
      </c>
      <c r="S100" s="20">
        <f>S883</f>
        <v>0</v>
      </c>
      <c r="T100" s="20">
        <v>0</v>
      </c>
      <c r="U100" s="20">
        <v>49933.51</v>
      </c>
      <c r="V100" s="1" t="e">
        <f t="shared" si="45"/>
        <v>#DIV/0!</v>
      </c>
    </row>
    <row r="101" spans="1:22" ht="21.95" customHeight="1" x14ac:dyDescent="0.25">
      <c r="A101" s="18" t="s">
        <v>1697</v>
      </c>
      <c r="B101" s="25" t="s">
        <v>1422</v>
      </c>
      <c r="C101" s="12">
        <f t="shared" si="37"/>
        <v>6242020</v>
      </c>
      <c r="D101" s="20">
        <f t="shared" si="44"/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1">
        <v>0</v>
      </c>
      <c r="L101" s="20">
        <v>0</v>
      </c>
      <c r="M101" s="8">
        <v>1083.4000000000001</v>
      </c>
      <c r="N101" s="8">
        <v>5742020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500000</v>
      </c>
      <c r="V101" s="1">
        <f t="shared" si="45"/>
        <v>5300</v>
      </c>
    </row>
    <row r="102" spans="1:22" ht="45" customHeight="1" x14ac:dyDescent="0.25">
      <c r="A102" s="63" t="s">
        <v>225</v>
      </c>
      <c r="B102" s="63"/>
      <c r="C102" s="12">
        <f t="shared" si="37"/>
        <v>3364187.67</v>
      </c>
      <c r="D102" s="12">
        <f t="shared" ref="D102:U102" si="54">SUM(D103:D104)</f>
        <v>763750</v>
      </c>
      <c r="E102" s="12">
        <f t="shared" si="54"/>
        <v>113750</v>
      </c>
      <c r="F102" s="12">
        <f t="shared" si="54"/>
        <v>260000</v>
      </c>
      <c r="G102" s="12">
        <f t="shared" si="54"/>
        <v>97500</v>
      </c>
      <c r="H102" s="12">
        <f t="shared" si="54"/>
        <v>162500</v>
      </c>
      <c r="I102" s="12">
        <f t="shared" si="54"/>
        <v>130000</v>
      </c>
      <c r="J102" s="12">
        <f t="shared" si="54"/>
        <v>0</v>
      </c>
      <c r="K102" s="13">
        <f t="shared" si="54"/>
        <v>0</v>
      </c>
      <c r="L102" s="12">
        <f t="shared" si="54"/>
        <v>0</v>
      </c>
      <c r="M102" s="12">
        <f t="shared" si="54"/>
        <v>246</v>
      </c>
      <c r="N102" s="12">
        <f t="shared" si="54"/>
        <v>1303800</v>
      </c>
      <c r="O102" s="12">
        <f t="shared" si="54"/>
        <v>0</v>
      </c>
      <c r="P102" s="12">
        <f t="shared" si="54"/>
        <v>0</v>
      </c>
      <c r="Q102" s="12">
        <f t="shared" si="54"/>
        <v>430.2</v>
      </c>
      <c r="R102" s="12">
        <f t="shared" si="54"/>
        <v>1120671</v>
      </c>
      <c r="S102" s="12">
        <f t="shared" si="54"/>
        <v>123480</v>
      </c>
      <c r="T102" s="12">
        <f t="shared" si="54"/>
        <v>0</v>
      </c>
      <c r="U102" s="12">
        <f t="shared" si="54"/>
        <v>52486.67</v>
      </c>
      <c r="V102" s="22">
        <f>C102+C453</f>
        <v>7171067.6699999999</v>
      </c>
    </row>
    <row r="103" spans="1:22" ht="20.100000000000001" customHeight="1" x14ac:dyDescent="0.25">
      <c r="A103" s="18" t="s">
        <v>1698</v>
      </c>
      <c r="B103" s="25" t="s">
        <v>226</v>
      </c>
      <c r="C103" s="12">
        <f t="shared" si="37"/>
        <v>3311701</v>
      </c>
      <c r="D103" s="20">
        <f t="shared" ref="D103:D104" si="55">SUM(E103:J103)</f>
        <v>763750</v>
      </c>
      <c r="E103" s="20">
        <f>350*325</f>
        <v>113750</v>
      </c>
      <c r="F103" s="20">
        <f>800*325</f>
        <v>260000</v>
      </c>
      <c r="G103" s="20">
        <f>300*325</f>
        <v>97500</v>
      </c>
      <c r="H103" s="20">
        <f>500*325</f>
        <v>162500</v>
      </c>
      <c r="I103" s="20">
        <f>400*325</f>
        <v>130000</v>
      </c>
      <c r="J103" s="20">
        <f>350*0</f>
        <v>0</v>
      </c>
      <c r="K103" s="21">
        <v>0</v>
      </c>
      <c r="L103" s="20">
        <v>0</v>
      </c>
      <c r="M103" s="20">
        <v>246</v>
      </c>
      <c r="N103" s="20">
        <v>1303800</v>
      </c>
      <c r="O103" s="20">
        <v>0</v>
      </c>
      <c r="P103" s="20">
        <v>0</v>
      </c>
      <c r="Q103" s="20">
        <v>430.2</v>
      </c>
      <c r="R103" s="20">
        <v>1120671</v>
      </c>
      <c r="S103" s="20">
        <v>123480</v>
      </c>
      <c r="T103" s="20">
        <v>0</v>
      </c>
      <c r="U103" s="20">
        <v>0</v>
      </c>
      <c r="V103" s="1">
        <f t="shared" ref="V103:V104" si="56">N103/M103</f>
        <v>5300</v>
      </c>
    </row>
    <row r="104" spans="1:22" ht="20.100000000000001" customHeight="1" x14ac:dyDescent="0.25">
      <c r="A104" s="18" t="s">
        <v>1699</v>
      </c>
      <c r="B104" s="25" t="s">
        <v>227</v>
      </c>
      <c r="C104" s="12">
        <f t="shared" si="37"/>
        <v>52486.67</v>
      </c>
      <c r="D104" s="20">
        <f t="shared" si="55"/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1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52486.67</v>
      </c>
      <c r="V104" s="1" t="e">
        <f t="shared" si="56"/>
        <v>#DIV/0!</v>
      </c>
    </row>
    <row r="105" spans="1:22" ht="45" customHeight="1" x14ac:dyDescent="0.25">
      <c r="A105" s="63" t="s">
        <v>224</v>
      </c>
      <c r="B105" s="63"/>
      <c r="C105" s="12">
        <f t="shared" si="37"/>
        <v>6576406.4400000004</v>
      </c>
      <c r="D105" s="12">
        <f t="shared" ref="D105:U105" si="57">SUM(D106:D111)</f>
        <v>313005</v>
      </c>
      <c r="E105" s="12">
        <f t="shared" si="57"/>
        <v>313005</v>
      </c>
      <c r="F105" s="12">
        <f t="shared" si="57"/>
        <v>0</v>
      </c>
      <c r="G105" s="12">
        <f t="shared" si="57"/>
        <v>0</v>
      </c>
      <c r="H105" s="12">
        <f t="shared" si="57"/>
        <v>0</v>
      </c>
      <c r="I105" s="12">
        <f t="shared" si="57"/>
        <v>0</v>
      </c>
      <c r="J105" s="12">
        <f t="shared" si="57"/>
        <v>0</v>
      </c>
      <c r="K105" s="13">
        <f t="shared" si="57"/>
        <v>0</v>
      </c>
      <c r="L105" s="12">
        <f t="shared" si="57"/>
        <v>0</v>
      </c>
      <c r="M105" s="12">
        <f t="shared" si="57"/>
        <v>401.11</v>
      </c>
      <c r="N105" s="12">
        <f t="shared" si="57"/>
        <v>2125884</v>
      </c>
      <c r="O105" s="12">
        <f t="shared" si="57"/>
        <v>0</v>
      </c>
      <c r="P105" s="12">
        <f t="shared" si="57"/>
        <v>0</v>
      </c>
      <c r="Q105" s="12">
        <f t="shared" si="57"/>
        <v>1587.96</v>
      </c>
      <c r="R105" s="12">
        <f t="shared" si="57"/>
        <v>3988880.2</v>
      </c>
      <c r="S105" s="12">
        <f t="shared" si="57"/>
        <v>0</v>
      </c>
      <c r="T105" s="12">
        <f t="shared" si="57"/>
        <v>0</v>
      </c>
      <c r="U105" s="12">
        <f t="shared" si="57"/>
        <v>148637.24</v>
      </c>
      <c r="V105" s="22">
        <f>C105+C455+C856</f>
        <v>53033811.439999998</v>
      </c>
    </row>
    <row r="106" spans="1:22" ht="21.95" customHeight="1" x14ac:dyDescent="0.25">
      <c r="A106" s="18" t="s">
        <v>1700</v>
      </c>
      <c r="B106" s="25" t="s">
        <v>215</v>
      </c>
      <c r="C106" s="12">
        <f t="shared" si="37"/>
        <v>61829.57</v>
      </c>
      <c r="D106" s="20">
        <f t="shared" ref="D106:D111" si="58">SUM(E106:J106)</f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1">
        <v>0</v>
      </c>
      <c r="L106" s="20">
        <v>0</v>
      </c>
      <c r="M106" s="8">
        <v>0</v>
      </c>
      <c r="N106" s="8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61829.57</v>
      </c>
      <c r="V106" s="1" t="e">
        <f t="shared" ref="V106:V111" si="59">N106/M106</f>
        <v>#DIV/0!</v>
      </c>
    </row>
    <row r="107" spans="1:22" ht="21.95" customHeight="1" x14ac:dyDescent="0.25">
      <c r="A107" s="18" t="s">
        <v>1701</v>
      </c>
      <c r="B107" s="25" t="s">
        <v>218</v>
      </c>
      <c r="C107" s="12">
        <f t="shared" si="37"/>
        <v>32637.59</v>
      </c>
      <c r="D107" s="20">
        <f t="shared" si="58"/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1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32637.59</v>
      </c>
      <c r="V107" s="1" t="e">
        <f t="shared" si="59"/>
        <v>#DIV/0!</v>
      </c>
    </row>
    <row r="108" spans="1:22" ht="21.95" customHeight="1" x14ac:dyDescent="0.25">
      <c r="A108" s="18" t="s">
        <v>1702</v>
      </c>
      <c r="B108" s="25" t="s">
        <v>1437</v>
      </c>
      <c r="C108" s="12">
        <f t="shared" si="37"/>
        <v>1368354.4</v>
      </c>
      <c r="D108" s="20">
        <f t="shared" si="58"/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1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582</v>
      </c>
      <c r="R108" s="20">
        <v>1368354.4</v>
      </c>
      <c r="S108" s="20">
        <v>0</v>
      </c>
      <c r="T108" s="20">
        <v>0</v>
      </c>
      <c r="U108" s="20">
        <v>0</v>
      </c>
      <c r="V108" s="1" t="e">
        <f t="shared" si="59"/>
        <v>#DIV/0!</v>
      </c>
    </row>
    <row r="109" spans="1:22" ht="21.95" customHeight="1" x14ac:dyDescent="0.25">
      <c r="A109" s="18" t="s">
        <v>1703</v>
      </c>
      <c r="B109" s="25" t="s">
        <v>219</v>
      </c>
      <c r="C109" s="12">
        <f t="shared" si="37"/>
        <v>54170.080000000002</v>
      </c>
      <c r="D109" s="20">
        <f t="shared" si="58"/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1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54170.080000000002</v>
      </c>
      <c r="V109" s="1" t="e">
        <f t="shared" si="59"/>
        <v>#DIV/0!</v>
      </c>
    </row>
    <row r="110" spans="1:22" ht="21.95" customHeight="1" x14ac:dyDescent="0.25">
      <c r="A110" s="18" t="s">
        <v>1704</v>
      </c>
      <c r="B110" s="25" t="s">
        <v>1438</v>
      </c>
      <c r="C110" s="12">
        <f t="shared" si="37"/>
        <v>3687459</v>
      </c>
      <c r="D110" s="20">
        <f t="shared" si="58"/>
        <v>154875</v>
      </c>
      <c r="E110" s="20">
        <f>350*442.5</f>
        <v>154875</v>
      </c>
      <c r="F110" s="20">
        <f>800*0</f>
        <v>0</v>
      </c>
      <c r="G110" s="20">
        <f>300*0</f>
        <v>0</v>
      </c>
      <c r="H110" s="20">
        <f>500*0</f>
        <v>0</v>
      </c>
      <c r="I110" s="20">
        <f>400*0</f>
        <v>0</v>
      </c>
      <c r="J110" s="20">
        <f>350*0</f>
        <v>0</v>
      </c>
      <c r="K110" s="21">
        <v>0</v>
      </c>
      <c r="L110" s="20">
        <v>0</v>
      </c>
      <c r="M110" s="8">
        <v>401.11</v>
      </c>
      <c r="N110" s="8">
        <v>2125884</v>
      </c>
      <c r="O110" s="20">
        <v>0</v>
      </c>
      <c r="P110" s="20">
        <v>0</v>
      </c>
      <c r="Q110" s="20">
        <v>540</v>
      </c>
      <c r="R110" s="20">
        <v>1406700</v>
      </c>
      <c r="S110" s="20">
        <v>0</v>
      </c>
      <c r="T110" s="20">
        <v>0</v>
      </c>
      <c r="U110" s="20">
        <v>0</v>
      </c>
      <c r="V110" s="1">
        <f t="shared" si="59"/>
        <v>5300.002493081698</v>
      </c>
    </row>
    <row r="111" spans="1:22" ht="21.95" customHeight="1" x14ac:dyDescent="0.25">
      <c r="A111" s="18" t="s">
        <v>1705</v>
      </c>
      <c r="B111" s="25" t="s">
        <v>1439</v>
      </c>
      <c r="C111" s="12">
        <f t="shared" si="37"/>
        <v>1371955.8</v>
      </c>
      <c r="D111" s="20">
        <f t="shared" si="58"/>
        <v>158130</v>
      </c>
      <c r="E111" s="20">
        <f>350*451.8</f>
        <v>158130</v>
      </c>
      <c r="F111" s="20">
        <f>800*0</f>
        <v>0</v>
      </c>
      <c r="G111" s="20">
        <f>300*0</f>
        <v>0</v>
      </c>
      <c r="H111" s="20">
        <f>500*0</f>
        <v>0</v>
      </c>
      <c r="I111" s="20">
        <f>400*0</f>
        <v>0</v>
      </c>
      <c r="J111" s="20">
        <f>350*0</f>
        <v>0</v>
      </c>
      <c r="K111" s="21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8">
        <v>465.96</v>
      </c>
      <c r="R111" s="8">
        <v>1213825.8</v>
      </c>
      <c r="S111" s="20">
        <v>0</v>
      </c>
      <c r="T111" s="20">
        <v>0</v>
      </c>
      <c r="U111" s="20">
        <v>0</v>
      </c>
      <c r="V111" s="1" t="e">
        <f t="shared" si="59"/>
        <v>#DIV/0!</v>
      </c>
    </row>
    <row r="112" spans="1:22" ht="45" customHeight="1" x14ac:dyDescent="0.25">
      <c r="A112" s="63" t="s">
        <v>228</v>
      </c>
      <c r="B112" s="63"/>
      <c r="C112" s="12">
        <f t="shared" si="37"/>
        <v>13801050</v>
      </c>
      <c r="D112" s="12">
        <f t="shared" ref="D112:U112" si="60">SUM(D113:D119)</f>
        <v>3810290</v>
      </c>
      <c r="E112" s="12">
        <f t="shared" si="60"/>
        <v>567490</v>
      </c>
      <c r="F112" s="12">
        <f t="shared" si="60"/>
        <v>1297120</v>
      </c>
      <c r="G112" s="12">
        <f t="shared" si="60"/>
        <v>486420</v>
      </c>
      <c r="H112" s="12">
        <f t="shared" si="60"/>
        <v>810700</v>
      </c>
      <c r="I112" s="12">
        <f t="shared" si="60"/>
        <v>648560</v>
      </c>
      <c r="J112" s="12">
        <f t="shared" si="60"/>
        <v>0</v>
      </c>
      <c r="K112" s="13">
        <f t="shared" si="60"/>
        <v>0</v>
      </c>
      <c r="L112" s="12">
        <f t="shared" si="60"/>
        <v>0</v>
      </c>
      <c r="M112" s="12">
        <f t="shared" si="60"/>
        <v>1657</v>
      </c>
      <c r="N112" s="12">
        <f t="shared" si="60"/>
        <v>6488100</v>
      </c>
      <c r="O112" s="12">
        <f t="shared" si="60"/>
        <v>0</v>
      </c>
      <c r="P112" s="12">
        <f t="shared" si="60"/>
        <v>0</v>
      </c>
      <c r="Q112" s="12">
        <f t="shared" si="60"/>
        <v>692</v>
      </c>
      <c r="R112" s="12">
        <f t="shared" si="60"/>
        <v>1802660</v>
      </c>
      <c r="S112" s="12">
        <f t="shared" si="60"/>
        <v>0</v>
      </c>
      <c r="T112" s="12">
        <f t="shared" si="60"/>
        <v>0</v>
      </c>
      <c r="U112" s="12">
        <f t="shared" si="60"/>
        <v>1700000</v>
      </c>
      <c r="V112" s="22">
        <f>C112+C465+C860</f>
        <v>59658331.5</v>
      </c>
    </row>
    <row r="113" spans="1:22" ht="21.95" customHeight="1" x14ac:dyDescent="0.25">
      <c r="A113" s="18" t="s">
        <v>1706</v>
      </c>
      <c r="B113" s="25" t="s">
        <v>231</v>
      </c>
      <c r="C113" s="12">
        <f t="shared" si="37"/>
        <v>2564100</v>
      </c>
      <c r="D113" s="20">
        <f t="shared" ref="D113:D119" si="61">SUM(E113:J113)</f>
        <v>2364100</v>
      </c>
      <c r="E113" s="20">
        <f>350*1006</f>
        <v>352100</v>
      </c>
      <c r="F113" s="20">
        <f>800*1006</f>
        <v>804800</v>
      </c>
      <c r="G113" s="20">
        <f>300*1006</f>
        <v>301800</v>
      </c>
      <c r="H113" s="20">
        <f>500*1006</f>
        <v>503000</v>
      </c>
      <c r="I113" s="20">
        <f>400*1006</f>
        <v>402400</v>
      </c>
      <c r="J113" s="20">
        <f>350*0</f>
        <v>0</v>
      </c>
      <c r="K113" s="21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200000</v>
      </c>
      <c r="V113" s="1" t="e">
        <f t="shared" ref="V113:V119" si="62">N113/M113</f>
        <v>#DIV/0!</v>
      </c>
    </row>
    <row r="114" spans="1:22" ht="21.95" customHeight="1" x14ac:dyDescent="0.25">
      <c r="A114" s="18" t="s">
        <v>1707</v>
      </c>
      <c r="B114" s="25" t="s">
        <v>232</v>
      </c>
      <c r="C114" s="12">
        <f t="shared" si="37"/>
        <v>3985100</v>
      </c>
      <c r="D114" s="20">
        <f t="shared" si="61"/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1">
        <v>0</v>
      </c>
      <c r="L114" s="20">
        <v>0</v>
      </c>
      <c r="M114" s="20">
        <v>1147</v>
      </c>
      <c r="N114" s="20">
        <f>M114*3300</f>
        <v>3785100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200000</v>
      </c>
      <c r="V114" s="1">
        <f t="shared" si="62"/>
        <v>3300</v>
      </c>
    </row>
    <row r="115" spans="1:22" ht="21.95" customHeight="1" x14ac:dyDescent="0.25">
      <c r="A115" s="18" t="s">
        <v>1708</v>
      </c>
      <c r="B115" s="25" t="s">
        <v>233</v>
      </c>
      <c r="C115" s="12">
        <f t="shared" si="37"/>
        <v>1646190</v>
      </c>
      <c r="D115" s="20">
        <f t="shared" si="61"/>
        <v>1446190</v>
      </c>
      <c r="E115" s="20">
        <f>350*615.4</f>
        <v>215390</v>
      </c>
      <c r="F115" s="20">
        <f>800*615.4</f>
        <v>492320</v>
      </c>
      <c r="G115" s="20">
        <f>300*615.4</f>
        <v>184620</v>
      </c>
      <c r="H115" s="20">
        <f>500*615.4</f>
        <v>307700</v>
      </c>
      <c r="I115" s="20">
        <f>400*615.4</f>
        <v>246160</v>
      </c>
      <c r="J115" s="20">
        <f>350*0</f>
        <v>0</v>
      </c>
      <c r="K115" s="21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200000</v>
      </c>
      <c r="V115" s="1" t="e">
        <f t="shared" si="62"/>
        <v>#DIV/0!</v>
      </c>
    </row>
    <row r="116" spans="1:22" ht="21.95" customHeight="1" x14ac:dyDescent="0.25">
      <c r="A116" s="18" t="s">
        <v>1709</v>
      </c>
      <c r="B116" s="25" t="s">
        <v>234</v>
      </c>
      <c r="C116" s="12">
        <f t="shared" si="37"/>
        <v>300000</v>
      </c>
      <c r="D116" s="20">
        <f t="shared" si="61"/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1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300000</v>
      </c>
      <c r="V116" s="1" t="e">
        <f t="shared" si="62"/>
        <v>#DIV/0!</v>
      </c>
    </row>
    <row r="117" spans="1:22" ht="21.95" customHeight="1" x14ac:dyDescent="0.25">
      <c r="A117" s="18" t="s">
        <v>1710</v>
      </c>
      <c r="B117" s="25" t="s">
        <v>240</v>
      </c>
      <c r="C117" s="12">
        <f t="shared" si="37"/>
        <v>300000</v>
      </c>
      <c r="D117" s="20">
        <f t="shared" si="61"/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1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300000</v>
      </c>
      <c r="V117" s="1" t="e">
        <f t="shared" si="62"/>
        <v>#DIV/0!</v>
      </c>
    </row>
    <row r="118" spans="1:22" ht="21.95" customHeight="1" x14ac:dyDescent="0.25">
      <c r="A118" s="18" t="s">
        <v>1711</v>
      </c>
      <c r="B118" s="25" t="s">
        <v>241</v>
      </c>
      <c r="C118" s="12">
        <f t="shared" si="37"/>
        <v>4705660</v>
      </c>
      <c r="D118" s="20">
        <f t="shared" si="61"/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1">
        <v>0</v>
      </c>
      <c r="L118" s="20">
        <v>0</v>
      </c>
      <c r="M118" s="20">
        <v>510</v>
      </c>
      <c r="N118" s="20">
        <f>M118*5300</f>
        <v>2703000</v>
      </c>
      <c r="O118" s="20">
        <v>0</v>
      </c>
      <c r="P118" s="20">
        <v>0</v>
      </c>
      <c r="Q118" s="20">
        <v>692</v>
      </c>
      <c r="R118" s="20">
        <v>1802660</v>
      </c>
      <c r="S118" s="20">
        <v>0</v>
      </c>
      <c r="T118" s="20">
        <v>0</v>
      </c>
      <c r="U118" s="20">
        <v>200000</v>
      </c>
      <c r="V118" s="1">
        <f t="shared" si="62"/>
        <v>5300</v>
      </c>
    </row>
    <row r="119" spans="1:22" ht="21.95" customHeight="1" x14ac:dyDescent="0.25">
      <c r="A119" s="18" t="s">
        <v>1712</v>
      </c>
      <c r="B119" s="25" t="s">
        <v>242</v>
      </c>
      <c r="C119" s="12">
        <f t="shared" si="37"/>
        <v>300000</v>
      </c>
      <c r="D119" s="20">
        <f t="shared" si="61"/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1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300000</v>
      </c>
      <c r="V119" s="1" t="e">
        <f t="shared" si="62"/>
        <v>#DIV/0!</v>
      </c>
    </row>
    <row r="120" spans="1:22" ht="45" customHeight="1" x14ac:dyDescent="0.25">
      <c r="A120" s="63" t="s">
        <v>270</v>
      </c>
      <c r="B120" s="63"/>
      <c r="C120" s="12">
        <f t="shared" si="37"/>
        <v>58864351.5</v>
      </c>
      <c r="D120" s="12">
        <f t="shared" ref="D120:U120" si="63">SUM(D121:D129)</f>
        <v>11805756.5</v>
      </c>
      <c r="E120" s="12">
        <f t="shared" si="63"/>
        <v>2233521.5</v>
      </c>
      <c r="F120" s="12">
        <f t="shared" si="63"/>
        <v>5105192</v>
      </c>
      <c r="G120" s="12">
        <f t="shared" si="63"/>
        <v>1914447</v>
      </c>
      <c r="H120" s="12">
        <f t="shared" si="63"/>
        <v>0</v>
      </c>
      <c r="I120" s="12">
        <f t="shared" si="63"/>
        <v>2552596</v>
      </c>
      <c r="J120" s="12">
        <f t="shared" si="63"/>
        <v>0</v>
      </c>
      <c r="K120" s="13">
        <f t="shared" si="63"/>
        <v>0</v>
      </c>
      <c r="L120" s="12">
        <f t="shared" si="63"/>
        <v>0</v>
      </c>
      <c r="M120" s="12">
        <f t="shared" si="63"/>
        <v>4692.5</v>
      </c>
      <c r="N120" s="12">
        <f t="shared" si="63"/>
        <v>21127250</v>
      </c>
      <c r="O120" s="12">
        <f t="shared" si="63"/>
        <v>1241.1999999999998</v>
      </c>
      <c r="P120" s="12">
        <f t="shared" si="63"/>
        <v>3599480</v>
      </c>
      <c r="Q120" s="12">
        <f t="shared" si="63"/>
        <v>7613</v>
      </c>
      <c r="R120" s="12">
        <f t="shared" si="63"/>
        <v>19831865</v>
      </c>
      <c r="S120" s="12">
        <f t="shared" si="63"/>
        <v>0</v>
      </c>
      <c r="T120" s="12">
        <f t="shared" si="63"/>
        <v>0</v>
      </c>
      <c r="U120" s="12">
        <f t="shared" si="63"/>
        <v>2500000</v>
      </c>
      <c r="V120" s="22">
        <f>C120+C477+C867</f>
        <v>215188223.81999999</v>
      </c>
    </row>
    <row r="121" spans="1:22" ht="21.95" customHeight="1" x14ac:dyDescent="0.25">
      <c r="A121" s="18" t="s">
        <v>1713</v>
      </c>
      <c r="B121" s="30" t="s">
        <v>246</v>
      </c>
      <c r="C121" s="12">
        <f t="shared" si="37"/>
        <v>14347815</v>
      </c>
      <c r="D121" s="20">
        <f t="shared" ref="D121:D129" si="64">SUM(E121:J121)</f>
        <v>3264325</v>
      </c>
      <c r="E121" s="20">
        <f>350*1764.5</f>
        <v>617575</v>
      </c>
      <c r="F121" s="20">
        <f>800*1764.5</f>
        <v>1411600</v>
      </c>
      <c r="G121" s="20">
        <f>300*1764.5</f>
        <v>529350</v>
      </c>
      <c r="H121" s="20">
        <f>500*0</f>
        <v>0</v>
      </c>
      <c r="I121" s="20">
        <f>400*1764.5</f>
        <v>705800</v>
      </c>
      <c r="J121" s="20">
        <f>350*0</f>
        <v>0</v>
      </c>
      <c r="K121" s="21">
        <v>0</v>
      </c>
      <c r="L121" s="20">
        <v>0</v>
      </c>
      <c r="M121" s="20">
        <v>1045</v>
      </c>
      <c r="N121" s="20">
        <f>M121*5300</f>
        <v>5538500</v>
      </c>
      <c r="O121" s="20">
        <v>644.79999999999995</v>
      </c>
      <c r="P121" s="20">
        <v>1869920</v>
      </c>
      <c r="Q121" s="20">
        <v>1334</v>
      </c>
      <c r="R121" s="20">
        <v>3475070</v>
      </c>
      <c r="S121" s="20">
        <v>0</v>
      </c>
      <c r="T121" s="20">
        <v>0</v>
      </c>
      <c r="U121" s="20">
        <v>200000</v>
      </c>
      <c r="V121" s="1">
        <f t="shared" ref="V121:V129" si="65">N121/M121</f>
        <v>5300</v>
      </c>
    </row>
    <row r="122" spans="1:22" ht="21.95" customHeight="1" x14ac:dyDescent="0.25">
      <c r="A122" s="18" t="s">
        <v>1714</v>
      </c>
      <c r="B122" s="30" t="s">
        <v>247</v>
      </c>
      <c r="C122" s="12">
        <f t="shared" si="37"/>
        <v>12788505</v>
      </c>
      <c r="D122" s="20">
        <f t="shared" si="64"/>
        <v>2663630</v>
      </c>
      <c r="E122" s="20">
        <f>350*1439.8</f>
        <v>503930</v>
      </c>
      <c r="F122" s="20">
        <f>800*1439.8</f>
        <v>1151840</v>
      </c>
      <c r="G122" s="20">
        <f>300*1439.8</f>
        <v>431940</v>
      </c>
      <c r="H122" s="20">
        <f>500*0</f>
        <v>0</v>
      </c>
      <c r="I122" s="20">
        <f>400*1439.8</f>
        <v>575920</v>
      </c>
      <c r="J122" s="20">
        <f>350*0</f>
        <v>0</v>
      </c>
      <c r="K122" s="21">
        <v>0</v>
      </c>
      <c r="L122" s="20">
        <v>0</v>
      </c>
      <c r="M122" s="20">
        <v>877</v>
      </c>
      <c r="N122" s="20">
        <f>M122*5300</f>
        <v>4648100</v>
      </c>
      <c r="O122" s="20">
        <v>505.4</v>
      </c>
      <c r="P122" s="20">
        <v>1465660</v>
      </c>
      <c r="Q122" s="20">
        <v>1463</v>
      </c>
      <c r="R122" s="20">
        <f>Q122*2605</f>
        <v>3811115</v>
      </c>
      <c r="S122" s="20">
        <v>0</v>
      </c>
      <c r="T122" s="20">
        <v>0</v>
      </c>
      <c r="U122" s="20">
        <v>200000</v>
      </c>
      <c r="V122" s="1">
        <f t="shared" si="65"/>
        <v>5300</v>
      </c>
    </row>
    <row r="123" spans="1:22" ht="21.95" customHeight="1" x14ac:dyDescent="0.25">
      <c r="A123" s="18" t="s">
        <v>1715</v>
      </c>
      <c r="B123" s="30" t="s">
        <v>248</v>
      </c>
      <c r="C123" s="12">
        <f t="shared" si="37"/>
        <v>11214510</v>
      </c>
      <c r="D123" s="20">
        <f t="shared" si="64"/>
        <v>2942055</v>
      </c>
      <c r="E123" s="20">
        <f>350*1590.3</f>
        <v>556605</v>
      </c>
      <c r="F123" s="20">
        <f>800*1590.3</f>
        <v>1272240</v>
      </c>
      <c r="G123" s="20">
        <f>300*1590.3</f>
        <v>477090</v>
      </c>
      <c r="H123" s="20">
        <f>500*0</f>
        <v>0</v>
      </c>
      <c r="I123" s="20">
        <f>400*1590.3</f>
        <v>636120</v>
      </c>
      <c r="J123" s="20">
        <f>350*0</f>
        <v>0</v>
      </c>
      <c r="K123" s="21">
        <v>0</v>
      </c>
      <c r="L123" s="20">
        <v>0</v>
      </c>
      <c r="M123" s="20">
        <v>899</v>
      </c>
      <c r="N123" s="20">
        <f>M123*5300</f>
        <v>4764700</v>
      </c>
      <c r="O123" s="20">
        <v>49.2</v>
      </c>
      <c r="P123" s="20">
        <v>142680</v>
      </c>
      <c r="Q123" s="20">
        <v>1215</v>
      </c>
      <c r="R123" s="20">
        <v>3165075</v>
      </c>
      <c r="S123" s="20">
        <v>0</v>
      </c>
      <c r="T123" s="20">
        <v>0</v>
      </c>
      <c r="U123" s="20">
        <v>200000</v>
      </c>
      <c r="V123" s="1">
        <f t="shared" si="65"/>
        <v>5300</v>
      </c>
    </row>
    <row r="124" spans="1:22" ht="21.95" customHeight="1" x14ac:dyDescent="0.25">
      <c r="A124" s="18" t="s">
        <v>1716</v>
      </c>
      <c r="B124" s="25" t="s">
        <v>250</v>
      </c>
      <c r="C124" s="12">
        <f t="shared" si="37"/>
        <v>10019175</v>
      </c>
      <c r="D124" s="20">
        <f t="shared" si="64"/>
        <v>0</v>
      </c>
      <c r="E124" s="20">
        <v>0</v>
      </c>
      <c r="F124" s="20">
        <v>0</v>
      </c>
      <c r="G124" s="20">
        <v>0</v>
      </c>
      <c r="H124" s="20">
        <v>0</v>
      </c>
      <c r="I124" s="20">
        <v>0</v>
      </c>
      <c r="J124" s="20">
        <v>0</v>
      </c>
      <c r="K124" s="21">
        <v>0</v>
      </c>
      <c r="L124" s="20">
        <v>0</v>
      </c>
      <c r="M124" s="20">
        <v>994</v>
      </c>
      <c r="N124" s="20">
        <v>3280200</v>
      </c>
      <c r="O124" s="20">
        <v>0</v>
      </c>
      <c r="P124" s="20">
        <v>0</v>
      </c>
      <c r="Q124" s="20">
        <v>2395</v>
      </c>
      <c r="R124" s="20">
        <v>6238975</v>
      </c>
      <c r="S124" s="20">
        <v>0</v>
      </c>
      <c r="T124" s="20">
        <v>0</v>
      </c>
      <c r="U124" s="20">
        <v>500000</v>
      </c>
      <c r="V124" s="1">
        <f t="shared" si="65"/>
        <v>3300</v>
      </c>
    </row>
    <row r="125" spans="1:22" ht="21.95" customHeight="1" x14ac:dyDescent="0.25">
      <c r="A125" s="18" t="s">
        <v>1717</v>
      </c>
      <c r="B125" s="30" t="s">
        <v>249</v>
      </c>
      <c r="C125" s="12">
        <f t="shared" si="37"/>
        <v>300000</v>
      </c>
      <c r="D125" s="20">
        <f t="shared" si="64"/>
        <v>0</v>
      </c>
      <c r="E125" s="20">
        <v>0</v>
      </c>
      <c r="F125" s="20">
        <v>0</v>
      </c>
      <c r="G125" s="20">
        <v>0</v>
      </c>
      <c r="H125" s="20">
        <v>0</v>
      </c>
      <c r="I125" s="20">
        <v>0</v>
      </c>
      <c r="J125" s="20">
        <v>0</v>
      </c>
      <c r="K125" s="21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300000</v>
      </c>
      <c r="V125" s="1" t="e">
        <f t="shared" si="65"/>
        <v>#DIV/0!</v>
      </c>
    </row>
    <row r="126" spans="1:22" ht="21.95" customHeight="1" x14ac:dyDescent="0.25">
      <c r="A126" s="18" t="s">
        <v>1718</v>
      </c>
      <c r="B126" s="30" t="s">
        <v>251</v>
      </c>
      <c r="C126" s="12">
        <f t="shared" si="37"/>
        <v>300000</v>
      </c>
      <c r="D126" s="20">
        <f t="shared" si="64"/>
        <v>0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1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300000</v>
      </c>
      <c r="V126" s="1" t="e">
        <f t="shared" si="65"/>
        <v>#DIV/0!</v>
      </c>
    </row>
    <row r="127" spans="1:22" ht="21.95" customHeight="1" x14ac:dyDescent="0.25">
      <c r="A127" s="18" t="s">
        <v>1719</v>
      </c>
      <c r="B127" s="30" t="s">
        <v>252</v>
      </c>
      <c r="C127" s="12">
        <f t="shared" si="37"/>
        <v>9294346.5</v>
      </c>
      <c r="D127" s="20">
        <f t="shared" si="64"/>
        <v>2935746.5</v>
      </c>
      <c r="E127" s="20">
        <f>350*1586.89</f>
        <v>555411.5</v>
      </c>
      <c r="F127" s="20">
        <f>800*1586.89</f>
        <v>1269512</v>
      </c>
      <c r="G127" s="20">
        <f>300*1586.89</f>
        <v>476067.00000000006</v>
      </c>
      <c r="H127" s="20">
        <f>500*0</f>
        <v>0</v>
      </c>
      <c r="I127" s="20">
        <f>400*1586.89</f>
        <v>634756</v>
      </c>
      <c r="J127" s="20">
        <f>350*0</f>
        <v>0</v>
      </c>
      <c r="K127" s="21">
        <v>0</v>
      </c>
      <c r="L127" s="20">
        <v>0</v>
      </c>
      <c r="M127" s="20">
        <v>877.5</v>
      </c>
      <c r="N127" s="20">
        <v>2895750</v>
      </c>
      <c r="O127" s="20">
        <v>41.8</v>
      </c>
      <c r="P127" s="20">
        <v>121220</v>
      </c>
      <c r="Q127" s="20">
        <v>1206</v>
      </c>
      <c r="R127" s="20">
        <f>Q127*2605</f>
        <v>3141630</v>
      </c>
      <c r="S127" s="20">
        <v>0</v>
      </c>
      <c r="T127" s="20">
        <v>0</v>
      </c>
      <c r="U127" s="20">
        <v>200000</v>
      </c>
      <c r="V127" s="1">
        <f t="shared" si="65"/>
        <v>3300</v>
      </c>
    </row>
    <row r="128" spans="1:22" ht="21.95" customHeight="1" x14ac:dyDescent="0.25">
      <c r="A128" s="18" t="s">
        <v>1720</v>
      </c>
      <c r="B128" s="30" t="s">
        <v>261</v>
      </c>
      <c r="C128" s="12">
        <f t="shared" si="37"/>
        <v>300000</v>
      </c>
      <c r="D128" s="20">
        <f t="shared" si="64"/>
        <v>0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21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  <c r="Q128" s="20">
        <v>0</v>
      </c>
      <c r="R128" s="20">
        <v>0</v>
      </c>
      <c r="S128" s="20">
        <v>0</v>
      </c>
      <c r="T128" s="20">
        <v>0</v>
      </c>
      <c r="U128" s="20">
        <v>300000</v>
      </c>
      <c r="V128" s="1" t="e">
        <f t="shared" si="65"/>
        <v>#DIV/0!</v>
      </c>
    </row>
    <row r="129" spans="1:22" ht="21.95" customHeight="1" x14ac:dyDescent="0.25">
      <c r="A129" s="18" t="s">
        <v>1721</v>
      </c>
      <c r="B129" s="30" t="s">
        <v>264</v>
      </c>
      <c r="C129" s="12">
        <f t="shared" si="37"/>
        <v>300000</v>
      </c>
      <c r="D129" s="20">
        <f t="shared" si="64"/>
        <v>0</v>
      </c>
      <c r="E129" s="20">
        <v>0</v>
      </c>
      <c r="F129" s="20">
        <v>0</v>
      </c>
      <c r="G129" s="20">
        <v>0</v>
      </c>
      <c r="H129" s="20">
        <v>0</v>
      </c>
      <c r="I129" s="20">
        <v>0</v>
      </c>
      <c r="J129" s="20">
        <v>0</v>
      </c>
      <c r="K129" s="21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20">
        <v>300000</v>
      </c>
      <c r="V129" s="1" t="e">
        <f t="shared" si="65"/>
        <v>#DIV/0!</v>
      </c>
    </row>
    <row r="130" spans="1:22" ht="45" customHeight="1" x14ac:dyDescent="0.25">
      <c r="A130" s="63" t="s">
        <v>1225</v>
      </c>
      <c r="B130" s="63"/>
      <c r="C130" s="12">
        <f t="shared" si="37"/>
        <v>2161200</v>
      </c>
      <c r="D130" s="12">
        <f t="shared" ref="D130:U130" si="66">SUM(D131)</f>
        <v>0</v>
      </c>
      <c r="E130" s="12">
        <f t="shared" si="66"/>
        <v>0</v>
      </c>
      <c r="F130" s="12">
        <f t="shared" si="66"/>
        <v>0</v>
      </c>
      <c r="G130" s="12">
        <f t="shared" si="66"/>
        <v>0</v>
      </c>
      <c r="H130" s="12">
        <f t="shared" si="66"/>
        <v>0</v>
      </c>
      <c r="I130" s="12">
        <f t="shared" si="66"/>
        <v>0</v>
      </c>
      <c r="J130" s="12">
        <f t="shared" si="66"/>
        <v>0</v>
      </c>
      <c r="K130" s="13">
        <f t="shared" si="66"/>
        <v>0</v>
      </c>
      <c r="L130" s="12">
        <f t="shared" si="66"/>
        <v>0</v>
      </c>
      <c r="M130" s="12">
        <f t="shared" si="66"/>
        <v>564</v>
      </c>
      <c r="N130" s="12">
        <f t="shared" si="66"/>
        <v>1861200</v>
      </c>
      <c r="O130" s="12">
        <f t="shared" si="66"/>
        <v>0</v>
      </c>
      <c r="P130" s="12">
        <f t="shared" si="66"/>
        <v>0</v>
      </c>
      <c r="Q130" s="12">
        <f t="shared" si="66"/>
        <v>0</v>
      </c>
      <c r="R130" s="12">
        <f t="shared" si="66"/>
        <v>0</v>
      </c>
      <c r="S130" s="12">
        <f t="shared" si="66"/>
        <v>0</v>
      </c>
      <c r="T130" s="12">
        <f t="shared" si="66"/>
        <v>0</v>
      </c>
      <c r="U130" s="12">
        <f t="shared" si="66"/>
        <v>300000</v>
      </c>
      <c r="V130" s="22">
        <f>C130+C493</f>
        <v>3826200</v>
      </c>
    </row>
    <row r="131" spans="1:22" ht="21.95" customHeight="1" x14ac:dyDescent="0.25">
      <c r="A131" s="18" t="s">
        <v>1722</v>
      </c>
      <c r="B131" s="30" t="s">
        <v>1226</v>
      </c>
      <c r="C131" s="12">
        <f t="shared" si="37"/>
        <v>2161200</v>
      </c>
      <c r="D131" s="20">
        <f>SUM(E131:J131)</f>
        <v>0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1">
        <v>0</v>
      </c>
      <c r="L131" s="20">
        <v>0</v>
      </c>
      <c r="M131" s="20">
        <v>564</v>
      </c>
      <c r="N131" s="20">
        <f>M131*3300</f>
        <v>1861200</v>
      </c>
      <c r="O131" s="20">
        <v>0</v>
      </c>
      <c r="P131" s="20">
        <v>0</v>
      </c>
      <c r="Q131" s="20">
        <v>0</v>
      </c>
      <c r="R131" s="20">
        <v>0</v>
      </c>
      <c r="S131" s="20">
        <v>0</v>
      </c>
      <c r="T131" s="20">
        <v>0</v>
      </c>
      <c r="U131" s="20">
        <v>300000</v>
      </c>
      <c r="V131" s="1">
        <f>N131/M131</f>
        <v>3300</v>
      </c>
    </row>
    <row r="132" spans="1:22" ht="45" customHeight="1" x14ac:dyDescent="0.25">
      <c r="A132" s="63" t="s">
        <v>271</v>
      </c>
      <c r="B132" s="63"/>
      <c r="C132" s="12">
        <f t="shared" si="37"/>
        <v>5519169</v>
      </c>
      <c r="D132" s="12">
        <f t="shared" ref="D132:U132" si="67">SUM(D133)</f>
        <v>1575745.5</v>
      </c>
      <c r="E132" s="12">
        <f t="shared" si="67"/>
        <v>234685.5</v>
      </c>
      <c r="F132" s="12">
        <f t="shared" si="67"/>
        <v>536424</v>
      </c>
      <c r="G132" s="12">
        <f t="shared" si="67"/>
        <v>201159</v>
      </c>
      <c r="H132" s="12">
        <f t="shared" si="67"/>
        <v>335265</v>
      </c>
      <c r="I132" s="12">
        <f t="shared" si="67"/>
        <v>268212</v>
      </c>
      <c r="J132" s="12">
        <f t="shared" si="67"/>
        <v>0</v>
      </c>
      <c r="K132" s="13">
        <f t="shared" si="67"/>
        <v>0</v>
      </c>
      <c r="L132" s="12">
        <f t="shared" si="67"/>
        <v>0</v>
      </c>
      <c r="M132" s="12">
        <f t="shared" si="67"/>
        <v>473</v>
      </c>
      <c r="N132" s="12">
        <f t="shared" si="67"/>
        <v>1560900</v>
      </c>
      <c r="O132" s="12">
        <f t="shared" si="67"/>
        <v>332.4</v>
      </c>
      <c r="P132" s="12">
        <f t="shared" si="67"/>
        <v>398880</v>
      </c>
      <c r="Q132" s="12">
        <f t="shared" si="67"/>
        <v>684.7</v>
      </c>
      <c r="R132" s="12">
        <f t="shared" si="67"/>
        <v>1783643.5000000002</v>
      </c>
      <c r="S132" s="12">
        <f t="shared" si="67"/>
        <v>0</v>
      </c>
      <c r="T132" s="12">
        <f t="shared" si="67"/>
        <v>0</v>
      </c>
      <c r="U132" s="12">
        <f t="shared" si="67"/>
        <v>200000</v>
      </c>
      <c r="V132" s="22">
        <f>C132</f>
        <v>5519169</v>
      </c>
    </row>
    <row r="133" spans="1:22" ht="21.95" customHeight="1" x14ac:dyDescent="0.25">
      <c r="A133" s="18" t="s">
        <v>1723</v>
      </c>
      <c r="B133" s="30" t="s">
        <v>272</v>
      </c>
      <c r="C133" s="12">
        <f t="shared" si="37"/>
        <v>5519169</v>
      </c>
      <c r="D133" s="20">
        <f>SUM(E133:J133)</f>
        <v>1575745.5</v>
      </c>
      <c r="E133" s="20">
        <f>350*670.53</f>
        <v>234685.5</v>
      </c>
      <c r="F133" s="20">
        <f>670.53*800</f>
        <v>536424</v>
      </c>
      <c r="G133" s="20">
        <f>300*670.53</f>
        <v>201159</v>
      </c>
      <c r="H133" s="20">
        <f>500*670.53</f>
        <v>335265</v>
      </c>
      <c r="I133" s="20">
        <f>400*670.53</f>
        <v>268212</v>
      </c>
      <c r="J133" s="20">
        <f>350*0</f>
        <v>0</v>
      </c>
      <c r="K133" s="21">
        <v>0</v>
      </c>
      <c r="L133" s="20">
        <v>0</v>
      </c>
      <c r="M133" s="20">
        <v>473</v>
      </c>
      <c r="N133" s="20">
        <f>M133*3300</f>
        <v>1560900</v>
      </c>
      <c r="O133" s="20">
        <v>332.4</v>
      </c>
      <c r="P133" s="20">
        <v>398880</v>
      </c>
      <c r="Q133" s="20">
        <v>684.7</v>
      </c>
      <c r="R133" s="20">
        <f>Q133*2605</f>
        <v>1783643.5000000002</v>
      </c>
      <c r="S133" s="20">
        <v>0</v>
      </c>
      <c r="T133" s="20">
        <v>0</v>
      </c>
      <c r="U133" s="20">
        <v>200000</v>
      </c>
      <c r="V133" s="1">
        <f>N133/M133</f>
        <v>3300</v>
      </c>
    </row>
    <row r="134" spans="1:22" ht="45" customHeight="1" x14ac:dyDescent="0.25">
      <c r="A134" s="63" t="s">
        <v>1440</v>
      </c>
      <c r="B134" s="63"/>
      <c r="C134" s="12">
        <f t="shared" si="37"/>
        <v>2023343.3599999999</v>
      </c>
      <c r="D134" s="12">
        <f t="shared" ref="D134:U134" si="68">SUM(D135)</f>
        <v>280113.19</v>
      </c>
      <c r="E134" s="12">
        <f t="shared" si="68"/>
        <v>198739.27</v>
      </c>
      <c r="F134" s="12">
        <f t="shared" si="68"/>
        <v>0</v>
      </c>
      <c r="G134" s="12">
        <f t="shared" si="68"/>
        <v>0</v>
      </c>
      <c r="H134" s="12">
        <f t="shared" si="68"/>
        <v>0</v>
      </c>
      <c r="I134" s="12">
        <f t="shared" si="68"/>
        <v>81373.919999999998</v>
      </c>
      <c r="J134" s="12">
        <f t="shared" si="68"/>
        <v>0</v>
      </c>
      <c r="K134" s="13">
        <f t="shared" si="68"/>
        <v>0</v>
      </c>
      <c r="L134" s="12">
        <f t="shared" si="68"/>
        <v>0</v>
      </c>
      <c r="M134" s="12">
        <f t="shared" si="68"/>
        <v>0</v>
      </c>
      <c r="N134" s="12">
        <f t="shared" si="68"/>
        <v>0</v>
      </c>
      <c r="O134" s="12">
        <f t="shared" si="68"/>
        <v>0</v>
      </c>
      <c r="P134" s="12">
        <f t="shared" si="68"/>
        <v>0</v>
      </c>
      <c r="Q134" s="12">
        <f t="shared" si="68"/>
        <v>710</v>
      </c>
      <c r="R134" s="12">
        <f t="shared" si="68"/>
        <v>1743230.17</v>
      </c>
      <c r="S134" s="12">
        <f t="shared" si="68"/>
        <v>0</v>
      </c>
      <c r="T134" s="12">
        <f t="shared" si="68"/>
        <v>0</v>
      </c>
      <c r="U134" s="12">
        <f t="shared" si="68"/>
        <v>0</v>
      </c>
      <c r="V134" s="22">
        <f>C134</f>
        <v>2023343.3599999999</v>
      </c>
    </row>
    <row r="135" spans="1:22" ht="21.95" customHeight="1" x14ac:dyDescent="0.25">
      <c r="A135" s="18" t="s">
        <v>1724</v>
      </c>
      <c r="B135" s="30" t="s">
        <v>1441</v>
      </c>
      <c r="C135" s="12">
        <f t="shared" si="37"/>
        <v>2023343.3599999999</v>
      </c>
      <c r="D135" s="20">
        <f>SUM(E135:J135)</f>
        <v>280113.19</v>
      </c>
      <c r="E135" s="20">
        <v>198739.27</v>
      </c>
      <c r="F135" s="20">
        <f>670.53*0</f>
        <v>0</v>
      </c>
      <c r="G135" s="20">
        <v>0</v>
      </c>
      <c r="H135" s="20">
        <f>500*0</f>
        <v>0</v>
      </c>
      <c r="I135" s="20">
        <v>81373.919999999998</v>
      </c>
      <c r="J135" s="20">
        <f>350*0</f>
        <v>0</v>
      </c>
      <c r="K135" s="21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710</v>
      </c>
      <c r="R135" s="20">
        <v>1743230.17</v>
      </c>
      <c r="S135" s="20">
        <v>0</v>
      </c>
      <c r="T135" s="20">
        <v>0</v>
      </c>
      <c r="U135" s="20">
        <v>0</v>
      </c>
      <c r="V135" s="1" t="e">
        <f>N135/M135</f>
        <v>#DIV/0!</v>
      </c>
    </row>
    <row r="136" spans="1:22" ht="45" customHeight="1" x14ac:dyDescent="0.25">
      <c r="A136" s="63" t="s">
        <v>383</v>
      </c>
      <c r="B136" s="63"/>
      <c r="C136" s="12">
        <f t="shared" si="37"/>
        <v>766908290.30000007</v>
      </c>
      <c r="D136" s="12">
        <f t="shared" ref="D136:U136" si="69">SUM(D137:D293)</f>
        <v>327982558</v>
      </c>
      <c r="E136" s="12">
        <f t="shared" si="69"/>
        <v>49835621</v>
      </c>
      <c r="F136" s="12">
        <f t="shared" si="69"/>
        <v>123667314</v>
      </c>
      <c r="G136" s="12">
        <f t="shared" si="69"/>
        <v>43182571</v>
      </c>
      <c r="H136" s="12">
        <f t="shared" si="69"/>
        <v>53995380.600000001</v>
      </c>
      <c r="I136" s="12">
        <f t="shared" si="69"/>
        <v>57301671.399999999</v>
      </c>
      <c r="J136" s="12">
        <f t="shared" si="69"/>
        <v>0</v>
      </c>
      <c r="K136" s="13">
        <f t="shared" si="69"/>
        <v>10</v>
      </c>
      <c r="L136" s="12">
        <f t="shared" si="69"/>
        <v>21500000</v>
      </c>
      <c r="M136" s="12">
        <f t="shared" si="69"/>
        <v>50520.500000000007</v>
      </c>
      <c r="N136" s="12">
        <f t="shared" si="69"/>
        <v>254384176.03</v>
      </c>
      <c r="O136" s="12">
        <f t="shared" si="69"/>
        <v>2279.6</v>
      </c>
      <c r="P136" s="12">
        <f t="shared" si="69"/>
        <v>2834700</v>
      </c>
      <c r="Q136" s="12">
        <f t="shared" si="69"/>
        <v>43290.270000000004</v>
      </c>
      <c r="R136" s="12">
        <f t="shared" si="69"/>
        <v>113450513.19</v>
      </c>
      <c r="S136" s="12">
        <f t="shared" si="69"/>
        <v>2115330</v>
      </c>
      <c r="T136" s="12">
        <f t="shared" si="69"/>
        <v>678303.6</v>
      </c>
      <c r="U136" s="12">
        <f t="shared" si="69"/>
        <v>43962709.480000004</v>
      </c>
      <c r="V136" s="22">
        <f>C136+C500+C884</f>
        <v>2144974550.8</v>
      </c>
    </row>
    <row r="137" spans="1:22" ht="21.95" customHeight="1" x14ac:dyDescent="0.25">
      <c r="A137" s="18" t="s">
        <v>1725</v>
      </c>
      <c r="B137" s="25" t="s">
        <v>478</v>
      </c>
      <c r="C137" s="12">
        <f t="shared" si="37"/>
        <v>3598890</v>
      </c>
      <c r="D137" s="20">
        <f t="shared" ref="D137:D199" si="70">SUM(E137:J137)</f>
        <v>0</v>
      </c>
      <c r="E137" s="20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1">
        <v>0</v>
      </c>
      <c r="L137" s="20">
        <v>0</v>
      </c>
      <c r="M137" s="20">
        <v>641.29999999999995</v>
      </c>
      <c r="N137" s="20">
        <v>3398890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200000</v>
      </c>
      <c r="V137" s="1">
        <f t="shared" ref="V137:V199" si="71">N137/M137</f>
        <v>5300</v>
      </c>
    </row>
    <row r="138" spans="1:22" ht="21.95" customHeight="1" x14ac:dyDescent="0.25">
      <c r="A138" s="18" t="s">
        <v>1726</v>
      </c>
      <c r="B138" s="25" t="s">
        <v>479</v>
      </c>
      <c r="C138" s="12">
        <f t="shared" ref="C138:C200" si="72">D138+L138+N138+P138+R138+S138+T138+U138</f>
        <v>4302200</v>
      </c>
      <c r="D138" s="20">
        <f t="shared" si="70"/>
        <v>0</v>
      </c>
      <c r="E138" s="20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1">
        <v>0</v>
      </c>
      <c r="L138" s="20">
        <v>0</v>
      </c>
      <c r="M138" s="20">
        <v>774</v>
      </c>
      <c r="N138" s="20">
        <v>4102200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200000</v>
      </c>
      <c r="V138" s="1">
        <f t="shared" si="71"/>
        <v>5300</v>
      </c>
    </row>
    <row r="139" spans="1:22" ht="21.95" customHeight="1" x14ac:dyDescent="0.25">
      <c r="A139" s="18" t="s">
        <v>1727</v>
      </c>
      <c r="B139" s="25" t="s">
        <v>495</v>
      </c>
      <c r="C139" s="12">
        <f t="shared" si="72"/>
        <v>4426220</v>
      </c>
      <c r="D139" s="20">
        <f t="shared" si="70"/>
        <v>0</v>
      </c>
      <c r="E139" s="20">
        <v>0</v>
      </c>
      <c r="F139" s="20">
        <v>0</v>
      </c>
      <c r="G139" s="20">
        <v>0</v>
      </c>
      <c r="H139" s="20">
        <v>0</v>
      </c>
      <c r="I139" s="20">
        <v>0</v>
      </c>
      <c r="J139" s="20">
        <v>0</v>
      </c>
      <c r="K139" s="21">
        <v>0</v>
      </c>
      <c r="L139" s="20">
        <v>0</v>
      </c>
      <c r="M139" s="20">
        <v>797.4</v>
      </c>
      <c r="N139" s="20">
        <f>M139*5300</f>
        <v>4226220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20">
        <v>200000</v>
      </c>
      <c r="V139" s="1">
        <f t="shared" si="71"/>
        <v>5300</v>
      </c>
    </row>
    <row r="140" spans="1:22" ht="21.95" customHeight="1" x14ac:dyDescent="0.25">
      <c r="A140" s="18" t="s">
        <v>1728</v>
      </c>
      <c r="B140" s="25" t="s">
        <v>436</v>
      </c>
      <c r="C140" s="12">
        <f t="shared" si="72"/>
        <v>163490.91</v>
      </c>
      <c r="D140" s="20">
        <f t="shared" si="70"/>
        <v>126601.81</v>
      </c>
      <c r="E140" s="20">
        <v>126601.81</v>
      </c>
      <c r="F140" s="20">
        <f>800*0</f>
        <v>0</v>
      </c>
      <c r="G140" s="20">
        <v>0</v>
      </c>
      <c r="H140" s="20">
        <f>500*0</f>
        <v>0</v>
      </c>
      <c r="I140" s="20">
        <f>400*0</f>
        <v>0</v>
      </c>
      <c r="J140" s="20">
        <f>350*0</f>
        <v>0</v>
      </c>
      <c r="K140" s="21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  <c r="Q140" s="20">
        <v>0</v>
      </c>
      <c r="R140" s="20">
        <v>0</v>
      </c>
      <c r="S140" s="20">
        <v>0</v>
      </c>
      <c r="T140" s="20">
        <v>0</v>
      </c>
      <c r="U140" s="20">
        <v>36889.1</v>
      </c>
      <c r="V140" s="1" t="e">
        <f t="shared" si="71"/>
        <v>#DIV/0!</v>
      </c>
    </row>
    <row r="141" spans="1:22" ht="21.95" customHeight="1" x14ac:dyDescent="0.25">
      <c r="A141" s="18" t="s">
        <v>1729</v>
      </c>
      <c r="B141" s="25" t="s">
        <v>496</v>
      </c>
      <c r="C141" s="12">
        <f t="shared" si="72"/>
        <v>6106950</v>
      </c>
      <c r="D141" s="20">
        <f t="shared" si="70"/>
        <v>0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1">
        <v>0</v>
      </c>
      <c r="L141" s="20">
        <v>0</v>
      </c>
      <c r="M141" s="20">
        <v>756.7</v>
      </c>
      <c r="N141" s="20">
        <v>4010510</v>
      </c>
      <c r="O141" s="20">
        <v>0</v>
      </c>
      <c r="P141" s="20">
        <v>0</v>
      </c>
      <c r="Q141" s="20">
        <v>728</v>
      </c>
      <c r="R141" s="20">
        <v>1896440</v>
      </c>
      <c r="S141" s="20">
        <v>0</v>
      </c>
      <c r="T141" s="20">
        <v>0</v>
      </c>
      <c r="U141" s="20">
        <v>200000</v>
      </c>
      <c r="V141" s="1">
        <f t="shared" si="71"/>
        <v>5300</v>
      </c>
    </row>
    <row r="142" spans="1:22" ht="21.95" customHeight="1" x14ac:dyDescent="0.25">
      <c r="A142" s="18" t="s">
        <v>1730</v>
      </c>
      <c r="B142" s="25" t="s">
        <v>429</v>
      </c>
      <c r="C142" s="12">
        <f t="shared" si="72"/>
        <v>173076.4</v>
      </c>
      <c r="D142" s="20">
        <f t="shared" si="70"/>
        <v>134089.19</v>
      </c>
      <c r="E142" s="20">
        <v>134089.19</v>
      </c>
      <c r="F142" s="20">
        <f>800*0</f>
        <v>0</v>
      </c>
      <c r="G142" s="20">
        <v>0</v>
      </c>
      <c r="H142" s="20">
        <f>500*0</f>
        <v>0</v>
      </c>
      <c r="I142" s="20">
        <f>400*0</f>
        <v>0</v>
      </c>
      <c r="J142" s="20">
        <f>350*0</f>
        <v>0</v>
      </c>
      <c r="K142" s="21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38987.21</v>
      </c>
      <c r="V142" s="1" t="e">
        <f t="shared" si="71"/>
        <v>#DIV/0!</v>
      </c>
    </row>
    <row r="143" spans="1:22" ht="21.95" customHeight="1" x14ac:dyDescent="0.25">
      <c r="A143" s="18" t="s">
        <v>1731</v>
      </c>
      <c r="B143" s="31" t="s">
        <v>384</v>
      </c>
      <c r="C143" s="12">
        <f t="shared" si="72"/>
        <v>2652840</v>
      </c>
      <c r="D143" s="20">
        <f t="shared" si="70"/>
        <v>0</v>
      </c>
      <c r="E143" s="20">
        <v>0</v>
      </c>
      <c r="F143" s="20">
        <v>0</v>
      </c>
      <c r="G143" s="20">
        <v>0</v>
      </c>
      <c r="H143" s="20">
        <v>0</v>
      </c>
      <c r="I143" s="20">
        <v>0</v>
      </c>
      <c r="J143" s="20">
        <v>0</v>
      </c>
      <c r="K143" s="21">
        <v>0</v>
      </c>
      <c r="L143" s="20">
        <v>0</v>
      </c>
      <c r="M143" s="20">
        <v>462.8</v>
      </c>
      <c r="N143" s="20">
        <v>2452840</v>
      </c>
      <c r="O143" s="20">
        <v>0</v>
      </c>
      <c r="P143" s="20">
        <v>0</v>
      </c>
      <c r="Q143" s="20">
        <v>0</v>
      </c>
      <c r="R143" s="20">
        <v>0</v>
      </c>
      <c r="S143" s="20">
        <v>0</v>
      </c>
      <c r="T143" s="20">
        <v>0</v>
      </c>
      <c r="U143" s="20">
        <v>200000</v>
      </c>
      <c r="V143" s="1">
        <f t="shared" si="71"/>
        <v>5300</v>
      </c>
    </row>
    <row r="144" spans="1:22" ht="21.95" customHeight="1" x14ac:dyDescent="0.25">
      <c r="A144" s="18" t="s">
        <v>1732</v>
      </c>
      <c r="B144" s="32" t="s">
        <v>1418</v>
      </c>
      <c r="C144" s="12">
        <f t="shared" si="72"/>
        <v>3823384.7</v>
      </c>
      <c r="D144" s="20">
        <f t="shared" si="70"/>
        <v>0</v>
      </c>
      <c r="E144" s="20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1">
        <v>0</v>
      </c>
      <c r="L144" s="20">
        <v>0</v>
      </c>
      <c r="M144" s="20">
        <v>640</v>
      </c>
      <c r="N144" s="20">
        <v>3392000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20">
        <v>431384.7</v>
      </c>
      <c r="V144" s="1">
        <f t="shared" si="71"/>
        <v>5300</v>
      </c>
    </row>
    <row r="145" spans="1:22" ht="21.95" customHeight="1" x14ac:dyDescent="0.25">
      <c r="A145" s="18" t="s">
        <v>1733</v>
      </c>
      <c r="B145" s="32" t="s">
        <v>1419</v>
      </c>
      <c r="C145" s="12">
        <f t="shared" si="72"/>
        <v>3494213.16</v>
      </c>
      <c r="D145" s="20">
        <f t="shared" si="70"/>
        <v>0</v>
      </c>
      <c r="E145" s="20">
        <v>0</v>
      </c>
      <c r="F145" s="20">
        <v>0</v>
      </c>
      <c r="G145" s="20">
        <v>0</v>
      </c>
      <c r="H145" s="20">
        <v>0</v>
      </c>
      <c r="I145" s="20">
        <v>0</v>
      </c>
      <c r="J145" s="20">
        <v>0</v>
      </c>
      <c r="K145" s="21">
        <v>0</v>
      </c>
      <c r="L145" s="20">
        <v>0</v>
      </c>
      <c r="M145" s="20">
        <v>583</v>
      </c>
      <c r="N145" s="20">
        <v>3089900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404313.16</v>
      </c>
      <c r="V145" s="1">
        <f t="shared" si="71"/>
        <v>5300</v>
      </c>
    </row>
    <row r="146" spans="1:22" ht="21.95" customHeight="1" x14ac:dyDescent="0.25">
      <c r="A146" s="18" t="s">
        <v>1734</v>
      </c>
      <c r="B146" s="32" t="s">
        <v>1420</v>
      </c>
      <c r="C146" s="12">
        <f t="shared" si="72"/>
        <v>3114360.45</v>
      </c>
      <c r="D146" s="20">
        <f t="shared" si="70"/>
        <v>0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1">
        <v>0</v>
      </c>
      <c r="L146" s="20">
        <v>0</v>
      </c>
      <c r="M146" s="20">
        <v>512</v>
      </c>
      <c r="N146" s="20">
        <v>2713600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400760.45</v>
      </c>
      <c r="V146" s="1">
        <f t="shared" si="71"/>
        <v>5300</v>
      </c>
    </row>
    <row r="147" spans="1:22" ht="21.95" customHeight="1" x14ac:dyDescent="0.25">
      <c r="A147" s="18" t="s">
        <v>1735</v>
      </c>
      <c r="B147" s="25" t="s">
        <v>430</v>
      </c>
      <c r="C147" s="12">
        <f t="shared" si="72"/>
        <v>300000</v>
      </c>
      <c r="D147" s="20">
        <f t="shared" si="70"/>
        <v>0</v>
      </c>
      <c r="E147" s="20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1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0</v>
      </c>
      <c r="Q147" s="20">
        <v>0</v>
      </c>
      <c r="R147" s="20">
        <v>0</v>
      </c>
      <c r="S147" s="20">
        <v>0</v>
      </c>
      <c r="T147" s="20">
        <v>0</v>
      </c>
      <c r="U147" s="20">
        <v>300000</v>
      </c>
      <c r="V147" s="1" t="e">
        <f t="shared" si="71"/>
        <v>#DIV/0!</v>
      </c>
    </row>
    <row r="148" spans="1:22" ht="21.95" customHeight="1" x14ac:dyDescent="0.25">
      <c r="A148" s="18" t="s">
        <v>1736</v>
      </c>
      <c r="B148" s="31" t="s">
        <v>431</v>
      </c>
      <c r="C148" s="12">
        <f t="shared" si="72"/>
        <v>300000</v>
      </c>
      <c r="D148" s="20">
        <f t="shared" si="70"/>
        <v>0</v>
      </c>
      <c r="E148" s="20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1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300000</v>
      </c>
      <c r="V148" s="1" t="e">
        <f t="shared" si="71"/>
        <v>#DIV/0!</v>
      </c>
    </row>
    <row r="149" spans="1:22" ht="21.95" customHeight="1" x14ac:dyDescent="0.25">
      <c r="A149" s="18" t="s">
        <v>1737</v>
      </c>
      <c r="B149" s="31" t="s">
        <v>451</v>
      </c>
      <c r="C149" s="12">
        <f t="shared" si="72"/>
        <v>300000</v>
      </c>
      <c r="D149" s="20">
        <f t="shared" si="70"/>
        <v>0</v>
      </c>
      <c r="E149" s="20">
        <v>0</v>
      </c>
      <c r="F149" s="20">
        <v>0</v>
      </c>
      <c r="G149" s="20">
        <v>0</v>
      </c>
      <c r="H149" s="20">
        <v>0</v>
      </c>
      <c r="I149" s="20">
        <v>0</v>
      </c>
      <c r="J149" s="20">
        <v>0</v>
      </c>
      <c r="K149" s="21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0</v>
      </c>
      <c r="R149" s="20">
        <v>0</v>
      </c>
      <c r="S149" s="20">
        <v>0</v>
      </c>
      <c r="T149" s="20">
        <v>0</v>
      </c>
      <c r="U149" s="20">
        <v>300000</v>
      </c>
      <c r="V149" s="1" t="e">
        <f t="shared" si="71"/>
        <v>#DIV/0!</v>
      </c>
    </row>
    <row r="150" spans="1:22" ht="21.95" customHeight="1" x14ac:dyDescent="0.25">
      <c r="A150" s="18" t="s">
        <v>1738</v>
      </c>
      <c r="B150" s="25" t="s">
        <v>497</v>
      </c>
      <c r="C150" s="12">
        <f t="shared" si="72"/>
        <v>4323400</v>
      </c>
      <c r="D150" s="20">
        <f t="shared" si="70"/>
        <v>0</v>
      </c>
      <c r="E150" s="20">
        <v>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1">
        <v>0</v>
      </c>
      <c r="L150" s="20">
        <v>0</v>
      </c>
      <c r="M150" s="20">
        <v>778</v>
      </c>
      <c r="N150" s="20">
        <v>4123400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200000</v>
      </c>
      <c r="V150" s="1">
        <f t="shared" si="71"/>
        <v>5300</v>
      </c>
    </row>
    <row r="151" spans="1:22" ht="21.95" customHeight="1" x14ac:dyDescent="0.25">
      <c r="A151" s="18" t="s">
        <v>1739</v>
      </c>
      <c r="B151" s="25" t="s">
        <v>498</v>
      </c>
      <c r="C151" s="12">
        <f t="shared" si="72"/>
        <v>300000</v>
      </c>
      <c r="D151" s="20">
        <f t="shared" si="70"/>
        <v>0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1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  <c r="U151" s="20">
        <v>300000</v>
      </c>
      <c r="V151" s="1" t="e">
        <f t="shared" si="71"/>
        <v>#DIV/0!</v>
      </c>
    </row>
    <row r="152" spans="1:22" ht="21.95" customHeight="1" x14ac:dyDescent="0.25">
      <c r="A152" s="18" t="s">
        <v>1740</v>
      </c>
      <c r="B152" s="25" t="s">
        <v>499</v>
      </c>
      <c r="C152" s="12">
        <f t="shared" si="72"/>
        <v>300000</v>
      </c>
      <c r="D152" s="20">
        <f t="shared" si="70"/>
        <v>0</v>
      </c>
      <c r="E152" s="20">
        <v>0</v>
      </c>
      <c r="F152" s="20">
        <v>0</v>
      </c>
      <c r="G152" s="20">
        <v>0</v>
      </c>
      <c r="H152" s="20">
        <v>0</v>
      </c>
      <c r="I152" s="20">
        <v>0</v>
      </c>
      <c r="J152" s="20">
        <v>0</v>
      </c>
      <c r="K152" s="21">
        <v>0</v>
      </c>
      <c r="L152" s="20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0">
        <v>0</v>
      </c>
      <c r="T152" s="20">
        <v>0</v>
      </c>
      <c r="U152" s="20">
        <v>300000</v>
      </c>
      <c r="V152" s="1" t="e">
        <f t="shared" si="71"/>
        <v>#DIV/0!</v>
      </c>
    </row>
    <row r="153" spans="1:22" ht="21.95" customHeight="1" x14ac:dyDescent="0.25">
      <c r="A153" s="18" t="s">
        <v>1741</v>
      </c>
      <c r="B153" s="25" t="s">
        <v>480</v>
      </c>
      <c r="C153" s="12">
        <f t="shared" si="72"/>
        <v>84581.04</v>
      </c>
      <c r="D153" s="20">
        <f t="shared" si="70"/>
        <v>0</v>
      </c>
      <c r="E153" s="20">
        <v>0</v>
      </c>
      <c r="F153" s="20">
        <v>0</v>
      </c>
      <c r="G153" s="20">
        <v>0</v>
      </c>
      <c r="H153" s="20">
        <v>0</v>
      </c>
      <c r="I153" s="20">
        <v>0</v>
      </c>
      <c r="J153" s="20">
        <v>0</v>
      </c>
      <c r="K153" s="21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20">
        <v>84581.04</v>
      </c>
      <c r="V153" s="1" t="e">
        <f t="shared" si="71"/>
        <v>#DIV/0!</v>
      </c>
    </row>
    <row r="154" spans="1:22" ht="21.95" customHeight="1" x14ac:dyDescent="0.25">
      <c r="A154" s="18" t="s">
        <v>1742</v>
      </c>
      <c r="B154" s="25" t="s">
        <v>500</v>
      </c>
      <c r="C154" s="12">
        <f t="shared" si="72"/>
        <v>41774.69</v>
      </c>
      <c r="D154" s="20">
        <f t="shared" si="70"/>
        <v>0</v>
      </c>
      <c r="E154" s="20">
        <v>0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1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41774.69</v>
      </c>
      <c r="V154" s="1" t="e">
        <f t="shared" si="71"/>
        <v>#DIV/0!</v>
      </c>
    </row>
    <row r="155" spans="1:22" ht="21.95" customHeight="1" x14ac:dyDescent="0.25">
      <c r="A155" s="18" t="s">
        <v>1743</v>
      </c>
      <c r="B155" s="25" t="s">
        <v>422</v>
      </c>
      <c r="C155" s="12">
        <f t="shared" si="72"/>
        <v>95551.6</v>
      </c>
      <c r="D155" s="20">
        <f t="shared" si="70"/>
        <v>0</v>
      </c>
      <c r="E155" s="20">
        <v>0</v>
      </c>
      <c r="F155" s="20">
        <v>0</v>
      </c>
      <c r="G155" s="20">
        <v>0</v>
      </c>
      <c r="H155" s="20">
        <v>0</v>
      </c>
      <c r="I155" s="20">
        <v>0</v>
      </c>
      <c r="J155" s="20">
        <v>0</v>
      </c>
      <c r="K155" s="21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v>0</v>
      </c>
      <c r="R155" s="20">
        <v>0</v>
      </c>
      <c r="S155" s="20">
        <v>0</v>
      </c>
      <c r="T155" s="20">
        <v>0</v>
      </c>
      <c r="U155" s="20">
        <v>95551.6</v>
      </c>
      <c r="V155" s="1" t="e">
        <f t="shared" si="71"/>
        <v>#DIV/0!</v>
      </c>
    </row>
    <row r="156" spans="1:22" ht="21.95" customHeight="1" x14ac:dyDescent="0.25">
      <c r="A156" s="18" t="s">
        <v>1744</v>
      </c>
      <c r="B156" s="31" t="s">
        <v>481</v>
      </c>
      <c r="C156" s="12">
        <f t="shared" si="72"/>
        <v>108492.72</v>
      </c>
      <c r="D156" s="20">
        <f t="shared" si="70"/>
        <v>0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1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20">
        <v>0</v>
      </c>
      <c r="T156" s="20">
        <v>0</v>
      </c>
      <c r="U156" s="20">
        <v>108492.72</v>
      </c>
      <c r="V156" s="1" t="e">
        <f t="shared" si="71"/>
        <v>#DIV/0!</v>
      </c>
    </row>
    <row r="157" spans="1:22" ht="21.95" customHeight="1" x14ac:dyDescent="0.25">
      <c r="A157" s="18" t="s">
        <v>1745</v>
      </c>
      <c r="B157" s="31" t="s">
        <v>509</v>
      </c>
      <c r="C157" s="12">
        <f t="shared" si="72"/>
        <v>6758070</v>
      </c>
      <c r="D157" s="20">
        <f t="shared" si="70"/>
        <v>0</v>
      </c>
      <c r="E157" s="20">
        <v>0</v>
      </c>
      <c r="F157" s="20">
        <v>0</v>
      </c>
      <c r="G157" s="20">
        <v>0</v>
      </c>
      <c r="H157" s="20">
        <v>0</v>
      </c>
      <c r="I157" s="20">
        <v>0</v>
      </c>
      <c r="J157" s="20">
        <v>0</v>
      </c>
      <c r="K157" s="21">
        <v>0</v>
      </c>
      <c r="L157" s="20">
        <v>0</v>
      </c>
      <c r="M157" s="20">
        <v>1161.9000000000001</v>
      </c>
      <c r="N157" s="20">
        <v>6158070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20">
        <v>0</v>
      </c>
      <c r="U157" s="20">
        <v>600000</v>
      </c>
      <c r="V157" s="1">
        <f t="shared" si="71"/>
        <v>5300</v>
      </c>
    </row>
    <row r="158" spans="1:22" ht="21.95" customHeight="1" x14ac:dyDescent="0.25">
      <c r="A158" s="18" t="s">
        <v>1746</v>
      </c>
      <c r="B158" s="31" t="s">
        <v>511</v>
      </c>
      <c r="C158" s="12">
        <f t="shared" si="72"/>
        <v>16655539.5</v>
      </c>
      <c r="D158" s="20">
        <f t="shared" si="70"/>
        <v>3664609.5</v>
      </c>
      <c r="E158" s="20">
        <f>350*1980.87</f>
        <v>693304.5</v>
      </c>
      <c r="F158" s="20">
        <f>800*1980.87</f>
        <v>1584696</v>
      </c>
      <c r="G158" s="20">
        <f>300*1980.87</f>
        <v>594261</v>
      </c>
      <c r="H158" s="20">
        <f>500*0</f>
        <v>0</v>
      </c>
      <c r="I158" s="20">
        <f>400*1980.87</f>
        <v>792348</v>
      </c>
      <c r="J158" s="20">
        <f>350*0</f>
        <v>0</v>
      </c>
      <c r="K158" s="21">
        <v>0</v>
      </c>
      <c r="L158" s="20">
        <v>0</v>
      </c>
      <c r="M158" s="20">
        <v>1748.1</v>
      </c>
      <c r="N158" s="20">
        <v>9264930</v>
      </c>
      <c r="O158" s="20">
        <v>0</v>
      </c>
      <c r="P158" s="20">
        <v>0</v>
      </c>
      <c r="Q158" s="20">
        <v>1200</v>
      </c>
      <c r="R158" s="20">
        <f>Q158*2605</f>
        <v>3126000</v>
      </c>
      <c r="S158" s="20">
        <v>0</v>
      </c>
      <c r="T158" s="20">
        <v>0</v>
      </c>
      <c r="U158" s="20">
        <v>600000</v>
      </c>
      <c r="V158" s="1">
        <f t="shared" si="71"/>
        <v>5300</v>
      </c>
    </row>
    <row r="159" spans="1:22" ht="21.95" customHeight="1" x14ac:dyDescent="0.25">
      <c r="A159" s="18" t="s">
        <v>1747</v>
      </c>
      <c r="B159" s="25" t="s">
        <v>402</v>
      </c>
      <c r="C159" s="12">
        <f t="shared" si="72"/>
        <v>6091710</v>
      </c>
      <c r="D159" s="20">
        <f t="shared" si="70"/>
        <v>2135210</v>
      </c>
      <c r="E159" s="20">
        <f>350*908.6</f>
        <v>318010</v>
      </c>
      <c r="F159" s="20">
        <f>908.6*800</f>
        <v>726880</v>
      </c>
      <c r="G159" s="20">
        <f>908.6*300</f>
        <v>272580</v>
      </c>
      <c r="H159" s="20">
        <f>908.6*500</f>
        <v>454300</v>
      </c>
      <c r="I159" s="20">
        <f>908.6*400</f>
        <v>363440</v>
      </c>
      <c r="J159" s="20">
        <f>350*0</f>
        <v>0</v>
      </c>
      <c r="K159" s="21">
        <v>0</v>
      </c>
      <c r="L159" s="20">
        <v>0</v>
      </c>
      <c r="M159" s="20">
        <v>683</v>
      </c>
      <c r="N159" s="20">
        <f>M159*5500</f>
        <v>3756500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0</v>
      </c>
      <c r="U159" s="20">
        <v>200000</v>
      </c>
      <c r="V159" s="1">
        <f t="shared" si="71"/>
        <v>5500</v>
      </c>
    </row>
    <row r="160" spans="1:22" ht="21.95" customHeight="1" x14ac:dyDescent="0.25">
      <c r="A160" s="18" t="s">
        <v>1748</v>
      </c>
      <c r="B160" s="25" t="s">
        <v>393</v>
      </c>
      <c r="C160" s="12">
        <f t="shared" si="72"/>
        <v>5013050</v>
      </c>
      <c r="D160" s="20">
        <f t="shared" si="70"/>
        <v>0</v>
      </c>
      <c r="E160" s="20">
        <v>0</v>
      </c>
      <c r="F160" s="20">
        <v>0</v>
      </c>
      <c r="G160" s="20">
        <v>0</v>
      </c>
      <c r="H160" s="20">
        <v>0</v>
      </c>
      <c r="I160" s="20">
        <v>0</v>
      </c>
      <c r="J160" s="20">
        <v>0</v>
      </c>
      <c r="K160" s="21">
        <v>0</v>
      </c>
      <c r="L160" s="20">
        <v>0</v>
      </c>
      <c r="M160" s="20">
        <v>1458.5</v>
      </c>
      <c r="N160" s="20">
        <v>4813050</v>
      </c>
      <c r="O160" s="20">
        <v>0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  <c r="U160" s="20">
        <v>200000</v>
      </c>
      <c r="V160" s="1">
        <f t="shared" si="71"/>
        <v>3300</v>
      </c>
    </row>
    <row r="161" spans="1:22" ht="21.95" customHeight="1" x14ac:dyDescent="0.25">
      <c r="A161" s="18" t="s">
        <v>1749</v>
      </c>
      <c r="B161" s="25" t="s">
        <v>501</v>
      </c>
      <c r="C161" s="12">
        <f t="shared" si="72"/>
        <v>3473810</v>
      </c>
      <c r="D161" s="20">
        <f t="shared" si="70"/>
        <v>0</v>
      </c>
      <c r="E161" s="20">
        <v>0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1">
        <v>0</v>
      </c>
      <c r="L161" s="20">
        <v>0</v>
      </c>
      <c r="M161" s="20">
        <v>617.70000000000005</v>
      </c>
      <c r="N161" s="20">
        <v>3273810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200000</v>
      </c>
      <c r="V161" s="1">
        <f t="shared" si="71"/>
        <v>5300</v>
      </c>
    </row>
    <row r="162" spans="1:22" ht="21.95" customHeight="1" x14ac:dyDescent="0.25">
      <c r="A162" s="18" t="s">
        <v>1750</v>
      </c>
      <c r="B162" s="25" t="s">
        <v>502</v>
      </c>
      <c r="C162" s="12">
        <f t="shared" si="72"/>
        <v>1935029.82</v>
      </c>
      <c r="D162" s="20">
        <f t="shared" si="70"/>
        <v>0</v>
      </c>
      <c r="E162" s="20">
        <v>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1">
        <v>0</v>
      </c>
      <c r="L162" s="20">
        <v>0</v>
      </c>
      <c r="M162" s="20">
        <v>430.8</v>
      </c>
      <c r="N162" s="20">
        <v>1874295.83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60733.99</v>
      </c>
      <c r="V162" s="1">
        <f t="shared" si="71"/>
        <v>4350.7331244196839</v>
      </c>
    </row>
    <row r="163" spans="1:22" ht="21.95" customHeight="1" x14ac:dyDescent="0.25">
      <c r="A163" s="18" t="s">
        <v>1751</v>
      </c>
      <c r="B163" s="25" t="s">
        <v>465</v>
      </c>
      <c r="C163" s="12">
        <f t="shared" si="72"/>
        <v>2346500</v>
      </c>
      <c r="D163" s="20">
        <f t="shared" si="70"/>
        <v>0</v>
      </c>
      <c r="E163" s="20">
        <v>0</v>
      </c>
      <c r="F163" s="20">
        <v>0</v>
      </c>
      <c r="G163" s="20">
        <v>0</v>
      </c>
      <c r="H163" s="20">
        <v>0</v>
      </c>
      <c r="I163" s="20">
        <v>0</v>
      </c>
      <c r="J163" s="20">
        <v>0</v>
      </c>
      <c r="K163" s="21">
        <v>0</v>
      </c>
      <c r="L163" s="20">
        <v>0</v>
      </c>
      <c r="M163" s="20">
        <v>405</v>
      </c>
      <c r="N163" s="20">
        <f>M163*5300</f>
        <v>2146500</v>
      </c>
      <c r="O163" s="20">
        <v>0</v>
      </c>
      <c r="P163" s="20">
        <v>0</v>
      </c>
      <c r="Q163" s="20">
        <v>0</v>
      </c>
      <c r="R163" s="20">
        <v>0</v>
      </c>
      <c r="S163" s="20">
        <v>0</v>
      </c>
      <c r="T163" s="20">
        <v>0</v>
      </c>
      <c r="U163" s="20">
        <v>200000</v>
      </c>
      <c r="V163" s="1">
        <f t="shared" si="71"/>
        <v>5300</v>
      </c>
    </row>
    <row r="164" spans="1:22" ht="21.95" customHeight="1" x14ac:dyDescent="0.25">
      <c r="A164" s="18" t="s">
        <v>1752</v>
      </c>
      <c r="B164" s="25" t="s">
        <v>503</v>
      </c>
      <c r="C164" s="12">
        <f t="shared" si="72"/>
        <v>1708380.0000000002</v>
      </c>
      <c r="D164" s="20">
        <f t="shared" si="70"/>
        <v>0</v>
      </c>
      <c r="E164" s="20">
        <v>0</v>
      </c>
      <c r="F164" s="20">
        <v>0</v>
      </c>
      <c r="G164" s="20">
        <v>0</v>
      </c>
      <c r="H164" s="20">
        <v>0</v>
      </c>
      <c r="I164" s="20">
        <v>0</v>
      </c>
      <c r="J164" s="20">
        <v>0</v>
      </c>
      <c r="K164" s="21">
        <v>0</v>
      </c>
      <c r="L164" s="20">
        <v>0</v>
      </c>
      <c r="M164" s="20">
        <v>284.60000000000002</v>
      </c>
      <c r="N164" s="20">
        <f>M164*5300</f>
        <v>1508380.0000000002</v>
      </c>
      <c r="O164" s="20">
        <v>0</v>
      </c>
      <c r="P164" s="20">
        <v>0</v>
      </c>
      <c r="Q164" s="20">
        <v>0</v>
      </c>
      <c r="R164" s="20">
        <v>0</v>
      </c>
      <c r="S164" s="20">
        <v>0</v>
      </c>
      <c r="T164" s="20">
        <v>0</v>
      </c>
      <c r="U164" s="20">
        <v>200000</v>
      </c>
      <c r="V164" s="1">
        <f t="shared" si="71"/>
        <v>5300</v>
      </c>
    </row>
    <row r="165" spans="1:22" ht="21.95" customHeight="1" x14ac:dyDescent="0.25">
      <c r="A165" s="18" t="s">
        <v>1753</v>
      </c>
      <c r="B165" s="25" t="s">
        <v>504</v>
      </c>
      <c r="C165" s="12">
        <f t="shared" si="72"/>
        <v>1708380.0000000002</v>
      </c>
      <c r="D165" s="20">
        <f t="shared" si="70"/>
        <v>0</v>
      </c>
      <c r="E165" s="20">
        <v>0</v>
      </c>
      <c r="F165" s="20">
        <v>0</v>
      </c>
      <c r="G165" s="20">
        <v>0</v>
      </c>
      <c r="H165" s="20">
        <v>0</v>
      </c>
      <c r="I165" s="20">
        <v>0</v>
      </c>
      <c r="J165" s="20">
        <v>0</v>
      </c>
      <c r="K165" s="21">
        <v>0</v>
      </c>
      <c r="L165" s="20">
        <v>0</v>
      </c>
      <c r="M165" s="20">
        <v>284.60000000000002</v>
      </c>
      <c r="N165" s="20">
        <f>M165*5300</f>
        <v>1508380.0000000002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200000</v>
      </c>
      <c r="V165" s="1">
        <f t="shared" si="71"/>
        <v>5300</v>
      </c>
    </row>
    <row r="166" spans="1:22" ht="21.95" customHeight="1" x14ac:dyDescent="0.25">
      <c r="A166" s="18" t="s">
        <v>1754</v>
      </c>
      <c r="B166" s="25" t="s">
        <v>443</v>
      </c>
      <c r="C166" s="12">
        <f t="shared" si="72"/>
        <v>300000</v>
      </c>
      <c r="D166" s="20">
        <f t="shared" si="70"/>
        <v>0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1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300000</v>
      </c>
      <c r="V166" s="1" t="e">
        <f t="shared" si="71"/>
        <v>#DIV/0!</v>
      </c>
    </row>
    <row r="167" spans="1:22" ht="21.95" customHeight="1" x14ac:dyDescent="0.25">
      <c r="A167" s="18" t="s">
        <v>1755</v>
      </c>
      <c r="B167" s="25" t="s">
        <v>444</v>
      </c>
      <c r="C167" s="12">
        <f t="shared" si="72"/>
        <v>300000</v>
      </c>
      <c r="D167" s="20">
        <f t="shared" si="70"/>
        <v>0</v>
      </c>
      <c r="E167" s="20">
        <v>0</v>
      </c>
      <c r="F167" s="20">
        <v>0</v>
      </c>
      <c r="G167" s="20">
        <v>0</v>
      </c>
      <c r="H167" s="20">
        <v>0</v>
      </c>
      <c r="I167" s="20">
        <v>0</v>
      </c>
      <c r="J167" s="20">
        <v>0</v>
      </c>
      <c r="K167" s="21">
        <v>0</v>
      </c>
      <c r="L167" s="20">
        <v>0</v>
      </c>
      <c r="M167" s="20">
        <v>0</v>
      </c>
      <c r="N167" s="20">
        <v>0</v>
      </c>
      <c r="O167" s="20">
        <v>0</v>
      </c>
      <c r="P167" s="20">
        <v>0</v>
      </c>
      <c r="Q167" s="20">
        <v>0</v>
      </c>
      <c r="R167" s="20">
        <v>0</v>
      </c>
      <c r="S167" s="20">
        <v>0</v>
      </c>
      <c r="T167" s="20">
        <v>0</v>
      </c>
      <c r="U167" s="20">
        <v>300000</v>
      </c>
      <c r="V167" s="1" t="e">
        <f t="shared" si="71"/>
        <v>#DIV/0!</v>
      </c>
    </row>
    <row r="168" spans="1:22" ht="21.95" customHeight="1" x14ac:dyDescent="0.25">
      <c r="A168" s="18" t="s">
        <v>1756</v>
      </c>
      <c r="B168" s="25" t="s">
        <v>399</v>
      </c>
      <c r="C168" s="12">
        <f t="shared" si="72"/>
        <v>300000</v>
      </c>
      <c r="D168" s="20">
        <f t="shared" si="70"/>
        <v>0</v>
      </c>
      <c r="E168" s="20">
        <v>0</v>
      </c>
      <c r="F168" s="20">
        <v>0</v>
      </c>
      <c r="G168" s="20">
        <v>0</v>
      </c>
      <c r="H168" s="20">
        <v>0</v>
      </c>
      <c r="I168" s="20">
        <v>0</v>
      </c>
      <c r="J168" s="20">
        <v>0</v>
      </c>
      <c r="K168" s="21">
        <v>0</v>
      </c>
      <c r="L168" s="20">
        <v>0</v>
      </c>
      <c r="M168" s="20">
        <v>0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20">
        <v>0</v>
      </c>
      <c r="T168" s="20">
        <v>0</v>
      </c>
      <c r="U168" s="20">
        <v>300000</v>
      </c>
      <c r="V168" s="1" t="e">
        <f t="shared" si="71"/>
        <v>#DIV/0!</v>
      </c>
    </row>
    <row r="169" spans="1:22" ht="21.95" customHeight="1" x14ac:dyDescent="0.25">
      <c r="A169" s="18" t="s">
        <v>1757</v>
      </c>
      <c r="B169" s="25" t="s">
        <v>688</v>
      </c>
      <c r="C169" s="12">
        <f t="shared" si="72"/>
        <v>46183.66</v>
      </c>
      <c r="D169" s="20">
        <f t="shared" si="70"/>
        <v>0</v>
      </c>
      <c r="E169" s="20">
        <v>0</v>
      </c>
      <c r="F169" s="20">
        <v>0</v>
      </c>
      <c r="G169" s="20">
        <v>0</v>
      </c>
      <c r="H169" s="20">
        <v>0</v>
      </c>
      <c r="I169" s="20">
        <v>0</v>
      </c>
      <c r="J169" s="20">
        <v>0</v>
      </c>
      <c r="K169" s="21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20">
        <v>46183.66</v>
      </c>
      <c r="V169" s="1" t="e">
        <f t="shared" si="71"/>
        <v>#DIV/0!</v>
      </c>
    </row>
    <row r="170" spans="1:22" ht="21.95" customHeight="1" x14ac:dyDescent="0.25">
      <c r="A170" s="18" t="s">
        <v>1758</v>
      </c>
      <c r="B170" s="25" t="s">
        <v>452</v>
      </c>
      <c r="C170" s="12">
        <f t="shared" si="72"/>
        <v>3469320</v>
      </c>
      <c r="D170" s="20">
        <f t="shared" si="70"/>
        <v>3269320</v>
      </c>
      <c r="E170" s="20">
        <f>350*1391.2</f>
        <v>486920</v>
      </c>
      <c r="F170" s="20">
        <f>800*1391.2</f>
        <v>1112960</v>
      </c>
      <c r="G170" s="20">
        <f>300*1391.2</f>
        <v>417360</v>
      </c>
      <c r="H170" s="20">
        <f>500*1391.2</f>
        <v>695600</v>
      </c>
      <c r="I170" s="20">
        <f>400*1391.2</f>
        <v>556480</v>
      </c>
      <c r="J170" s="20">
        <f>350*0</f>
        <v>0</v>
      </c>
      <c r="K170" s="21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0">
        <v>0</v>
      </c>
      <c r="T170" s="20">
        <v>0</v>
      </c>
      <c r="U170" s="20">
        <v>200000</v>
      </c>
      <c r="V170" s="1" t="e">
        <f t="shared" si="71"/>
        <v>#DIV/0!</v>
      </c>
    </row>
    <row r="171" spans="1:22" ht="21.95" customHeight="1" x14ac:dyDescent="0.25">
      <c r="A171" s="18" t="s">
        <v>1759</v>
      </c>
      <c r="B171" s="25" t="s">
        <v>466</v>
      </c>
      <c r="C171" s="12">
        <f t="shared" si="72"/>
        <v>11154220</v>
      </c>
      <c r="D171" s="20">
        <f t="shared" si="70"/>
        <v>10954220</v>
      </c>
      <c r="E171" s="20">
        <f>350*5921.2</f>
        <v>2072420</v>
      </c>
      <c r="F171" s="20">
        <f>800*5921.2</f>
        <v>4736960</v>
      </c>
      <c r="G171" s="20">
        <f>300*5921.2</f>
        <v>1776360</v>
      </c>
      <c r="H171" s="20">
        <f>500*0</f>
        <v>0</v>
      </c>
      <c r="I171" s="20">
        <f>400*5921.2</f>
        <v>2368480</v>
      </c>
      <c r="J171" s="20">
        <f>350*0</f>
        <v>0</v>
      </c>
      <c r="K171" s="21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  <c r="S171" s="20">
        <v>0</v>
      </c>
      <c r="T171" s="20">
        <v>0</v>
      </c>
      <c r="U171" s="20">
        <v>200000</v>
      </c>
      <c r="V171" s="1" t="e">
        <f t="shared" si="71"/>
        <v>#DIV/0!</v>
      </c>
    </row>
    <row r="172" spans="1:22" ht="21.95" customHeight="1" x14ac:dyDescent="0.25">
      <c r="A172" s="18" t="s">
        <v>1760</v>
      </c>
      <c r="B172" s="31" t="s">
        <v>390</v>
      </c>
      <c r="C172" s="12">
        <f t="shared" si="72"/>
        <v>18029356</v>
      </c>
      <c r="D172" s="20">
        <f t="shared" si="70"/>
        <v>17829356</v>
      </c>
      <c r="E172" s="20">
        <f>350*7586.96</f>
        <v>2655436</v>
      </c>
      <c r="F172" s="20">
        <f>800*7586.96</f>
        <v>6069568</v>
      </c>
      <c r="G172" s="20">
        <f>300*7586.96</f>
        <v>2276088</v>
      </c>
      <c r="H172" s="20">
        <f>500*7586.96</f>
        <v>3793480</v>
      </c>
      <c r="I172" s="20">
        <f>400*7586.96</f>
        <v>3034784</v>
      </c>
      <c r="J172" s="20">
        <f>350*0</f>
        <v>0</v>
      </c>
      <c r="K172" s="21">
        <v>0</v>
      </c>
      <c r="L172" s="20">
        <v>0</v>
      </c>
      <c r="M172" s="20">
        <v>0</v>
      </c>
      <c r="N172" s="20">
        <v>0</v>
      </c>
      <c r="O172" s="20">
        <v>0</v>
      </c>
      <c r="P172" s="20">
        <v>0</v>
      </c>
      <c r="Q172" s="20">
        <v>0</v>
      </c>
      <c r="R172" s="20">
        <v>0</v>
      </c>
      <c r="S172" s="20">
        <v>0</v>
      </c>
      <c r="T172" s="20">
        <v>0</v>
      </c>
      <c r="U172" s="20">
        <v>200000</v>
      </c>
      <c r="V172" s="1" t="e">
        <f t="shared" si="71"/>
        <v>#DIV/0!</v>
      </c>
    </row>
    <row r="173" spans="1:22" ht="21.95" customHeight="1" x14ac:dyDescent="0.25">
      <c r="A173" s="18" t="s">
        <v>1761</v>
      </c>
      <c r="B173" s="32" t="s">
        <v>1428</v>
      </c>
      <c r="C173" s="12">
        <f t="shared" si="72"/>
        <v>15841445.9</v>
      </c>
      <c r="D173" s="20">
        <f t="shared" si="70"/>
        <v>0</v>
      </c>
      <c r="E173" s="20">
        <v>0</v>
      </c>
      <c r="F173" s="20">
        <v>0</v>
      </c>
      <c r="G173" s="20">
        <v>0</v>
      </c>
      <c r="H173" s="20">
        <v>0</v>
      </c>
      <c r="I173" s="20">
        <v>0</v>
      </c>
      <c r="J173" s="20">
        <v>0</v>
      </c>
      <c r="K173" s="21">
        <v>0</v>
      </c>
      <c r="L173" s="20">
        <v>0</v>
      </c>
      <c r="M173" s="20">
        <v>1337</v>
      </c>
      <c r="N173" s="20">
        <v>7086100</v>
      </c>
      <c r="O173" s="20">
        <v>0</v>
      </c>
      <c r="P173" s="20">
        <v>0</v>
      </c>
      <c r="Q173" s="20">
        <v>3066</v>
      </c>
      <c r="R173" s="20">
        <v>7986930</v>
      </c>
      <c r="S173" s="20">
        <v>0</v>
      </c>
      <c r="T173" s="20">
        <v>0</v>
      </c>
      <c r="U173" s="20">
        <v>768415.9</v>
      </c>
      <c r="V173" s="1">
        <f t="shared" si="71"/>
        <v>5300</v>
      </c>
    </row>
    <row r="174" spans="1:22" ht="21.95" customHeight="1" x14ac:dyDescent="0.25">
      <c r="A174" s="18" t="s">
        <v>1762</v>
      </c>
      <c r="B174" s="32" t="s">
        <v>1430</v>
      </c>
      <c r="C174" s="12">
        <f t="shared" si="72"/>
        <v>6420786.3100000005</v>
      </c>
      <c r="D174" s="20">
        <f t="shared" si="70"/>
        <v>1484070</v>
      </c>
      <c r="E174" s="20">
        <f>350*802.2</f>
        <v>280770</v>
      </c>
      <c r="F174" s="20">
        <f>800*802.2</f>
        <v>641760</v>
      </c>
      <c r="G174" s="20">
        <f>300*802.2</f>
        <v>240660</v>
      </c>
      <c r="H174" s="20">
        <f>500*0</f>
        <v>0</v>
      </c>
      <c r="I174" s="20">
        <f>400*802.2</f>
        <v>320880</v>
      </c>
      <c r="J174" s="20">
        <f>350*0</f>
        <v>0</v>
      </c>
      <c r="K174" s="21">
        <v>0</v>
      </c>
      <c r="L174" s="20">
        <v>0</v>
      </c>
      <c r="M174" s="20">
        <v>401</v>
      </c>
      <c r="N174" s="20">
        <v>2125300</v>
      </c>
      <c r="O174" s="20">
        <v>0</v>
      </c>
      <c r="P174" s="20">
        <v>0</v>
      </c>
      <c r="Q174" s="20">
        <v>823</v>
      </c>
      <c r="R174" s="20">
        <v>2143915</v>
      </c>
      <c r="S174" s="20">
        <v>0</v>
      </c>
      <c r="T174" s="20">
        <v>0</v>
      </c>
      <c r="U174" s="20">
        <v>667501.31000000006</v>
      </c>
      <c r="V174" s="1">
        <f t="shared" si="71"/>
        <v>5300</v>
      </c>
    </row>
    <row r="175" spans="1:22" ht="21.95" customHeight="1" x14ac:dyDescent="0.25">
      <c r="A175" s="18" t="s">
        <v>1763</v>
      </c>
      <c r="B175" s="25" t="s">
        <v>392</v>
      </c>
      <c r="C175" s="12">
        <f t="shared" si="72"/>
        <v>9932239.5</v>
      </c>
      <c r="D175" s="20">
        <f t="shared" si="70"/>
        <v>9732239.5</v>
      </c>
      <c r="E175" s="20">
        <f>350*5260.67</f>
        <v>1841234.5</v>
      </c>
      <c r="F175" s="20">
        <f>800*5260.67</f>
        <v>4208536</v>
      </c>
      <c r="G175" s="20">
        <f>300*5260.67</f>
        <v>1578201</v>
      </c>
      <c r="H175" s="20">
        <f>500*0</f>
        <v>0</v>
      </c>
      <c r="I175" s="20">
        <f>400*5260.67</f>
        <v>2104268</v>
      </c>
      <c r="J175" s="20">
        <f>350*0</f>
        <v>0</v>
      </c>
      <c r="K175" s="21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  <c r="Q175" s="20">
        <v>0</v>
      </c>
      <c r="R175" s="20">
        <v>0</v>
      </c>
      <c r="S175" s="20">
        <v>0</v>
      </c>
      <c r="T175" s="20">
        <v>0</v>
      </c>
      <c r="U175" s="20">
        <v>200000</v>
      </c>
      <c r="V175" s="1" t="e">
        <f t="shared" si="71"/>
        <v>#DIV/0!</v>
      </c>
    </row>
    <row r="176" spans="1:22" ht="21.95" customHeight="1" x14ac:dyDescent="0.25">
      <c r="A176" s="18" t="s">
        <v>1764</v>
      </c>
      <c r="B176" s="31" t="s">
        <v>456</v>
      </c>
      <c r="C176" s="12">
        <f t="shared" si="72"/>
        <v>6918740</v>
      </c>
      <c r="D176" s="20">
        <f t="shared" si="70"/>
        <v>1653900</v>
      </c>
      <c r="E176" s="20">
        <f>350*894</f>
        <v>312900</v>
      </c>
      <c r="F176" s="20">
        <f>800*894</f>
        <v>715200</v>
      </c>
      <c r="G176" s="20">
        <f>300*894</f>
        <v>268200</v>
      </c>
      <c r="H176" s="20">
        <f>500*0</f>
        <v>0</v>
      </c>
      <c r="I176" s="20">
        <f>400*894</f>
        <v>357600</v>
      </c>
      <c r="J176" s="20">
        <f>350*0</f>
        <v>0</v>
      </c>
      <c r="K176" s="21">
        <v>0</v>
      </c>
      <c r="L176" s="20">
        <v>0</v>
      </c>
      <c r="M176" s="20">
        <v>581.1</v>
      </c>
      <c r="N176" s="20">
        <f>M176*5300</f>
        <v>3079830</v>
      </c>
      <c r="O176" s="20">
        <v>0</v>
      </c>
      <c r="P176" s="20">
        <v>0</v>
      </c>
      <c r="Q176" s="20">
        <v>762</v>
      </c>
      <c r="R176" s="20">
        <f>Q176*2605</f>
        <v>1985010</v>
      </c>
      <c r="S176" s="20">
        <v>0</v>
      </c>
      <c r="T176" s="20">
        <v>0</v>
      </c>
      <c r="U176" s="20">
        <v>200000</v>
      </c>
      <c r="V176" s="1">
        <f t="shared" si="71"/>
        <v>5300</v>
      </c>
    </row>
    <row r="177" spans="1:22" ht="21.95" customHeight="1" x14ac:dyDescent="0.25">
      <c r="A177" s="18" t="s">
        <v>1765</v>
      </c>
      <c r="B177" s="31" t="s">
        <v>432</v>
      </c>
      <c r="C177" s="12">
        <f t="shared" si="72"/>
        <v>300000</v>
      </c>
      <c r="D177" s="20">
        <f t="shared" si="70"/>
        <v>0</v>
      </c>
      <c r="E177" s="20">
        <v>0</v>
      </c>
      <c r="F177" s="20">
        <v>0</v>
      </c>
      <c r="G177" s="20">
        <v>0</v>
      </c>
      <c r="H177" s="20">
        <v>0</v>
      </c>
      <c r="I177" s="20">
        <v>0</v>
      </c>
      <c r="J177" s="20">
        <v>0</v>
      </c>
      <c r="K177" s="21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300000</v>
      </c>
      <c r="V177" s="1" t="e">
        <f t="shared" si="71"/>
        <v>#DIV/0!</v>
      </c>
    </row>
    <row r="178" spans="1:22" ht="21.95" customHeight="1" x14ac:dyDescent="0.25">
      <c r="A178" s="18" t="s">
        <v>1766</v>
      </c>
      <c r="B178" s="31" t="s">
        <v>437</v>
      </c>
      <c r="C178" s="12">
        <f t="shared" si="72"/>
        <v>300000</v>
      </c>
      <c r="D178" s="20">
        <f t="shared" si="70"/>
        <v>0</v>
      </c>
      <c r="E178" s="20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1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0</v>
      </c>
      <c r="T178" s="20">
        <v>0</v>
      </c>
      <c r="U178" s="20">
        <v>300000</v>
      </c>
      <c r="V178" s="1" t="e">
        <f t="shared" si="71"/>
        <v>#DIV/0!</v>
      </c>
    </row>
    <row r="179" spans="1:22" ht="21.95" customHeight="1" x14ac:dyDescent="0.25">
      <c r="A179" s="18" t="s">
        <v>1767</v>
      </c>
      <c r="B179" s="31" t="s">
        <v>467</v>
      </c>
      <c r="C179" s="12">
        <f t="shared" si="72"/>
        <v>300000</v>
      </c>
      <c r="D179" s="20">
        <f t="shared" si="70"/>
        <v>0</v>
      </c>
      <c r="E179" s="20">
        <v>0</v>
      </c>
      <c r="F179" s="20">
        <v>0</v>
      </c>
      <c r="G179" s="20">
        <v>0</v>
      </c>
      <c r="H179" s="20">
        <v>0</v>
      </c>
      <c r="I179" s="20">
        <v>0</v>
      </c>
      <c r="J179" s="20">
        <v>0</v>
      </c>
      <c r="K179" s="21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0</v>
      </c>
      <c r="R179" s="20">
        <v>0</v>
      </c>
      <c r="S179" s="20">
        <v>0</v>
      </c>
      <c r="T179" s="20">
        <v>0</v>
      </c>
      <c r="U179" s="20">
        <v>300000</v>
      </c>
      <c r="V179" s="1" t="e">
        <f t="shared" si="71"/>
        <v>#DIV/0!</v>
      </c>
    </row>
    <row r="180" spans="1:22" ht="21.95" customHeight="1" x14ac:dyDescent="0.25">
      <c r="A180" s="18" t="s">
        <v>1768</v>
      </c>
      <c r="B180" s="25" t="s">
        <v>415</v>
      </c>
      <c r="C180" s="12">
        <f t="shared" si="72"/>
        <v>300000</v>
      </c>
      <c r="D180" s="20">
        <f t="shared" si="70"/>
        <v>0</v>
      </c>
      <c r="E180" s="20">
        <v>0</v>
      </c>
      <c r="F180" s="20">
        <v>0</v>
      </c>
      <c r="G180" s="20">
        <v>0</v>
      </c>
      <c r="H180" s="20">
        <v>0</v>
      </c>
      <c r="I180" s="20">
        <v>0</v>
      </c>
      <c r="J180" s="20">
        <v>0</v>
      </c>
      <c r="K180" s="21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20">
        <v>0</v>
      </c>
      <c r="T180" s="20">
        <v>0</v>
      </c>
      <c r="U180" s="20">
        <v>300000</v>
      </c>
      <c r="V180" s="1" t="e">
        <f t="shared" si="71"/>
        <v>#DIV/0!</v>
      </c>
    </row>
    <row r="181" spans="1:22" ht="21.95" customHeight="1" x14ac:dyDescent="0.25">
      <c r="A181" s="18" t="s">
        <v>1769</v>
      </c>
      <c r="B181" s="25" t="s">
        <v>416</v>
      </c>
      <c r="C181" s="12">
        <f t="shared" si="72"/>
        <v>300000</v>
      </c>
      <c r="D181" s="20">
        <f t="shared" si="70"/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1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300000</v>
      </c>
      <c r="V181" s="1" t="e">
        <f t="shared" si="71"/>
        <v>#DIV/0!</v>
      </c>
    </row>
    <row r="182" spans="1:22" ht="21.95" customHeight="1" x14ac:dyDescent="0.25">
      <c r="A182" s="18" t="s">
        <v>1770</v>
      </c>
      <c r="B182" s="25" t="s">
        <v>417</v>
      </c>
      <c r="C182" s="12">
        <f t="shared" si="72"/>
        <v>300000</v>
      </c>
      <c r="D182" s="20">
        <f t="shared" si="70"/>
        <v>0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1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300000</v>
      </c>
      <c r="V182" s="1" t="e">
        <f t="shared" si="71"/>
        <v>#DIV/0!</v>
      </c>
    </row>
    <row r="183" spans="1:22" ht="21.95" customHeight="1" x14ac:dyDescent="0.25">
      <c r="A183" s="18" t="s">
        <v>1771</v>
      </c>
      <c r="B183" s="25" t="s">
        <v>414</v>
      </c>
      <c r="C183" s="12">
        <f t="shared" si="72"/>
        <v>300000</v>
      </c>
      <c r="D183" s="20">
        <f t="shared" si="70"/>
        <v>0</v>
      </c>
      <c r="E183" s="20">
        <v>0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21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20">
        <v>0</v>
      </c>
      <c r="T183" s="20">
        <v>0</v>
      </c>
      <c r="U183" s="20">
        <v>300000</v>
      </c>
      <c r="V183" s="1" t="e">
        <f t="shared" si="71"/>
        <v>#DIV/0!</v>
      </c>
    </row>
    <row r="184" spans="1:22" ht="21.95" customHeight="1" x14ac:dyDescent="0.25">
      <c r="A184" s="18" t="s">
        <v>1772</v>
      </c>
      <c r="B184" s="25" t="s">
        <v>508</v>
      </c>
      <c r="C184" s="12">
        <f t="shared" si="72"/>
        <v>24159560</v>
      </c>
      <c r="D184" s="20">
        <f t="shared" si="70"/>
        <v>11891000</v>
      </c>
      <c r="E184" s="20">
        <f>350*5060</f>
        <v>1771000</v>
      </c>
      <c r="F184" s="20">
        <f>800*5060</f>
        <v>4048000</v>
      </c>
      <c r="G184" s="20">
        <f>300*5060</f>
        <v>1518000</v>
      </c>
      <c r="H184" s="20">
        <f>500*5060</f>
        <v>2530000</v>
      </c>
      <c r="I184" s="20">
        <f>400*5060</f>
        <v>2024000</v>
      </c>
      <c r="J184" s="20">
        <f>350*0</f>
        <v>0</v>
      </c>
      <c r="K184" s="21">
        <v>0</v>
      </c>
      <c r="L184" s="20">
        <v>0</v>
      </c>
      <c r="M184" s="20">
        <v>1022</v>
      </c>
      <c r="N184" s="20">
        <f>M184*3300</f>
        <v>3372600</v>
      </c>
      <c r="O184" s="20">
        <v>1012</v>
      </c>
      <c r="P184" s="20">
        <f>O184*1200</f>
        <v>1214400</v>
      </c>
      <c r="Q184" s="20">
        <v>2872</v>
      </c>
      <c r="R184" s="20">
        <f>Q184*2605</f>
        <v>7481560</v>
      </c>
      <c r="S184" s="20">
        <v>0</v>
      </c>
      <c r="T184" s="20">
        <v>0</v>
      </c>
      <c r="U184" s="20">
        <v>200000</v>
      </c>
      <c r="V184" s="1">
        <f t="shared" si="71"/>
        <v>3300</v>
      </c>
    </row>
    <row r="185" spans="1:22" ht="21.95" customHeight="1" x14ac:dyDescent="0.25">
      <c r="A185" s="18" t="s">
        <v>1773</v>
      </c>
      <c r="B185" s="32" t="s">
        <v>1446</v>
      </c>
      <c r="C185" s="12">
        <f t="shared" si="72"/>
        <v>1845974.65</v>
      </c>
      <c r="D185" s="20">
        <f t="shared" si="70"/>
        <v>0</v>
      </c>
      <c r="E185" s="20">
        <v>0</v>
      </c>
      <c r="F185" s="20">
        <v>0</v>
      </c>
      <c r="G185" s="20">
        <v>0</v>
      </c>
      <c r="H185" s="20">
        <v>0</v>
      </c>
      <c r="I185" s="20">
        <v>0</v>
      </c>
      <c r="J185" s="20">
        <v>0</v>
      </c>
      <c r="K185" s="21">
        <v>0</v>
      </c>
      <c r="L185" s="20">
        <v>0</v>
      </c>
      <c r="M185" s="20">
        <v>343</v>
      </c>
      <c r="N185" s="20">
        <v>1595353.2</v>
      </c>
      <c r="O185" s="20">
        <v>0</v>
      </c>
      <c r="P185" s="20">
        <v>0</v>
      </c>
      <c r="Q185" s="20">
        <v>0</v>
      </c>
      <c r="R185" s="20">
        <v>0</v>
      </c>
      <c r="S185" s="20">
        <v>0</v>
      </c>
      <c r="T185" s="20">
        <v>0</v>
      </c>
      <c r="U185" s="20">
        <v>250621.45</v>
      </c>
      <c r="V185" s="1">
        <f t="shared" si="71"/>
        <v>4651.1755102040815</v>
      </c>
    </row>
    <row r="186" spans="1:22" ht="21.95" customHeight="1" x14ac:dyDescent="0.25">
      <c r="A186" s="18" t="s">
        <v>1774</v>
      </c>
      <c r="B186" s="25" t="s">
        <v>468</v>
      </c>
      <c r="C186" s="12">
        <f t="shared" si="72"/>
        <v>60640.68</v>
      </c>
      <c r="D186" s="20">
        <f t="shared" si="70"/>
        <v>0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1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60640.68</v>
      </c>
      <c r="V186" s="1" t="e">
        <f t="shared" si="71"/>
        <v>#DIV/0!</v>
      </c>
    </row>
    <row r="187" spans="1:22" ht="21.95" customHeight="1" x14ac:dyDescent="0.25">
      <c r="A187" s="18" t="s">
        <v>1775</v>
      </c>
      <c r="B187" s="25" t="s">
        <v>457</v>
      </c>
      <c r="C187" s="12">
        <f t="shared" si="72"/>
        <v>30144875</v>
      </c>
      <c r="D187" s="20">
        <f t="shared" si="70"/>
        <v>29944875</v>
      </c>
      <c r="E187" s="20">
        <f>12742.5*350</f>
        <v>4459875</v>
      </c>
      <c r="F187" s="20">
        <f>12742.5*800</f>
        <v>10194000</v>
      </c>
      <c r="G187" s="20">
        <f>12742.5*300</f>
        <v>3822750</v>
      </c>
      <c r="H187" s="20">
        <f>12742.5*500</f>
        <v>6371250</v>
      </c>
      <c r="I187" s="20">
        <f>12742.5*400</f>
        <v>5097000</v>
      </c>
      <c r="J187" s="20">
        <f>0*350</f>
        <v>0</v>
      </c>
      <c r="K187" s="21">
        <v>0</v>
      </c>
      <c r="L187" s="20">
        <v>0</v>
      </c>
      <c r="M187" s="20">
        <v>0</v>
      </c>
      <c r="N187" s="20">
        <v>0</v>
      </c>
      <c r="O187" s="20">
        <v>0</v>
      </c>
      <c r="P187" s="20">
        <v>0</v>
      </c>
      <c r="Q187" s="20">
        <v>0</v>
      </c>
      <c r="R187" s="20">
        <v>0</v>
      </c>
      <c r="S187" s="20">
        <v>0</v>
      </c>
      <c r="T187" s="20">
        <v>0</v>
      </c>
      <c r="U187" s="20">
        <v>200000</v>
      </c>
      <c r="V187" s="1" t="e">
        <f t="shared" si="71"/>
        <v>#DIV/0!</v>
      </c>
    </row>
    <row r="188" spans="1:22" ht="21.95" customHeight="1" x14ac:dyDescent="0.25">
      <c r="A188" s="18" t="s">
        <v>1776</v>
      </c>
      <c r="B188" s="25" t="s">
        <v>409</v>
      </c>
      <c r="C188" s="12">
        <f t="shared" si="72"/>
        <v>886320</v>
      </c>
      <c r="D188" s="20">
        <f t="shared" si="70"/>
        <v>0</v>
      </c>
      <c r="E188" s="20">
        <v>0</v>
      </c>
      <c r="F188" s="20">
        <v>0</v>
      </c>
      <c r="G188" s="20">
        <v>0</v>
      </c>
      <c r="H188" s="20">
        <v>0</v>
      </c>
      <c r="I188" s="20">
        <v>0</v>
      </c>
      <c r="J188" s="20">
        <v>0</v>
      </c>
      <c r="K188" s="21">
        <v>0</v>
      </c>
      <c r="L188" s="20">
        <v>0</v>
      </c>
      <c r="M188" s="20">
        <v>0</v>
      </c>
      <c r="N188" s="20">
        <v>0</v>
      </c>
      <c r="O188" s="20">
        <v>238.6</v>
      </c>
      <c r="P188" s="20">
        <v>286320</v>
      </c>
      <c r="Q188" s="20">
        <v>0</v>
      </c>
      <c r="R188" s="20">
        <v>0</v>
      </c>
      <c r="S188" s="20">
        <v>0</v>
      </c>
      <c r="T188" s="20">
        <v>0</v>
      </c>
      <c r="U188" s="20">
        <v>600000</v>
      </c>
      <c r="V188" s="1" t="e">
        <f t="shared" si="71"/>
        <v>#DIV/0!</v>
      </c>
    </row>
    <row r="189" spans="1:22" ht="21.95" customHeight="1" x14ac:dyDescent="0.25">
      <c r="A189" s="18" t="s">
        <v>1777</v>
      </c>
      <c r="B189" s="25" t="s">
        <v>446</v>
      </c>
      <c r="C189" s="12">
        <f t="shared" si="72"/>
        <v>2972060</v>
      </c>
      <c r="D189" s="20">
        <f t="shared" si="70"/>
        <v>2772060</v>
      </c>
      <c r="E189" s="20">
        <f>1179.6*350</f>
        <v>412859.99999999994</v>
      </c>
      <c r="F189" s="20">
        <f>1179.6*800</f>
        <v>943679.99999999988</v>
      </c>
      <c r="G189" s="20">
        <f>1179.6*300</f>
        <v>353880</v>
      </c>
      <c r="H189" s="20">
        <f>1179.6*500</f>
        <v>589800</v>
      </c>
      <c r="I189" s="20">
        <f>1179.6*400</f>
        <v>471839.99999999994</v>
      </c>
      <c r="J189" s="20">
        <f>0*350</f>
        <v>0</v>
      </c>
      <c r="K189" s="21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0</v>
      </c>
      <c r="R189" s="20">
        <v>0</v>
      </c>
      <c r="S189" s="20">
        <v>0</v>
      </c>
      <c r="T189" s="20">
        <v>0</v>
      </c>
      <c r="U189" s="20">
        <v>200000</v>
      </c>
      <c r="V189" s="1" t="e">
        <f t="shared" si="71"/>
        <v>#DIV/0!</v>
      </c>
    </row>
    <row r="190" spans="1:22" ht="21.95" customHeight="1" x14ac:dyDescent="0.25">
      <c r="A190" s="18" t="s">
        <v>1778</v>
      </c>
      <c r="B190" s="25" t="s">
        <v>438</v>
      </c>
      <c r="C190" s="12">
        <f t="shared" si="72"/>
        <v>6336320</v>
      </c>
      <c r="D190" s="20">
        <f t="shared" si="70"/>
        <v>6136320</v>
      </c>
      <c r="E190" s="20">
        <f>2611.2*350</f>
        <v>913919.99999999988</v>
      </c>
      <c r="F190" s="20">
        <f>2611.2*800</f>
        <v>2088959.9999999998</v>
      </c>
      <c r="G190" s="20">
        <f>2611.2*300</f>
        <v>783360</v>
      </c>
      <c r="H190" s="20">
        <f>2611.2*500</f>
        <v>1305600</v>
      </c>
      <c r="I190" s="20">
        <f>2611.2*400</f>
        <v>1044479.9999999999</v>
      </c>
      <c r="J190" s="20">
        <f>0*350</f>
        <v>0</v>
      </c>
      <c r="K190" s="21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200000</v>
      </c>
      <c r="V190" s="1" t="e">
        <f t="shared" si="71"/>
        <v>#DIV/0!</v>
      </c>
    </row>
    <row r="191" spans="1:22" ht="21.95" customHeight="1" x14ac:dyDescent="0.25">
      <c r="A191" s="18" t="s">
        <v>1779</v>
      </c>
      <c r="B191" s="25" t="s">
        <v>423</v>
      </c>
      <c r="C191" s="12">
        <f t="shared" si="72"/>
        <v>2549060</v>
      </c>
      <c r="D191" s="20">
        <f t="shared" si="70"/>
        <v>2349060</v>
      </c>
      <c r="E191" s="20">
        <f>999.6*350</f>
        <v>349860</v>
      </c>
      <c r="F191" s="20">
        <f>999.6*800</f>
        <v>799680</v>
      </c>
      <c r="G191" s="20">
        <f>999.6*300</f>
        <v>299880</v>
      </c>
      <c r="H191" s="20">
        <f>999.6*500</f>
        <v>499800</v>
      </c>
      <c r="I191" s="20">
        <f>999.6*400</f>
        <v>399840</v>
      </c>
      <c r="J191" s="20">
        <f>0*350</f>
        <v>0</v>
      </c>
      <c r="K191" s="21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  <c r="S191" s="20">
        <v>0</v>
      </c>
      <c r="T191" s="20">
        <v>0</v>
      </c>
      <c r="U191" s="20">
        <v>200000</v>
      </c>
      <c r="V191" s="1" t="e">
        <f t="shared" si="71"/>
        <v>#DIV/0!</v>
      </c>
    </row>
    <row r="192" spans="1:22" ht="21.95" customHeight="1" x14ac:dyDescent="0.25">
      <c r="A192" s="18" t="s">
        <v>1780</v>
      </c>
      <c r="B192" s="25" t="s">
        <v>439</v>
      </c>
      <c r="C192" s="12">
        <f t="shared" si="72"/>
        <v>6295430</v>
      </c>
      <c r="D192" s="20">
        <f t="shared" si="70"/>
        <v>6095430</v>
      </c>
      <c r="E192" s="20">
        <f>2593.8*350</f>
        <v>907830.00000000012</v>
      </c>
      <c r="F192" s="20">
        <f>2593.8*800</f>
        <v>2075040.0000000002</v>
      </c>
      <c r="G192" s="20">
        <f>2593.8*300</f>
        <v>778140</v>
      </c>
      <c r="H192" s="20">
        <f>2593.8*500</f>
        <v>1296900</v>
      </c>
      <c r="I192" s="20">
        <f>2593.8*400</f>
        <v>1037520.0000000001</v>
      </c>
      <c r="J192" s="20">
        <f>0*350</f>
        <v>0</v>
      </c>
      <c r="K192" s="21">
        <v>0</v>
      </c>
      <c r="L192" s="20">
        <v>0</v>
      </c>
      <c r="M192" s="20">
        <v>0</v>
      </c>
      <c r="N192" s="20">
        <v>0</v>
      </c>
      <c r="O192" s="20">
        <v>0</v>
      </c>
      <c r="P192" s="20">
        <v>0</v>
      </c>
      <c r="Q192" s="20">
        <v>0</v>
      </c>
      <c r="R192" s="20">
        <v>0</v>
      </c>
      <c r="S192" s="20">
        <v>0</v>
      </c>
      <c r="T192" s="20">
        <v>0</v>
      </c>
      <c r="U192" s="20">
        <v>200000</v>
      </c>
      <c r="V192" s="1" t="e">
        <f t="shared" si="71"/>
        <v>#DIV/0!</v>
      </c>
    </row>
    <row r="193" spans="1:22" ht="21.95" customHeight="1" x14ac:dyDescent="0.25">
      <c r="A193" s="18" t="s">
        <v>1781</v>
      </c>
      <c r="B193" s="25" t="s">
        <v>445</v>
      </c>
      <c r="C193" s="12">
        <f t="shared" si="72"/>
        <v>2949970</v>
      </c>
      <c r="D193" s="20">
        <f t="shared" si="70"/>
        <v>2749970</v>
      </c>
      <c r="E193" s="20">
        <f>1170.2*350</f>
        <v>409570</v>
      </c>
      <c r="F193" s="20">
        <f>1170.2*800</f>
        <v>936160</v>
      </c>
      <c r="G193" s="20">
        <f>1170.2*300</f>
        <v>351060</v>
      </c>
      <c r="H193" s="20">
        <f>1170.2*500</f>
        <v>585100</v>
      </c>
      <c r="I193" s="20">
        <f>1170.2*400</f>
        <v>468080</v>
      </c>
      <c r="J193" s="20">
        <f>0*350</f>
        <v>0</v>
      </c>
      <c r="K193" s="21">
        <v>0</v>
      </c>
      <c r="L193" s="20">
        <v>0</v>
      </c>
      <c r="M193" s="20">
        <v>0</v>
      </c>
      <c r="N193" s="20">
        <v>0</v>
      </c>
      <c r="O193" s="20">
        <v>0</v>
      </c>
      <c r="P193" s="20">
        <v>0</v>
      </c>
      <c r="Q193" s="20">
        <v>0</v>
      </c>
      <c r="R193" s="20">
        <v>0</v>
      </c>
      <c r="S193" s="20">
        <v>0</v>
      </c>
      <c r="T193" s="20">
        <v>0</v>
      </c>
      <c r="U193" s="20">
        <v>200000</v>
      </c>
      <c r="V193" s="1" t="e">
        <f t="shared" si="71"/>
        <v>#DIV/0!</v>
      </c>
    </row>
    <row r="194" spans="1:22" ht="21.95" customHeight="1" x14ac:dyDescent="0.25">
      <c r="A194" s="18" t="s">
        <v>1782</v>
      </c>
      <c r="B194" s="25" t="s">
        <v>419</v>
      </c>
      <c r="C194" s="12">
        <f t="shared" si="72"/>
        <v>1733909</v>
      </c>
      <c r="D194" s="20">
        <f t="shared" si="70"/>
        <v>1533909</v>
      </c>
      <c r="E194" s="20">
        <f>350*829.14</f>
        <v>290199</v>
      </c>
      <c r="F194" s="20">
        <f>800*829.14</f>
        <v>663312</v>
      </c>
      <c r="G194" s="20">
        <f>300*829.14</f>
        <v>248742</v>
      </c>
      <c r="H194" s="20">
        <f>500*0</f>
        <v>0</v>
      </c>
      <c r="I194" s="20">
        <f>400*829.14</f>
        <v>331656</v>
      </c>
      <c r="J194" s="20">
        <f>350*0</f>
        <v>0</v>
      </c>
      <c r="K194" s="21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0</v>
      </c>
      <c r="R194" s="20">
        <v>0</v>
      </c>
      <c r="S194" s="20">
        <v>0</v>
      </c>
      <c r="T194" s="20">
        <v>0</v>
      </c>
      <c r="U194" s="20">
        <v>200000</v>
      </c>
      <c r="V194" s="1" t="e">
        <f t="shared" si="71"/>
        <v>#DIV/0!</v>
      </c>
    </row>
    <row r="195" spans="1:22" ht="21.95" customHeight="1" x14ac:dyDescent="0.25">
      <c r="A195" s="18" t="s">
        <v>1783</v>
      </c>
      <c r="B195" s="25" t="s">
        <v>380</v>
      </c>
      <c r="C195" s="12">
        <f t="shared" si="72"/>
        <v>1339200</v>
      </c>
      <c r="D195" s="20">
        <f t="shared" si="70"/>
        <v>0</v>
      </c>
      <c r="E195" s="20">
        <v>0</v>
      </c>
      <c r="F195" s="20">
        <v>0</v>
      </c>
      <c r="G195" s="20">
        <v>0</v>
      </c>
      <c r="H195" s="20">
        <v>0</v>
      </c>
      <c r="I195" s="20">
        <v>0</v>
      </c>
      <c r="J195" s="20">
        <v>0</v>
      </c>
      <c r="K195" s="21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  <c r="Q195" s="20">
        <v>0</v>
      </c>
      <c r="R195" s="20">
        <v>0</v>
      </c>
      <c r="S195" s="20">
        <v>739200</v>
      </c>
      <c r="T195" s="20">
        <v>0</v>
      </c>
      <c r="U195" s="20">
        <v>600000</v>
      </c>
      <c r="V195" s="1" t="e">
        <f t="shared" si="71"/>
        <v>#DIV/0!</v>
      </c>
    </row>
    <row r="196" spans="1:22" ht="21.95" customHeight="1" x14ac:dyDescent="0.25">
      <c r="A196" s="18" t="s">
        <v>1784</v>
      </c>
      <c r="B196" s="25" t="s">
        <v>482</v>
      </c>
      <c r="C196" s="12">
        <f t="shared" si="72"/>
        <v>9156625.5</v>
      </c>
      <c r="D196" s="20">
        <f t="shared" si="70"/>
        <v>8956625.5</v>
      </c>
      <c r="E196" s="20">
        <f>350*3811.33</f>
        <v>1333965.5</v>
      </c>
      <c r="F196" s="20">
        <f>800*3811.33</f>
        <v>3049064</v>
      </c>
      <c r="G196" s="20">
        <f>300*3811.33</f>
        <v>1143399</v>
      </c>
      <c r="H196" s="20">
        <f>500*3811.33</f>
        <v>1905665</v>
      </c>
      <c r="I196" s="20">
        <f>400*3811.33</f>
        <v>1524532</v>
      </c>
      <c r="J196" s="20">
        <f>350*0</f>
        <v>0</v>
      </c>
      <c r="K196" s="21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20">
        <v>0</v>
      </c>
      <c r="T196" s="20">
        <v>0</v>
      </c>
      <c r="U196" s="20">
        <v>200000</v>
      </c>
      <c r="V196" s="1" t="e">
        <f t="shared" si="71"/>
        <v>#DIV/0!</v>
      </c>
    </row>
    <row r="197" spans="1:22" ht="21.95" customHeight="1" x14ac:dyDescent="0.25">
      <c r="A197" s="18" t="s">
        <v>1785</v>
      </c>
      <c r="B197" s="25" t="s">
        <v>424</v>
      </c>
      <c r="C197" s="12">
        <f t="shared" si="72"/>
        <v>1269900</v>
      </c>
      <c r="D197" s="20">
        <f t="shared" si="70"/>
        <v>0</v>
      </c>
      <c r="E197" s="20">
        <v>0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1">
        <v>0</v>
      </c>
      <c r="L197" s="20">
        <v>0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v>0</v>
      </c>
      <c r="S197" s="20">
        <v>669900</v>
      </c>
      <c r="T197" s="20">
        <v>0</v>
      </c>
      <c r="U197" s="20">
        <v>600000</v>
      </c>
      <c r="V197" s="1" t="e">
        <f t="shared" si="71"/>
        <v>#DIV/0!</v>
      </c>
    </row>
    <row r="198" spans="1:22" ht="21.95" customHeight="1" x14ac:dyDescent="0.25">
      <c r="A198" s="18" t="s">
        <v>1786</v>
      </c>
      <c r="B198" s="25" t="s">
        <v>447</v>
      </c>
      <c r="C198" s="12">
        <f t="shared" si="72"/>
        <v>10277975</v>
      </c>
      <c r="D198" s="20">
        <f t="shared" si="70"/>
        <v>10077975</v>
      </c>
      <c r="E198" s="20">
        <f>350*4288.5</f>
        <v>1500975</v>
      </c>
      <c r="F198" s="20">
        <f>800*4288.5</f>
        <v>3430800</v>
      </c>
      <c r="G198" s="20">
        <f>300*4288.5</f>
        <v>1286550</v>
      </c>
      <c r="H198" s="20">
        <f>500*4288.5</f>
        <v>2144250</v>
      </c>
      <c r="I198" s="20">
        <f>400*4288.5</f>
        <v>1715400</v>
      </c>
      <c r="J198" s="20">
        <f>350*0</f>
        <v>0</v>
      </c>
      <c r="K198" s="21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200000</v>
      </c>
      <c r="V198" s="1" t="e">
        <f t="shared" si="71"/>
        <v>#DIV/0!</v>
      </c>
    </row>
    <row r="199" spans="1:22" ht="21.95" customHeight="1" x14ac:dyDescent="0.25">
      <c r="A199" s="18" t="s">
        <v>1787</v>
      </c>
      <c r="B199" s="25" t="s">
        <v>403</v>
      </c>
      <c r="C199" s="12">
        <f t="shared" si="72"/>
        <v>5952800</v>
      </c>
      <c r="D199" s="20">
        <f t="shared" si="70"/>
        <v>5752800</v>
      </c>
      <c r="E199" s="20">
        <f>350*2448</f>
        <v>856800</v>
      </c>
      <c r="F199" s="20">
        <f>800*2448</f>
        <v>1958400</v>
      </c>
      <c r="G199" s="20">
        <f>300*2448</f>
        <v>734400</v>
      </c>
      <c r="H199" s="20">
        <f>500*2448</f>
        <v>1224000</v>
      </c>
      <c r="I199" s="20">
        <f>400*2448</f>
        <v>979200</v>
      </c>
      <c r="J199" s="20">
        <f>350*0</f>
        <v>0</v>
      </c>
      <c r="K199" s="21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0</v>
      </c>
      <c r="R199" s="20">
        <v>0</v>
      </c>
      <c r="S199" s="20">
        <v>0</v>
      </c>
      <c r="T199" s="20">
        <v>0</v>
      </c>
      <c r="U199" s="20">
        <v>200000</v>
      </c>
      <c r="V199" s="1" t="e">
        <f t="shared" si="71"/>
        <v>#DIV/0!</v>
      </c>
    </row>
    <row r="200" spans="1:22" ht="21.95" customHeight="1" x14ac:dyDescent="0.25">
      <c r="A200" s="18" t="s">
        <v>1788</v>
      </c>
      <c r="B200" s="25" t="s">
        <v>404</v>
      </c>
      <c r="C200" s="12">
        <f t="shared" si="72"/>
        <v>200000</v>
      </c>
      <c r="D200" s="20">
        <f t="shared" ref="D200:D255" si="73">SUM(E200:J200)</f>
        <v>0</v>
      </c>
      <c r="E200" s="20">
        <v>0</v>
      </c>
      <c r="F200" s="20">
        <v>0</v>
      </c>
      <c r="G200" s="20">
        <v>0</v>
      </c>
      <c r="H200" s="20">
        <v>0</v>
      </c>
      <c r="I200" s="20">
        <v>0</v>
      </c>
      <c r="J200" s="20">
        <f t="shared" ref="J200:J204" si="74">350*0</f>
        <v>0</v>
      </c>
      <c r="K200" s="21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  <c r="Q200" s="20">
        <v>0</v>
      </c>
      <c r="R200" s="20">
        <v>0</v>
      </c>
      <c r="S200" s="20">
        <v>0</v>
      </c>
      <c r="T200" s="20">
        <v>0</v>
      </c>
      <c r="U200" s="20">
        <v>200000</v>
      </c>
      <c r="V200" s="1" t="e">
        <f t="shared" ref="V200:V258" si="75">N200/M200</f>
        <v>#DIV/0!</v>
      </c>
    </row>
    <row r="201" spans="1:22" ht="21.95" customHeight="1" x14ac:dyDescent="0.25">
      <c r="A201" s="18" t="s">
        <v>1789</v>
      </c>
      <c r="B201" s="25" t="s">
        <v>385</v>
      </c>
      <c r="C201" s="12">
        <f t="shared" ref="C201:C256" si="76">D201+L201+N201+P201+R201+S201+T201+U201</f>
        <v>1194560</v>
      </c>
      <c r="D201" s="20">
        <f t="shared" si="73"/>
        <v>994560</v>
      </c>
      <c r="E201" s="20">
        <f>350*537.6</f>
        <v>188160</v>
      </c>
      <c r="F201" s="20">
        <f>800*537.6</f>
        <v>430080</v>
      </c>
      <c r="G201" s="20">
        <f>300*537.6</f>
        <v>161280</v>
      </c>
      <c r="H201" s="20">
        <f>500*0</f>
        <v>0</v>
      </c>
      <c r="I201" s="20">
        <f>400*537.6</f>
        <v>215040</v>
      </c>
      <c r="J201" s="20">
        <f t="shared" si="74"/>
        <v>0</v>
      </c>
      <c r="K201" s="21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0</v>
      </c>
      <c r="S201" s="20">
        <v>0</v>
      </c>
      <c r="T201" s="20">
        <v>0</v>
      </c>
      <c r="U201" s="20">
        <v>200000</v>
      </c>
      <c r="V201" s="1" t="e">
        <f t="shared" si="75"/>
        <v>#DIV/0!</v>
      </c>
    </row>
    <row r="202" spans="1:22" ht="21.95" customHeight="1" x14ac:dyDescent="0.25">
      <c r="A202" s="18" t="s">
        <v>1790</v>
      </c>
      <c r="B202" s="25" t="s">
        <v>386</v>
      </c>
      <c r="C202" s="12">
        <f t="shared" si="76"/>
        <v>2013000</v>
      </c>
      <c r="D202" s="20">
        <f t="shared" si="73"/>
        <v>1813000</v>
      </c>
      <c r="E202" s="20">
        <f>350*980</f>
        <v>343000</v>
      </c>
      <c r="F202" s="20">
        <f>800*980</f>
        <v>784000</v>
      </c>
      <c r="G202" s="20">
        <f>300*980</f>
        <v>294000</v>
      </c>
      <c r="H202" s="20">
        <f>500*0</f>
        <v>0</v>
      </c>
      <c r="I202" s="20">
        <f>400*980</f>
        <v>392000</v>
      </c>
      <c r="J202" s="20">
        <f t="shared" si="74"/>
        <v>0</v>
      </c>
      <c r="K202" s="21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20">
        <v>200000</v>
      </c>
      <c r="V202" s="1" t="e">
        <f t="shared" si="75"/>
        <v>#DIV/0!</v>
      </c>
    </row>
    <row r="203" spans="1:22" ht="21.95" customHeight="1" x14ac:dyDescent="0.25">
      <c r="A203" s="18" t="s">
        <v>1791</v>
      </c>
      <c r="B203" s="31" t="s">
        <v>448</v>
      </c>
      <c r="C203" s="12">
        <f t="shared" si="76"/>
        <v>17810900</v>
      </c>
      <c r="D203" s="20">
        <f t="shared" si="73"/>
        <v>17610900</v>
      </c>
      <c r="E203" s="20">
        <f>350*7494</f>
        <v>2622900</v>
      </c>
      <c r="F203" s="20">
        <f>800*7494</f>
        <v>5995200</v>
      </c>
      <c r="G203" s="20">
        <f>300*7494</f>
        <v>2248200</v>
      </c>
      <c r="H203" s="20">
        <f>500*7494</f>
        <v>3747000</v>
      </c>
      <c r="I203" s="20">
        <f>400*7494</f>
        <v>2997600</v>
      </c>
      <c r="J203" s="20">
        <f t="shared" si="74"/>
        <v>0</v>
      </c>
      <c r="K203" s="21">
        <v>0</v>
      </c>
      <c r="L203" s="20">
        <v>0</v>
      </c>
      <c r="M203" s="20">
        <v>0</v>
      </c>
      <c r="N203" s="20">
        <v>0</v>
      </c>
      <c r="O203" s="20">
        <v>0</v>
      </c>
      <c r="P203" s="20">
        <v>0</v>
      </c>
      <c r="Q203" s="20">
        <v>0</v>
      </c>
      <c r="R203" s="20">
        <v>0</v>
      </c>
      <c r="S203" s="20">
        <v>0</v>
      </c>
      <c r="T203" s="20">
        <v>0</v>
      </c>
      <c r="U203" s="20">
        <v>200000</v>
      </c>
      <c r="V203" s="1" t="e">
        <f t="shared" si="75"/>
        <v>#DIV/0!</v>
      </c>
    </row>
    <row r="204" spans="1:22" ht="21.95" customHeight="1" x14ac:dyDescent="0.25">
      <c r="A204" s="18" t="s">
        <v>1792</v>
      </c>
      <c r="B204" s="25" t="s">
        <v>418</v>
      </c>
      <c r="C204" s="12">
        <f t="shared" si="76"/>
        <v>7245065</v>
      </c>
      <c r="D204" s="20">
        <f t="shared" si="73"/>
        <v>7045065</v>
      </c>
      <c r="E204" s="20">
        <f>350*2997.9</f>
        <v>1049265</v>
      </c>
      <c r="F204" s="20">
        <f>800*2997.9</f>
        <v>2398320</v>
      </c>
      <c r="G204" s="20">
        <f>300*2997.9</f>
        <v>899370</v>
      </c>
      <c r="H204" s="20">
        <f>500*2997.9</f>
        <v>1498950</v>
      </c>
      <c r="I204" s="20">
        <f>400*2997.9</f>
        <v>1199160</v>
      </c>
      <c r="J204" s="20">
        <f t="shared" si="74"/>
        <v>0</v>
      </c>
      <c r="K204" s="21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0</v>
      </c>
      <c r="R204" s="20">
        <v>0</v>
      </c>
      <c r="S204" s="20">
        <v>0</v>
      </c>
      <c r="T204" s="20">
        <v>0</v>
      </c>
      <c r="U204" s="20">
        <v>200000</v>
      </c>
      <c r="V204" s="1" t="e">
        <f t="shared" si="75"/>
        <v>#DIV/0!</v>
      </c>
    </row>
    <row r="205" spans="1:22" ht="21.95" customHeight="1" x14ac:dyDescent="0.25">
      <c r="A205" s="18" t="s">
        <v>1793</v>
      </c>
      <c r="B205" s="25" t="s">
        <v>483</v>
      </c>
      <c r="C205" s="12">
        <f t="shared" si="76"/>
        <v>4026600</v>
      </c>
      <c r="D205" s="20">
        <f t="shared" si="73"/>
        <v>0</v>
      </c>
      <c r="E205" s="20">
        <v>0</v>
      </c>
      <c r="F205" s="20">
        <v>0</v>
      </c>
      <c r="G205" s="20">
        <v>0</v>
      </c>
      <c r="H205" s="20">
        <v>0</v>
      </c>
      <c r="I205" s="20">
        <v>0</v>
      </c>
      <c r="J205" s="20">
        <v>0</v>
      </c>
      <c r="K205" s="21">
        <v>0</v>
      </c>
      <c r="L205" s="20">
        <v>0</v>
      </c>
      <c r="M205" s="20">
        <v>722</v>
      </c>
      <c r="N205" s="20">
        <v>3826600</v>
      </c>
      <c r="O205" s="20">
        <v>0</v>
      </c>
      <c r="P205" s="20">
        <v>0</v>
      </c>
      <c r="Q205" s="20">
        <v>0</v>
      </c>
      <c r="R205" s="20">
        <v>0</v>
      </c>
      <c r="S205" s="20">
        <v>0</v>
      </c>
      <c r="T205" s="20">
        <v>0</v>
      </c>
      <c r="U205" s="20">
        <v>200000</v>
      </c>
      <c r="V205" s="1">
        <f t="shared" si="75"/>
        <v>5300</v>
      </c>
    </row>
    <row r="206" spans="1:22" ht="21.95" customHeight="1" x14ac:dyDescent="0.25">
      <c r="A206" s="18" t="s">
        <v>1794</v>
      </c>
      <c r="B206" s="25" t="s">
        <v>469</v>
      </c>
      <c r="C206" s="12">
        <f t="shared" si="76"/>
        <v>62674.98</v>
      </c>
      <c r="D206" s="20">
        <f t="shared" si="73"/>
        <v>0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1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62674.98</v>
      </c>
      <c r="V206" s="1" t="e">
        <f t="shared" si="75"/>
        <v>#DIV/0!</v>
      </c>
    </row>
    <row r="207" spans="1:22" ht="21.95" customHeight="1" x14ac:dyDescent="0.25">
      <c r="A207" s="18" t="s">
        <v>1795</v>
      </c>
      <c r="B207" s="25" t="s">
        <v>470</v>
      </c>
      <c r="C207" s="12">
        <f t="shared" si="76"/>
        <v>63754.32</v>
      </c>
      <c r="D207" s="20">
        <f t="shared" si="73"/>
        <v>0</v>
      </c>
      <c r="E207" s="20">
        <v>0</v>
      </c>
      <c r="F207" s="20">
        <v>0</v>
      </c>
      <c r="G207" s="20">
        <v>0</v>
      </c>
      <c r="H207" s="20">
        <v>0</v>
      </c>
      <c r="I207" s="20">
        <v>0</v>
      </c>
      <c r="J207" s="20">
        <v>0</v>
      </c>
      <c r="K207" s="21">
        <v>0</v>
      </c>
      <c r="L207" s="20">
        <v>0</v>
      </c>
      <c r="M207" s="20">
        <v>0</v>
      </c>
      <c r="N207" s="20">
        <v>0</v>
      </c>
      <c r="O207" s="20">
        <v>0</v>
      </c>
      <c r="P207" s="20">
        <v>0</v>
      </c>
      <c r="Q207" s="20">
        <v>0</v>
      </c>
      <c r="R207" s="20">
        <v>0</v>
      </c>
      <c r="S207" s="20">
        <v>0</v>
      </c>
      <c r="T207" s="20">
        <v>0</v>
      </c>
      <c r="U207" s="20">
        <v>63754.32</v>
      </c>
      <c r="V207" s="1" t="e">
        <f t="shared" si="75"/>
        <v>#DIV/0!</v>
      </c>
    </row>
    <row r="208" spans="1:22" ht="21.95" customHeight="1" x14ac:dyDescent="0.25">
      <c r="A208" s="18" t="s">
        <v>1796</v>
      </c>
      <c r="B208" s="31" t="s">
        <v>453</v>
      </c>
      <c r="C208" s="12">
        <f t="shared" si="76"/>
        <v>4721522.6399999997</v>
      </c>
      <c r="D208" s="20">
        <f t="shared" si="73"/>
        <v>0</v>
      </c>
      <c r="E208" s="20">
        <v>0</v>
      </c>
      <c r="F208" s="20">
        <v>0</v>
      </c>
      <c r="G208" s="20">
        <v>0</v>
      </c>
      <c r="H208" s="20">
        <v>0</v>
      </c>
      <c r="I208" s="20">
        <v>0</v>
      </c>
      <c r="J208" s="20">
        <v>0</v>
      </c>
      <c r="K208" s="21">
        <v>0</v>
      </c>
      <c r="L208" s="20">
        <v>0</v>
      </c>
      <c r="M208" s="20">
        <v>932.6</v>
      </c>
      <c r="N208" s="20">
        <v>3080390.4</v>
      </c>
      <c r="O208" s="20">
        <v>0</v>
      </c>
      <c r="P208" s="20">
        <v>0</v>
      </c>
      <c r="Q208" s="20">
        <v>630</v>
      </c>
      <c r="R208" s="20">
        <v>1641132.24</v>
      </c>
      <c r="S208" s="20">
        <v>0</v>
      </c>
      <c r="T208" s="20">
        <v>0</v>
      </c>
      <c r="U208" s="20">
        <v>0</v>
      </c>
      <c r="V208" s="1">
        <f t="shared" si="75"/>
        <v>3303.0135106154835</v>
      </c>
    </row>
    <row r="209" spans="1:22" ht="21.95" customHeight="1" x14ac:dyDescent="0.25">
      <c r="A209" s="18" t="s">
        <v>1797</v>
      </c>
      <c r="B209" s="25" t="s">
        <v>425</v>
      </c>
      <c r="C209" s="12">
        <f t="shared" si="76"/>
        <v>300000</v>
      </c>
      <c r="D209" s="20">
        <f t="shared" si="73"/>
        <v>0</v>
      </c>
      <c r="E209" s="20">
        <v>0</v>
      </c>
      <c r="F209" s="20">
        <v>0</v>
      </c>
      <c r="G209" s="20">
        <v>0</v>
      </c>
      <c r="H209" s="20">
        <v>0</v>
      </c>
      <c r="I209" s="20">
        <v>0</v>
      </c>
      <c r="J209" s="20">
        <v>0</v>
      </c>
      <c r="K209" s="21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0</v>
      </c>
      <c r="R209" s="20">
        <v>0</v>
      </c>
      <c r="S209" s="20">
        <v>0</v>
      </c>
      <c r="T209" s="20">
        <v>0</v>
      </c>
      <c r="U209" s="20">
        <v>300000</v>
      </c>
      <c r="V209" s="1" t="e">
        <f t="shared" si="75"/>
        <v>#DIV/0!</v>
      </c>
    </row>
    <row r="210" spans="1:22" ht="21.95" customHeight="1" x14ac:dyDescent="0.25">
      <c r="A210" s="18" t="s">
        <v>1798</v>
      </c>
      <c r="B210" s="25" t="s">
        <v>484</v>
      </c>
      <c r="C210" s="12">
        <f t="shared" si="76"/>
        <v>6093095</v>
      </c>
      <c r="D210" s="20">
        <f t="shared" si="73"/>
        <v>5893095</v>
      </c>
      <c r="E210" s="20">
        <f>350*2507.7</f>
        <v>877694.99999999988</v>
      </c>
      <c r="F210" s="20">
        <f>800*2507.7</f>
        <v>2006159.9999999998</v>
      </c>
      <c r="G210" s="20">
        <f>300*2507.7</f>
        <v>752310</v>
      </c>
      <c r="H210" s="20">
        <f>500*2507.7</f>
        <v>1253850</v>
      </c>
      <c r="I210" s="20">
        <f>400*2507.7</f>
        <v>1003079.9999999999</v>
      </c>
      <c r="J210" s="20">
        <f>350*0</f>
        <v>0</v>
      </c>
      <c r="K210" s="21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20">
        <v>0</v>
      </c>
      <c r="S210" s="20">
        <v>0</v>
      </c>
      <c r="T210" s="20">
        <v>0</v>
      </c>
      <c r="U210" s="20">
        <v>200000</v>
      </c>
      <c r="V210" s="1" t="e">
        <f t="shared" si="75"/>
        <v>#DIV/0!</v>
      </c>
    </row>
    <row r="211" spans="1:22" ht="21.95" customHeight="1" x14ac:dyDescent="0.25">
      <c r="A211" s="18" t="s">
        <v>1799</v>
      </c>
      <c r="B211" s="25" t="s">
        <v>454</v>
      </c>
      <c r="C211" s="12">
        <f t="shared" si="76"/>
        <v>6570505</v>
      </c>
      <c r="D211" s="20">
        <f t="shared" si="73"/>
        <v>6251705</v>
      </c>
      <c r="E211" s="20">
        <f>350*2660.3</f>
        <v>931105.00000000012</v>
      </c>
      <c r="F211" s="20">
        <f>800*2660.3</f>
        <v>2128240</v>
      </c>
      <c r="G211" s="20">
        <f>300*2660.3</f>
        <v>798090</v>
      </c>
      <c r="H211" s="20">
        <f>500*2660.3</f>
        <v>1330150</v>
      </c>
      <c r="I211" s="20">
        <f>400*2660.3</f>
        <v>1064120</v>
      </c>
      <c r="J211" s="20">
        <f>350*0</f>
        <v>0</v>
      </c>
      <c r="K211" s="21">
        <v>0</v>
      </c>
      <c r="L211" s="20">
        <v>0</v>
      </c>
      <c r="M211" s="20">
        <v>0</v>
      </c>
      <c r="N211" s="20">
        <v>0</v>
      </c>
      <c r="O211" s="20">
        <v>99</v>
      </c>
      <c r="P211" s="20">
        <f>O211*1200</f>
        <v>118800</v>
      </c>
      <c r="Q211" s="20">
        <v>0</v>
      </c>
      <c r="R211" s="20">
        <v>0</v>
      </c>
      <c r="S211" s="20">
        <v>0</v>
      </c>
      <c r="T211" s="20">
        <v>0</v>
      </c>
      <c r="U211" s="20">
        <v>200000</v>
      </c>
      <c r="V211" s="1" t="e">
        <f t="shared" si="75"/>
        <v>#DIV/0!</v>
      </c>
    </row>
    <row r="212" spans="1:22" ht="21.95" customHeight="1" x14ac:dyDescent="0.25">
      <c r="A212" s="18" t="s">
        <v>1800</v>
      </c>
      <c r="B212" s="31" t="s">
        <v>485</v>
      </c>
      <c r="C212" s="12">
        <f t="shared" si="76"/>
        <v>6597100</v>
      </c>
      <c r="D212" s="20">
        <f t="shared" si="73"/>
        <v>0</v>
      </c>
      <c r="E212" s="20">
        <v>0</v>
      </c>
      <c r="F212" s="20">
        <v>0</v>
      </c>
      <c r="G212" s="20">
        <v>0</v>
      </c>
      <c r="H212" s="20">
        <v>0</v>
      </c>
      <c r="I212" s="20">
        <v>0</v>
      </c>
      <c r="J212" s="20">
        <v>0</v>
      </c>
      <c r="K212" s="21">
        <v>0</v>
      </c>
      <c r="L212" s="20">
        <v>0</v>
      </c>
      <c r="M212" s="20">
        <v>1207</v>
      </c>
      <c r="N212" s="20">
        <v>6397100</v>
      </c>
      <c r="O212" s="20">
        <v>0</v>
      </c>
      <c r="P212" s="20">
        <v>0</v>
      </c>
      <c r="Q212" s="20">
        <v>0</v>
      </c>
      <c r="R212" s="20">
        <v>0</v>
      </c>
      <c r="S212" s="20">
        <v>0</v>
      </c>
      <c r="T212" s="20">
        <v>0</v>
      </c>
      <c r="U212" s="20">
        <v>200000</v>
      </c>
      <c r="V212" s="1">
        <f t="shared" si="75"/>
        <v>5300</v>
      </c>
    </row>
    <row r="213" spans="1:22" ht="21.95" customHeight="1" x14ac:dyDescent="0.25">
      <c r="A213" s="18" t="s">
        <v>1801</v>
      </c>
      <c r="B213" s="32" t="s">
        <v>1435</v>
      </c>
      <c r="C213" s="12">
        <f t="shared" si="76"/>
        <v>6865350</v>
      </c>
      <c r="D213" s="20">
        <f t="shared" si="73"/>
        <v>6865350</v>
      </c>
      <c r="E213" s="20">
        <f>350*3711</f>
        <v>1298850</v>
      </c>
      <c r="F213" s="20">
        <f>800*3711</f>
        <v>2968800</v>
      </c>
      <c r="G213" s="20">
        <f>300*3711</f>
        <v>1113300</v>
      </c>
      <c r="H213" s="20">
        <v>0</v>
      </c>
      <c r="I213" s="20">
        <f>400*3711</f>
        <v>1484400</v>
      </c>
      <c r="J213" s="20">
        <f>350*0</f>
        <v>0</v>
      </c>
      <c r="K213" s="21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20">
        <v>0</v>
      </c>
      <c r="R213" s="8">
        <v>0</v>
      </c>
      <c r="S213" s="20">
        <v>0</v>
      </c>
      <c r="T213" s="20">
        <v>0</v>
      </c>
      <c r="U213" s="20">
        <v>0</v>
      </c>
      <c r="V213" s="1" t="e">
        <f t="shared" si="75"/>
        <v>#DIV/0!</v>
      </c>
    </row>
    <row r="214" spans="1:22" ht="21.95" customHeight="1" x14ac:dyDescent="0.25">
      <c r="A214" s="18" t="s">
        <v>1802</v>
      </c>
      <c r="B214" s="32" t="s">
        <v>1416</v>
      </c>
      <c r="C214" s="12">
        <f t="shared" si="76"/>
        <v>7192881.2000000002</v>
      </c>
      <c r="D214" s="20">
        <f t="shared" si="73"/>
        <v>0</v>
      </c>
      <c r="E214" s="20">
        <v>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1">
        <v>0</v>
      </c>
      <c r="L214" s="20">
        <v>0</v>
      </c>
      <c r="M214" s="20">
        <v>553.39</v>
      </c>
      <c r="N214" s="20">
        <v>2932967</v>
      </c>
      <c r="O214" s="20">
        <v>0</v>
      </c>
      <c r="P214" s="20">
        <v>0</v>
      </c>
      <c r="Q214" s="20">
        <v>1400</v>
      </c>
      <c r="R214" s="8">
        <v>3647000</v>
      </c>
      <c r="S214" s="20">
        <v>0</v>
      </c>
      <c r="T214" s="20">
        <v>0</v>
      </c>
      <c r="U214" s="20">
        <v>612914.19999999995</v>
      </c>
      <c r="V214" s="1">
        <f t="shared" si="75"/>
        <v>5300</v>
      </c>
    </row>
    <row r="215" spans="1:22" ht="21.95" customHeight="1" x14ac:dyDescent="0.25">
      <c r="A215" s="18" t="s">
        <v>1803</v>
      </c>
      <c r="B215" s="31" t="s">
        <v>397</v>
      </c>
      <c r="C215" s="12">
        <f t="shared" si="76"/>
        <v>300000</v>
      </c>
      <c r="D215" s="20">
        <f t="shared" si="73"/>
        <v>0</v>
      </c>
      <c r="E215" s="20">
        <v>0</v>
      </c>
      <c r="F215" s="20">
        <v>0</v>
      </c>
      <c r="G215" s="20">
        <v>0</v>
      </c>
      <c r="H215" s="20">
        <v>0</v>
      </c>
      <c r="I215" s="20">
        <v>0</v>
      </c>
      <c r="J215" s="20">
        <v>0</v>
      </c>
      <c r="K215" s="21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  <c r="Q215" s="20">
        <v>0</v>
      </c>
      <c r="R215" s="20">
        <v>0</v>
      </c>
      <c r="S215" s="20">
        <v>0</v>
      </c>
      <c r="T215" s="20">
        <v>0</v>
      </c>
      <c r="U215" s="20">
        <v>300000</v>
      </c>
      <c r="V215" s="1" t="e">
        <f t="shared" si="75"/>
        <v>#DIV/0!</v>
      </c>
    </row>
    <row r="216" spans="1:22" ht="21.95" customHeight="1" x14ac:dyDescent="0.25">
      <c r="A216" s="18" t="s">
        <v>1804</v>
      </c>
      <c r="B216" s="25" t="s">
        <v>391</v>
      </c>
      <c r="C216" s="12">
        <f t="shared" si="76"/>
        <v>300000</v>
      </c>
      <c r="D216" s="20">
        <f t="shared" si="73"/>
        <v>0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1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  <c r="S216" s="20">
        <v>0</v>
      </c>
      <c r="T216" s="20">
        <v>0</v>
      </c>
      <c r="U216" s="20">
        <v>300000</v>
      </c>
      <c r="V216" s="1" t="e">
        <f t="shared" si="75"/>
        <v>#DIV/0!</v>
      </c>
    </row>
    <row r="217" spans="1:22" ht="21.95" customHeight="1" x14ac:dyDescent="0.25">
      <c r="A217" s="18" t="s">
        <v>1805</v>
      </c>
      <c r="B217" s="32" t="s">
        <v>1423</v>
      </c>
      <c r="C217" s="12">
        <f t="shared" si="76"/>
        <v>3436200</v>
      </c>
      <c r="D217" s="20">
        <f t="shared" si="73"/>
        <v>0</v>
      </c>
      <c r="E217" s="20">
        <v>0</v>
      </c>
      <c r="F217" s="20">
        <v>0</v>
      </c>
      <c r="G217" s="20">
        <v>0</v>
      </c>
      <c r="H217" s="20">
        <v>0</v>
      </c>
      <c r="I217" s="20">
        <v>0</v>
      </c>
      <c r="J217" s="20">
        <v>0</v>
      </c>
      <c r="K217" s="21">
        <v>0</v>
      </c>
      <c r="L217" s="20">
        <v>0</v>
      </c>
      <c r="M217" s="20">
        <v>554</v>
      </c>
      <c r="N217" s="20">
        <v>2936200</v>
      </c>
      <c r="O217" s="20">
        <v>0</v>
      </c>
      <c r="P217" s="20">
        <v>0</v>
      </c>
      <c r="Q217" s="20">
        <v>0</v>
      </c>
      <c r="R217" s="20">
        <v>0</v>
      </c>
      <c r="S217" s="20">
        <v>0</v>
      </c>
      <c r="T217" s="20">
        <v>0</v>
      </c>
      <c r="U217" s="20">
        <v>500000</v>
      </c>
      <c r="V217" s="1">
        <f t="shared" si="75"/>
        <v>5300</v>
      </c>
    </row>
    <row r="218" spans="1:22" ht="21.95" customHeight="1" x14ac:dyDescent="0.25">
      <c r="A218" s="18" t="s">
        <v>1806</v>
      </c>
      <c r="B218" s="25" t="s">
        <v>405</v>
      </c>
      <c r="C218" s="12">
        <f t="shared" si="76"/>
        <v>1954040</v>
      </c>
      <c r="D218" s="20">
        <f t="shared" si="73"/>
        <v>1754040</v>
      </c>
      <c r="E218" s="20">
        <f>350*746.4</f>
        <v>261240</v>
      </c>
      <c r="F218" s="20">
        <f>800*746.4</f>
        <v>597120</v>
      </c>
      <c r="G218" s="20">
        <f>300*746.4</f>
        <v>223920</v>
      </c>
      <c r="H218" s="20">
        <f>500*746.4</f>
        <v>373200</v>
      </c>
      <c r="I218" s="20">
        <f>400*746.4</f>
        <v>298560</v>
      </c>
      <c r="J218" s="20">
        <f>350*0</f>
        <v>0</v>
      </c>
      <c r="K218" s="21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  <c r="Q218" s="20">
        <v>0</v>
      </c>
      <c r="R218" s="20">
        <v>0</v>
      </c>
      <c r="S218" s="20">
        <v>0</v>
      </c>
      <c r="T218" s="20">
        <v>0</v>
      </c>
      <c r="U218" s="20">
        <v>200000</v>
      </c>
      <c r="V218" s="1" t="e">
        <f t="shared" si="75"/>
        <v>#DIV/0!</v>
      </c>
    </row>
    <row r="219" spans="1:22" ht="21.95" customHeight="1" x14ac:dyDescent="0.25">
      <c r="A219" s="18" t="s">
        <v>1807</v>
      </c>
      <c r="B219" s="25" t="s">
        <v>507</v>
      </c>
      <c r="C219" s="12">
        <f t="shared" si="76"/>
        <v>16732700</v>
      </c>
      <c r="D219" s="20">
        <f t="shared" si="73"/>
        <v>4980200</v>
      </c>
      <c r="E219" s="20">
        <f>350*2692</f>
        <v>942200</v>
      </c>
      <c r="F219" s="20">
        <f>800*2692</f>
        <v>2153600</v>
      </c>
      <c r="G219" s="20">
        <f>300*2692</f>
        <v>807600</v>
      </c>
      <c r="H219" s="20">
        <f>500*0</f>
        <v>0</v>
      </c>
      <c r="I219" s="20">
        <f>400*2692</f>
        <v>1076800</v>
      </c>
      <c r="J219" s="20">
        <f>350*0</f>
        <v>0</v>
      </c>
      <c r="K219" s="21">
        <v>0</v>
      </c>
      <c r="L219" s="20">
        <v>0</v>
      </c>
      <c r="M219" s="20">
        <v>1295</v>
      </c>
      <c r="N219" s="20">
        <v>6863500</v>
      </c>
      <c r="O219" s="20">
        <v>0</v>
      </c>
      <c r="P219" s="20">
        <v>0</v>
      </c>
      <c r="Q219" s="20">
        <v>1800</v>
      </c>
      <c r="R219" s="20">
        <f>Q219*2605</f>
        <v>4689000</v>
      </c>
      <c r="S219" s="20">
        <v>0</v>
      </c>
      <c r="T219" s="20">
        <v>0</v>
      </c>
      <c r="U219" s="20">
        <v>200000</v>
      </c>
      <c r="V219" s="1">
        <f t="shared" si="75"/>
        <v>5300</v>
      </c>
    </row>
    <row r="220" spans="1:22" ht="21.95" customHeight="1" x14ac:dyDescent="0.25">
      <c r="A220" s="18" t="s">
        <v>1808</v>
      </c>
      <c r="B220" s="32" t="s">
        <v>1450</v>
      </c>
      <c r="C220" s="12">
        <f t="shared" si="76"/>
        <v>3130492.46</v>
      </c>
      <c r="D220" s="20">
        <f t="shared" si="73"/>
        <v>0</v>
      </c>
      <c r="E220" s="20">
        <v>0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1">
        <v>0</v>
      </c>
      <c r="L220" s="20">
        <v>0</v>
      </c>
      <c r="M220" s="20">
        <v>539</v>
      </c>
      <c r="N220" s="20">
        <v>2856700</v>
      </c>
      <c r="O220" s="20">
        <v>0</v>
      </c>
      <c r="P220" s="20">
        <v>0</v>
      </c>
      <c r="Q220" s="20">
        <v>0</v>
      </c>
      <c r="R220" s="20">
        <v>0</v>
      </c>
      <c r="S220" s="20">
        <v>0</v>
      </c>
      <c r="T220" s="20">
        <v>0</v>
      </c>
      <c r="U220" s="20">
        <v>273792.46000000002</v>
      </c>
      <c r="V220" s="1">
        <f t="shared" si="75"/>
        <v>5300</v>
      </c>
    </row>
    <row r="221" spans="1:22" ht="21.95" customHeight="1" x14ac:dyDescent="0.25">
      <c r="A221" s="18" t="s">
        <v>1809</v>
      </c>
      <c r="B221" s="25" t="s">
        <v>1433</v>
      </c>
      <c r="C221" s="12">
        <f t="shared" si="76"/>
        <v>367317.96</v>
      </c>
      <c r="D221" s="20">
        <f t="shared" si="73"/>
        <v>0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f>350*0</f>
        <v>0</v>
      </c>
      <c r="K221" s="21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  <c r="S221" s="20">
        <v>0</v>
      </c>
      <c r="T221" s="20">
        <v>0</v>
      </c>
      <c r="U221" s="20">
        <v>367317.96</v>
      </c>
      <c r="V221" s="1" t="e">
        <f t="shared" si="75"/>
        <v>#DIV/0!</v>
      </c>
    </row>
    <row r="222" spans="1:22" ht="21.95" customHeight="1" x14ac:dyDescent="0.25">
      <c r="A222" s="18" t="s">
        <v>1810</v>
      </c>
      <c r="B222" s="25" t="s">
        <v>1457</v>
      </c>
      <c r="C222" s="12">
        <f t="shared" si="76"/>
        <v>13962265.6</v>
      </c>
      <c r="D222" s="20">
        <f t="shared" si="73"/>
        <v>12663962</v>
      </c>
      <c r="E222" s="20">
        <v>0</v>
      </c>
      <c r="F222" s="20">
        <v>8827056</v>
      </c>
      <c r="G222" s="20">
        <v>1214772</v>
      </c>
      <c r="H222" s="20">
        <v>1712249.6</v>
      </c>
      <c r="I222" s="20">
        <v>909884.4</v>
      </c>
      <c r="J222" s="20">
        <f>350*0</f>
        <v>0</v>
      </c>
      <c r="K222" s="21">
        <v>0</v>
      </c>
      <c r="L222" s="20">
        <v>0</v>
      </c>
      <c r="M222" s="20">
        <v>0</v>
      </c>
      <c r="N222" s="20">
        <v>0</v>
      </c>
      <c r="O222" s="20">
        <v>0</v>
      </c>
      <c r="P222" s="20">
        <v>0</v>
      </c>
      <c r="Q222" s="20">
        <v>0</v>
      </c>
      <c r="R222" s="20">
        <v>0</v>
      </c>
      <c r="S222" s="20">
        <v>0</v>
      </c>
      <c r="T222" s="20">
        <v>678303.6</v>
      </c>
      <c r="U222" s="20">
        <v>620000</v>
      </c>
      <c r="V222" s="1" t="e">
        <f t="shared" si="75"/>
        <v>#DIV/0!</v>
      </c>
    </row>
    <row r="223" spans="1:22" ht="21.95" customHeight="1" x14ac:dyDescent="0.25">
      <c r="A223" s="18" t="s">
        <v>1811</v>
      </c>
      <c r="B223" s="25" t="s">
        <v>400</v>
      </c>
      <c r="C223" s="12">
        <f t="shared" si="76"/>
        <v>5685620</v>
      </c>
      <c r="D223" s="20">
        <f t="shared" si="73"/>
        <v>5485620</v>
      </c>
      <c r="E223" s="20">
        <f>350*2965.2</f>
        <v>1037819.9999999999</v>
      </c>
      <c r="F223" s="20">
        <f>800*2965.2</f>
        <v>2372160</v>
      </c>
      <c r="G223" s="20">
        <f>300*2965.2</f>
        <v>889560</v>
      </c>
      <c r="H223" s="20">
        <f>500*0</f>
        <v>0</v>
      </c>
      <c r="I223" s="20">
        <f>400*2965.2</f>
        <v>1186080</v>
      </c>
      <c r="J223" s="20">
        <f>350*0</f>
        <v>0</v>
      </c>
      <c r="K223" s="21">
        <v>0</v>
      </c>
      <c r="L223" s="20">
        <v>0</v>
      </c>
      <c r="M223" s="20">
        <v>0</v>
      </c>
      <c r="N223" s="20">
        <v>0</v>
      </c>
      <c r="O223" s="20">
        <v>0</v>
      </c>
      <c r="P223" s="20">
        <v>0</v>
      </c>
      <c r="Q223" s="20">
        <v>0</v>
      </c>
      <c r="R223" s="20">
        <v>0</v>
      </c>
      <c r="S223" s="20">
        <v>0</v>
      </c>
      <c r="T223" s="20">
        <v>0</v>
      </c>
      <c r="U223" s="20">
        <v>200000</v>
      </c>
      <c r="V223" s="1" t="e">
        <f t="shared" si="75"/>
        <v>#DIV/0!</v>
      </c>
    </row>
    <row r="224" spans="1:22" ht="21.95" customHeight="1" x14ac:dyDescent="0.25">
      <c r="A224" s="18" t="s">
        <v>1812</v>
      </c>
      <c r="B224" s="25" t="s">
        <v>394</v>
      </c>
      <c r="C224" s="12">
        <f t="shared" si="76"/>
        <v>3633350</v>
      </c>
      <c r="D224" s="20">
        <f t="shared" si="73"/>
        <v>3433350</v>
      </c>
      <c r="E224" s="20">
        <f>350*1461</f>
        <v>511350</v>
      </c>
      <c r="F224" s="20">
        <f>800*1461</f>
        <v>1168800</v>
      </c>
      <c r="G224" s="20">
        <f>300*1461</f>
        <v>438300</v>
      </c>
      <c r="H224" s="20">
        <f>500*1461</f>
        <v>730500</v>
      </c>
      <c r="I224" s="20">
        <f>400*1461</f>
        <v>584400</v>
      </c>
      <c r="J224" s="20">
        <f>350*0</f>
        <v>0</v>
      </c>
      <c r="K224" s="21">
        <v>0</v>
      </c>
      <c r="L224" s="20">
        <v>0</v>
      </c>
      <c r="M224" s="20">
        <v>0</v>
      </c>
      <c r="N224" s="20">
        <v>0</v>
      </c>
      <c r="O224" s="20">
        <v>0</v>
      </c>
      <c r="P224" s="20">
        <v>0</v>
      </c>
      <c r="Q224" s="20">
        <v>0</v>
      </c>
      <c r="R224" s="20">
        <v>0</v>
      </c>
      <c r="S224" s="20">
        <v>0</v>
      </c>
      <c r="T224" s="20">
        <v>0</v>
      </c>
      <c r="U224" s="20">
        <v>200000</v>
      </c>
      <c r="V224" s="1" t="e">
        <f t="shared" si="75"/>
        <v>#DIV/0!</v>
      </c>
    </row>
    <row r="225" spans="1:22" ht="21.95" customHeight="1" x14ac:dyDescent="0.25">
      <c r="A225" s="18" t="s">
        <v>1813</v>
      </c>
      <c r="B225" s="32" t="s">
        <v>1429</v>
      </c>
      <c r="C225" s="12">
        <f t="shared" si="76"/>
        <v>8288852.0800000001</v>
      </c>
      <c r="D225" s="20">
        <f t="shared" si="73"/>
        <v>0</v>
      </c>
      <c r="E225" s="20">
        <v>0</v>
      </c>
      <c r="F225" s="20">
        <v>0</v>
      </c>
      <c r="G225" s="20">
        <v>0</v>
      </c>
      <c r="H225" s="20">
        <v>0</v>
      </c>
      <c r="I225" s="20">
        <v>0</v>
      </c>
      <c r="J225" s="20">
        <v>0</v>
      </c>
      <c r="K225" s="21">
        <v>0</v>
      </c>
      <c r="L225" s="20">
        <v>0</v>
      </c>
      <c r="M225" s="20">
        <v>752</v>
      </c>
      <c r="N225" s="20">
        <v>3985600</v>
      </c>
      <c r="O225" s="20">
        <v>0</v>
      </c>
      <c r="P225" s="20">
        <v>0</v>
      </c>
      <c r="Q225" s="20">
        <v>1468.47</v>
      </c>
      <c r="R225" s="8">
        <v>3825364.35</v>
      </c>
      <c r="S225" s="20">
        <v>0</v>
      </c>
      <c r="T225" s="20">
        <v>0</v>
      </c>
      <c r="U225" s="20">
        <v>477887.73</v>
      </c>
      <c r="V225" s="1">
        <f t="shared" si="75"/>
        <v>5300</v>
      </c>
    </row>
    <row r="226" spans="1:22" ht="21.95" customHeight="1" x14ac:dyDescent="0.25">
      <c r="A226" s="18" t="s">
        <v>1814</v>
      </c>
      <c r="B226" s="25" t="s">
        <v>486</v>
      </c>
      <c r="C226" s="12">
        <f t="shared" si="76"/>
        <v>7275500</v>
      </c>
      <c r="D226" s="20">
        <f t="shared" si="73"/>
        <v>0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1">
        <v>0</v>
      </c>
      <c r="L226" s="20">
        <v>0</v>
      </c>
      <c r="M226" s="20">
        <v>1335</v>
      </c>
      <c r="N226" s="20">
        <f>M226*5300</f>
        <v>7075500</v>
      </c>
      <c r="O226" s="20">
        <v>0</v>
      </c>
      <c r="P226" s="20">
        <v>0</v>
      </c>
      <c r="Q226" s="20">
        <v>0</v>
      </c>
      <c r="R226" s="20">
        <v>0</v>
      </c>
      <c r="S226" s="20">
        <v>0</v>
      </c>
      <c r="T226" s="20">
        <v>0</v>
      </c>
      <c r="U226" s="20">
        <v>200000</v>
      </c>
      <c r="V226" s="1">
        <f t="shared" si="75"/>
        <v>5300</v>
      </c>
    </row>
    <row r="227" spans="1:22" ht="21.95" customHeight="1" x14ac:dyDescent="0.25">
      <c r="A227" s="18" t="s">
        <v>1815</v>
      </c>
      <c r="B227" s="25" t="s">
        <v>510</v>
      </c>
      <c r="C227" s="12">
        <f t="shared" si="76"/>
        <v>11446060</v>
      </c>
      <c r="D227" s="20">
        <f t="shared" si="73"/>
        <v>6442440</v>
      </c>
      <c r="E227" s="20">
        <f>350*3482.4</f>
        <v>1218840</v>
      </c>
      <c r="F227" s="20">
        <f>800*3482.4</f>
        <v>2785920</v>
      </c>
      <c r="G227" s="20">
        <f>300*3482.4</f>
        <v>1044720</v>
      </c>
      <c r="H227" s="20">
        <f>800*0</f>
        <v>0</v>
      </c>
      <c r="I227" s="20">
        <f>400*3482.4</f>
        <v>1392960</v>
      </c>
      <c r="J227" s="20">
        <f>800*0</f>
        <v>0</v>
      </c>
      <c r="K227" s="21">
        <v>0</v>
      </c>
      <c r="L227" s="20">
        <v>0</v>
      </c>
      <c r="M227" s="20">
        <v>0</v>
      </c>
      <c r="N227" s="20">
        <v>0</v>
      </c>
      <c r="O227" s="20">
        <v>0</v>
      </c>
      <c r="P227" s="20">
        <v>0</v>
      </c>
      <c r="Q227" s="20">
        <v>1844</v>
      </c>
      <c r="R227" s="20">
        <f>Q227*2605</f>
        <v>4803620</v>
      </c>
      <c r="S227" s="20">
        <v>0</v>
      </c>
      <c r="T227" s="20">
        <v>0</v>
      </c>
      <c r="U227" s="20">
        <v>200000</v>
      </c>
      <c r="V227" s="1" t="e">
        <f t="shared" si="75"/>
        <v>#DIV/0!</v>
      </c>
    </row>
    <row r="228" spans="1:22" ht="21.95" customHeight="1" x14ac:dyDescent="0.25">
      <c r="A228" s="18" t="s">
        <v>1816</v>
      </c>
      <c r="B228" s="25" t="s">
        <v>471</v>
      </c>
      <c r="C228" s="12">
        <f t="shared" si="76"/>
        <v>300000</v>
      </c>
      <c r="D228" s="20">
        <f t="shared" si="73"/>
        <v>0</v>
      </c>
      <c r="E228" s="20">
        <v>0</v>
      </c>
      <c r="F228" s="20">
        <v>0</v>
      </c>
      <c r="G228" s="20">
        <v>0</v>
      </c>
      <c r="H228" s="20">
        <v>0</v>
      </c>
      <c r="I228" s="20">
        <v>0</v>
      </c>
      <c r="J228" s="20">
        <v>0</v>
      </c>
      <c r="K228" s="21">
        <v>0</v>
      </c>
      <c r="L228" s="20">
        <v>0</v>
      </c>
      <c r="M228" s="20">
        <v>0</v>
      </c>
      <c r="N228" s="20">
        <v>0</v>
      </c>
      <c r="O228" s="20">
        <v>0</v>
      </c>
      <c r="P228" s="20">
        <v>0</v>
      </c>
      <c r="Q228" s="20">
        <v>0</v>
      </c>
      <c r="R228" s="20">
        <v>0</v>
      </c>
      <c r="S228" s="20">
        <v>0</v>
      </c>
      <c r="T228" s="20">
        <v>0</v>
      </c>
      <c r="U228" s="20">
        <v>300000</v>
      </c>
      <c r="V228" s="1" t="e">
        <f t="shared" si="75"/>
        <v>#DIV/0!</v>
      </c>
    </row>
    <row r="229" spans="1:22" ht="21.95" customHeight="1" x14ac:dyDescent="0.25">
      <c r="A229" s="18" t="s">
        <v>1817</v>
      </c>
      <c r="B229" s="25" t="s">
        <v>1458</v>
      </c>
      <c r="C229" s="12">
        <f t="shared" si="76"/>
        <v>13300000</v>
      </c>
      <c r="D229" s="20">
        <f t="shared" si="73"/>
        <v>0</v>
      </c>
      <c r="E229" s="20">
        <v>0</v>
      </c>
      <c r="F229" s="20">
        <v>0</v>
      </c>
      <c r="G229" s="20">
        <v>0</v>
      </c>
      <c r="H229" s="20">
        <v>0</v>
      </c>
      <c r="I229" s="20">
        <v>0</v>
      </c>
      <c r="J229" s="20">
        <v>0</v>
      </c>
      <c r="K229" s="9">
        <v>6</v>
      </c>
      <c r="L229" s="8">
        <f>K229*2150000</f>
        <v>12900000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400000</v>
      </c>
      <c r="V229" s="1" t="e">
        <f t="shared" si="75"/>
        <v>#DIV/0!</v>
      </c>
    </row>
    <row r="230" spans="1:22" ht="21.95" customHeight="1" x14ac:dyDescent="0.25">
      <c r="A230" s="18" t="s">
        <v>1818</v>
      </c>
      <c r="B230" s="25" t="s">
        <v>411</v>
      </c>
      <c r="C230" s="12">
        <f t="shared" si="76"/>
        <v>6910190</v>
      </c>
      <c r="D230" s="20">
        <f t="shared" si="73"/>
        <v>6710190</v>
      </c>
      <c r="E230" s="20">
        <f>350*2855.4</f>
        <v>999390</v>
      </c>
      <c r="F230" s="20">
        <f>800*2855.4</f>
        <v>2284320</v>
      </c>
      <c r="G230" s="20">
        <f>300*2855.4</f>
        <v>856620</v>
      </c>
      <c r="H230" s="20">
        <f>500*2855.4</f>
        <v>1427700</v>
      </c>
      <c r="I230" s="20">
        <f>400*2855.4</f>
        <v>1142160</v>
      </c>
      <c r="J230" s="20">
        <f>800*0</f>
        <v>0</v>
      </c>
      <c r="K230" s="21">
        <v>0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  <c r="Q230" s="20">
        <v>0</v>
      </c>
      <c r="R230" s="20">
        <v>0</v>
      </c>
      <c r="S230" s="20">
        <v>0</v>
      </c>
      <c r="T230" s="20">
        <v>0</v>
      </c>
      <c r="U230" s="20">
        <v>200000</v>
      </c>
      <c r="V230" s="1" t="e">
        <f t="shared" si="75"/>
        <v>#DIV/0!</v>
      </c>
    </row>
    <row r="231" spans="1:22" ht="21.95" customHeight="1" x14ac:dyDescent="0.25">
      <c r="A231" s="18" t="s">
        <v>1819</v>
      </c>
      <c r="B231" s="25" t="s">
        <v>412</v>
      </c>
      <c r="C231" s="12">
        <f>D231+L231+N231+P231+R231+S231+T231+U231</f>
        <v>5736905</v>
      </c>
      <c r="D231" s="20">
        <f>SUM(E231:J231)</f>
        <v>5536905</v>
      </c>
      <c r="E231" s="20">
        <f>350*2125.1</f>
        <v>743785</v>
      </c>
      <c r="F231" s="20">
        <f>800*2125.1</f>
        <v>1700080</v>
      </c>
      <c r="G231" s="20">
        <f>300*2125.1</f>
        <v>637530</v>
      </c>
      <c r="H231" s="20">
        <f>500*2125.1</f>
        <v>1062550</v>
      </c>
      <c r="I231" s="20">
        <f>400*3482.4</f>
        <v>1392960</v>
      </c>
      <c r="J231" s="20">
        <f>800*0</f>
        <v>0</v>
      </c>
      <c r="K231" s="21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0</v>
      </c>
      <c r="Q231" s="20">
        <v>0</v>
      </c>
      <c r="R231" s="20">
        <v>0</v>
      </c>
      <c r="S231" s="20">
        <v>0</v>
      </c>
      <c r="T231" s="20">
        <v>0</v>
      </c>
      <c r="U231" s="20">
        <v>200000</v>
      </c>
      <c r="V231" s="1" t="e">
        <f>N231/M231</f>
        <v>#DIV/0!</v>
      </c>
    </row>
    <row r="232" spans="1:22" ht="21.95" customHeight="1" x14ac:dyDescent="0.25">
      <c r="A232" s="18" t="s">
        <v>1820</v>
      </c>
      <c r="B232" s="25" t="s">
        <v>387</v>
      </c>
      <c r="C232" s="12">
        <f>D232+L232+N232+P232+R232+S232+T232+U232</f>
        <v>7704990</v>
      </c>
      <c r="D232" s="20">
        <f>SUM(E232:J232)</f>
        <v>7504990</v>
      </c>
      <c r="E232" s="20">
        <f>350*3482.4</f>
        <v>1218840</v>
      </c>
      <c r="F232" s="20">
        <f>800*3482.4</f>
        <v>2785920</v>
      </c>
      <c r="G232" s="20">
        <f>300*3482.4</f>
        <v>1044720</v>
      </c>
      <c r="H232" s="20">
        <f>500*2125.1</f>
        <v>1062550</v>
      </c>
      <c r="I232" s="20">
        <f>400*3482.4</f>
        <v>1392960</v>
      </c>
      <c r="J232" s="20">
        <f>800*0</f>
        <v>0</v>
      </c>
      <c r="K232" s="21">
        <v>0</v>
      </c>
      <c r="L232" s="20">
        <v>0</v>
      </c>
      <c r="M232" s="20">
        <v>0</v>
      </c>
      <c r="N232" s="20">
        <v>0</v>
      </c>
      <c r="O232" s="20">
        <v>0</v>
      </c>
      <c r="P232" s="20">
        <v>0</v>
      </c>
      <c r="Q232" s="20">
        <v>0</v>
      </c>
      <c r="R232" s="20">
        <v>0</v>
      </c>
      <c r="S232" s="20">
        <v>0</v>
      </c>
      <c r="T232" s="20">
        <v>0</v>
      </c>
      <c r="U232" s="20">
        <v>200000</v>
      </c>
      <c r="V232" s="1" t="e">
        <f>N232/M232</f>
        <v>#DIV/0!</v>
      </c>
    </row>
    <row r="233" spans="1:22" ht="21.95" customHeight="1" x14ac:dyDescent="0.25">
      <c r="A233" s="18" t="s">
        <v>1821</v>
      </c>
      <c r="B233" s="25" t="s">
        <v>433</v>
      </c>
      <c r="C233" s="12">
        <f t="shared" si="76"/>
        <v>2561000</v>
      </c>
      <c r="D233" s="20">
        <f t="shared" si="73"/>
        <v>0</v>
      </c>
      <c r="E233" s="20">
        <v>0</v>
      </c>
      <c r="F233" s="20">
        <v>0</v>
      </c>
      <c r="G233" s="20">
        <v>0</v>
      </c>
      <c r="H233" s="20">
        <v>0</v>
      </c>
      <c r="I233" s="20">
        <v>0</v>
      </c>
      <c r="J233" s="20">
        <v>0</v>
      </c>
      <c r="K233" s="21">
        <v>0</v>
      </c>
      <c r="L233" s="20">
        <v>0</v>
      </c>
      <c r="M233" s="20">
        <v>370</v>
      </c>
      <c r="N233" s="20">
        <v>1961000</v>
      </c>
      <c r="O233" s="20">
        <v>0</v>
      </c>
      <c r="P233" s="20">
        <v>0</v>
      </c>
      <c r="Q233" s="20">
        <v>0</v>
      </c>
      <c r="R233" s="20">
        <v>0</v>
      </c>
      <c r="S233" s="20">
        <v>0</v>
      </c>
      <c r="T233" s="20">
        <v>0</v>
      </c>
      <c r="U233" s="20">
        <v>600000</v>
      </c>
      <c r="V233" s="1">
        <f t="shared" si="75"/>
        <v>5300</v>
      </c>
    </row>
    <row r="234" spans="1:22" ht="21.95" customHeight="1" x14ac:dyDescent="0.25">
      <c r="A234" s="18" t="s">
        <v>1822</v>
      </c>
      <c r="B234" s="25" t="s">
        <v>420</v>
      </c>
      <c r="C234" s="12">
        <f t="shared" si="76"/>
        <v>4398980</v>
      </c>
      <c r="D234" s="20">
        <f t="shared" si="73"/>
        <v>4198980</v>
      </c>
      <c r="E234" s="20">
        <f>350*1786.8</f>
        <v>625380</v>
      </c>
      <c r="F234" s="20">
        <f>800*1786.8</f>
        <v>1429440</v>
      </c>
      <c r="G234" s="20">
        <f>300*1786.8</f>
        <v>536040</v>
      </c>
      <c r="H234" s="20">
        <f>500*1786.8</f>
        <v>893400</v>
      </c>
      <c r="I234" s="20">
        <f>400*1786.8</f>
        <v>714720</v>
      </c>
      <c r="J234" s="20">
        <f>800*0</f>
        <v>0</v>
      </c>
      <c r="K234" s="21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v>0</v>
      </c>
      <c r="R234" s="20">
        <v>0</v>
      </c>
      <c r="S234" s="20">
        <v>0</v>
      </c>
      <c r="T234" s="20">
        <v>0</v>
      </c>
      <c r="U234" s="20">
        <v>200000</v>
      </c>
      <c r="V234" s="1" t="e">
        <f t="shared" si="75"/>
        <v>#DIV/0!</v>
      </c>
    </row>
    <row r="235" spans="1:22" ht="21.95" customHeight="1" x14ac:dyDescent="0.25">
      <c r="A235" s="18" t="s">
        <v>1823</v>
      </c>
      <c r="B235" s="25" t="s">
        <v>410</v>
      </c>
      <c r="C235" s="12">
        <f t="shared" si="76"/>
        <v>4098000</v>
      </c>
      <c r="D235" s="20">
        <f t="shared" si="73"/>
        <v>0</v>
      </c>
      <c r="E235" s="20">
        <v>0</v>
      </c>
      <c r="F235" s="20">
        <v>0</v>
      </c>
      <c r="G235" s="20">
        <v>0</v>
      </c>
      <c r="H235" s="20">
        <v>0</v>
      </c>
      <c r="I235" s="20">
        <v>0</v>
      </c>
      <c r="J235" s="20">
        <v>0</v>
      </c>
      <c r="K235" s="21">
        <v>0</v>
      </c>
      <c r="L235" s="20">
        <v>0</v>
      </c>
      <c r="M235" s="20">
        <v>660</v>
      </c>
      <c r="N235" s="20">
        <v>3498000</v>
      </c>
      <c r="O235" s="20">
        <v>0</v>
      </c>
      <c r="P235" s="20">
        <v>0</v>
      </c>
      <c r="Q235" s="20">
        <v>0</v>
      </c>
      <c r="R235" s="20">
        <v>0</v>
      </c>
      <c r="S235" s="20">
        <v>0</v>
      </c>
      <c r="T235" s="20">
        <v>0</v>
      </c>
      <c r="U235" s="20">
        <v>600000</v>
      </c>
      <c r="V235" s="1">
        <f t="shared" si="75"/>
        <v>5300</v>
      </c>
    </row>
    <row r="236" spans="1:22" ht="21.95" customHeight="1" x14ac:dyDescent="0.25">
      <c r="A236" s="18" t="s">
        <v>1824</v>
      </c>
      <c r="B236" s="32" t="s">
        <v>1417</v>
      </c>
      <c r="C236" s="12">
        <f t="shared" si="76"/>
        <v>6407339.5800000001</v>
      </c>
      <c r="D236" s="20">
        <f t="shared" si="73"/>
        <v>0</v>
      </c>
      <c r="E236" s="20">
        <v>0</v>
      </c>
      <c r="F236" s="20">
        <v>0</v>
      </c>
      <c r="G236" s="20">
        <v>0</v>
      </c>
      <c r="H236" s="20">
        <v>0</v>
      </c>
      <c r="I236" s="20">
        <v>0</v>
      </c>
      <c r="J236" s="20">
        <v>0</v>
      </c>
      <c r="K236" s="21">
        <v>0</v>
      </c>
      <c r="L236" s="20">
        <v>0</v>
      </c>
      <c r="M236" s="20">
        <v>623.5</v>
      </c>
      <c r="N236" s="20">
        <v>3304550</v>
      </c>
      <c r="O236" s="20">
        <v>0</v>
      </c>
      <c r="P236" s="20">
        <v>0</v>
      </c>
      <c r="Q236" s="20">
        <v>980</v>
      </c>
      <c r="R236" s="8">
        <v>2552900</v>
      </c>
      <c r="S236" s="20">
        <v>0</v>
      </c>
      <c r="T236" s="20">
        <v>0</v>
      </c>
      <c r="U236" s="20">
        <v>549889.57999999996</v>
      </c>
      <c r="V236" s="1">
        <f t="shared" si="75"/>
        <v>5300</v>
      </c>
    </row>
    <row r="237" spans="1:22" ht="21.95" customHeight="1" x14ac:dyDescent="0.25">
      <c r="A237" s="18" t="s">
        <v>1825</v>
      </c>
      <c r="B237" s="31" t="s">
        <v>487</v>
      </c>
      <c r="C237" s="12">
        <f t="shared" si="76"/>
        <v>6204635</v>
      </c>
      <c r="D237" s="20">
        <f t="shared" si="73"/>
        <v>0</v>
      </c>
      <c r="E237" s="20">
        <v>0</v>
      </c>
      <c r="F237" s="20">
        <v>0</v>
      </c>
      <c r="G237" s="20">
        <v>0</v>
      </c>
      <c r="H237" s="20">
        <v>0</v>
      </c>
      <c r="I237" s="20">
        <v>0</v>
      </c>
      <c r="J237" s="20">
        <v>0</v>
      </c>
      <c r="K237" s="21">
        <v>0</v>
      </c>
      <c r="L237" s="20">
        <v>0</v>
      </c>
      <c r="M237" s="20">
        <v>1132.95</v>
      </c>
      <c r="N237" s="20">
        <f>M237*5300</f>
        <v>6004635</v>
      </c>
      <c r="O237" s="20">
        <v>0</v>
      </c>
      <c r="P237" s="20">
        <v>0</v>
      </c>
      <c r="Q237" s="20">
        <v>0</v>
      </c>
      <c r="R237" s="20">
        <v>0</v>
      </c>
      <c r="S237" s="20">
        <v>0</v>
      </c>
      <c r="T237" s="20">
        <v>0</v>
      </c>
      <c r="U237" s="20">
        <v>200000</v>
      </c>
      <c r="V237" s="1">
        <f t="shared" si="75"/>
        <v>5300</v>
      </c>
    </row>
    <row r="238" spans="1:22" ht="21.95" customHeight="1" x14ac:dyDescent="0.25">
      <c r="A238" s="18" t="s">
        <v>1826</v>
      </c>
      <c r="B238" s="25" t="s">
        <v>488</v>
      </c>
      <c r="C238" s="12">
        <f t="shared" si="76"/>
        <v>2455097</v>
      </c>
      <c r="D238" s="20">
        <f t="shared" si="73"/>
        <v>0</v>
      </c>
      <c r="E238" s="20">
        <v>0</v>
      </c>
      <c r="F238" s="20">
        <v>0</v>
      </c>
      <c r="G238" s="20">
        <v>0</v>
      </c>
      <c r="H238" s="20">
        <v>0</v>
      </c>
      <c r="I238" s="20">
        <v>0</v>
      </c>
      <c r="J238" s="20">
        <v>0</v>
      </c>
      <c r="K238" s="21">
        <v>0</v>
      </c>
      <c r="L238" s="20">
        <v>0</v>
      </c>
      <c r="M238" s="20">
        <v>425.49</v>
      </c>
      <c r="N238" s="20">
        <f>M238*5300</f>
        <v>2255097</v>
      </c>
      <c r="O238" s="20">
        <v>0</v>
      </c>
      <c r="P238" s="20">
        <v>0</v>
      </c>
      <c r="Q238" s="20">
        <v>0</v>
      </c>
      <c r="R238" s="20">
        <v>0</v>
      </c>
      <c r="S238" s="20">
        <v>0</v>
      </c>
      <c r="T238" s="20">
        <v>0</v>
      </c>
      <c r="U238" s="20">
        <v>200000</v>
      </c>
      <c r="V238" s="1">
        <f t="shared" si="75"/>
        <v>5300</v>
      </c>
    </row>
    <row r="239" spans="1:22" ht="21.95" customHeight="1" x14ac:dyDescent="0.25">
      <c r="A239" s="18" t="s">
        <v>1827</v>
      </c>
      <c r="B239" s="25" t="s">
        <v>512</v>
      </c>
      <c r="C239" s="12">
        <f t="shared" si="76"/>
        <v>4381715</v>
      </c>
      <c r="D239" s="20">
        <f t="shared" si="73"/>
        <v>0</v>
      </c>
      <c r="E239" s="20">
        <v>0</v>
      </c>
      <c r="F239" s="20">
        <v>0</v>
      </c>
      <c r="G239" s="20">
        <v>0</v>
      </c>
      <c r="H239" s="20">
        <v>0</v>
      </c>
      <c r="I239" s="20">
        <v>0</v>
      </c>
      <c r="J239" s="20">
        <v>0</v>
      </c>
      <c r="K239" s="21">
        <v>0</v>
      </c>
      <c r="L239" s="20">
        <v>0</v>
      </c>
      <c r="M239" s="20">
        <v>472.2</v>
      </c>
      <c r="N239" s="20">
        <v>2502660</v>
      </c>
      <c r="O239" s="20">
        <v>0</v>
      </c>
      <c r="P239" s="20">
        <v>0</v>
      </c>
      <c r="Q239" s="20">
        <v>491</v>
      </c>
      <c r="R239" s="20">
        <v>1279055</v>
      </c>
      <c r="S239" s="20">
        <v>0</v>
      </c>
      <c r="T239" s="20">
        <v>0</v>
      </c>
      <c r="U239" s="20">
        <v>600000</v>
      </c>
      <c r="V239" s="1">
        <f t="shared" si="75"/>
        <v>5300</v>
      </c>
    </row>
    <row r="240" spans="1:22" ht="21.95" customHeight="1" x14ac:dyDescent="0.25">
      <c r="A240" s="18" t="s">
        <v>1828</v>
      </c>
      <c r="B240" s="25" t="s">
        <v>513</v>
      </c>
      <c r="C240" s="12">
        <f t="shared" si="76"/>
        <v>1834770</v>
      </c>
      <c r="D240" s="20">
        <f t="shared" si="73"/>
        <v>0</v>
      </c>
      <c r="E240" s="20">
        <v>0</v>
      </c>
      <c r="F240" s="20">
        <v>0</v>
      </c>
      <c r="G240" s="20">
        <v>0</v>
      </c>
      <c r="H240" s="20">
        <v>0</v>
      </c>
      <c r="I240" s="20">
        <v>0</v>
      </c>
      <c r="J240" s="20">
        <v>0</v>
      </c>
      <c r="K240" s="21">
        <v>0</v>
      </c>
      <c r="L240" s="20">
        <v>0</v>
      </c>
      <c r="M240" s="20">
        <v>0</v>
      </c>
      <c r="N240" s="20">
        <v>0</v>
      </c>
      <c r="O240" s="20">
        <v>0</v>
      </c>
      <c r="P240" s="20">
        <v>0</v>
      </c>
      <c r="Q240" s="20">
        <v>474</v>
      </c>
      <c r="R240" s="20">
        <v>1234770</v>
      </c>
      <c r="S240" s="20">
        <v>0</v>
      </c>
      <c r="T240" s="20">
        <v>0</v>
      </c>
      <c r="U240" s="20">
        <v>600000</v>
      </c>
      <c r="V240" s="1" t="e">
        <f t="shared" si="75"/>
        <v>#DIV/0!</v>
      </c>
    </row>
    <row r="241" spans="1:22" ht="21.95" customHeight="1" x14ac:dyDescent="0.25">
      <c r="A241" s="18" t="s">
        <v>1829</v>
      </c>
      <c r="B241" s="25" t="s">
        <v>489</v>
      </c>
      <c r="C241" s="12">
        <f t="shared" si="76"/>
        <v>6729600</v>
      </c>
      <c r="D241" s="20">
        <f t="shared" si="73"/>
        <v>0</v>
      </c>
      <c r="E241" s="20">
        <v>0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1">
        <v>0</v>
      </c>
      <c r="L241" s="20">
        <v>0</v>
      </c>
      <c r="M241" s="20">
        <v>1232</v>
      </c>
      <c r="N241" s="20">
        <v>6529600</v>
      </c>
      <c r="O241" s="20">
        <v>0</v>
      </c>
      <c r="P241" s="20">
        <v>0</v>
      </c>
      <c r="Q241" s="20">
        <v>0</v>
      </c>
      <c r="R241" s="20">
        <v>0</v>
      </c>
      <c r="S241" s="20">
        <v>0</v>
      </c>
      <c r="T241" s="20">
        <v>0</v>
      </c>
      <c r="U241" s="20">
        <v>200000</v>
      </c>
      <c r="V241" s="1">
        <f t="shared" si="75"/>
        <v>5300</v>
      </c>
    </row>
    <row r="242" spans="1:22" ht="21.95" customHeight="1" x14ac:dyDescent="0.25">
      <c r="A242" s="18" t="s">
        <v>1830</v>
      </c>
      <c r="B242" s="32" t="s">
        <v>1421</v>
      </c>
      <c r="C242" s="12">
        <f t="shared" si="76"/>
        <v>731420</v>
      </c>
      <c r="D242" s="20">
        <f t="shared" si="73"/>
        <v>0</v>
      </c>
      <c r="E242" s="20">
        <v>0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1">
        <v>0</v>
      </c>
      <c r="L242" s="20">
        <v>0</v>
      </c>
      <c r="M242" s="20">
        <v>0</v>
      </c>
      <c r="N242" s="20">
        <v>0</v>
      </c>
      <c r="O242" s="20">
        <v>110.2</v>
      </c>
      <c r="P242" s="20">
        <v>231420</v>
      </c>
      <c r="Q242" s="20">
        <v>0</v>
      </c>
      <c r="R242" s="20">
        <v>0</v>
      </c>
      <c r="S242" s="20">
        <v>0</v>
      </c>
      <c r="T242" s="20">
        <v>0</v>
      </c>
      <c r="U242" s="20">
        <v>500000</v>
      </c>
      <c r="V242" s="1" t="e">
        <f t="shared" si="75"/>
        <v>#DIV/0!</v>
      </c>
    </row>
    <row r="243" spans="1:22" ht="21.95" customHeight="1" x14ac:dyDescent="0.25">
      <c r="A243" s="18" t="s">
        <v>1831</v>
      </c>
      <c r="B243" s="25" t="s">
        <v>401</v>
      </c>
      <c r="C243" s="12">
        <f>D243+L243+N243+P243+R243+S243+T243+U243</f>
        <v>3567080</v>
      </c>
      <c r="D243" s="20">
        <f>SUM(E243:J243)</f>
        <v>3367080</v>
      </c>
      <c r="E243" s="20">
        <f>350*1432.8</f>
        <v>501480</v>
      </c>
      <c r="F243" s="20">
        <f>800*1432.8</f>
        <v>1146240</v>
      </c>
      <c r="G243" s="20">
        <f>300*1432.8</f>
        <v>429840</v>
      </c>
      <c r="H243" s="20">
        <f>500*1432.8</f>
        <v>716400</v>
      </c>
      <c r="I243" s="20">
        <f>400*1432.8</f>
        <v>573120</v>
      </c>
      <c r="J243" s="20">
        <f>800*0</f>
        <v>0</v>
      </c>
      <c r="K243" s="21">
        <v>0</v>
      </c>
      <c r="L243" s="20">
        <v>0</v>
      </c>
      <c r="M243" s="20">
        <v>0</v>
      </c>
      <c r="N243" s="20">
        <v>0</v>
      </c>
      <c r="O243" s="20">
        <v>0</v>
      </c>
      <c r="P243" s="20">
        <v>0</v>
      </c>
      <c r="Q243" s="20">
        <v>0</v>
      </c>
      <c r="R243" s="20">
        <v>0</v>
      </c>
      <c r="S243" s="20">
        <v>0</v>
      </c>
      <c r="T243" s="20">
        <v>0</v>
      </c>
      <c r="U243" s="20">
        <v>200000</v>
      </c>
      <c r="V243" s="1" t="e">
        <f>N243/M243</f>
        <v>#DIV/0!</v>
      </c>
    </row>
    <row r="244" spans="1:22" ht="21.95" customHeight="1" x14ac:dyDescent="0.25">
      <c r="A244" s="18" t="s">
        <v>1832</v>
      </c>
      <c r="B244" s="25" t="s">
        <v>505</v>
      </c>
      <c r="C244" s="12">
        <f t="shared" si="76"/>
        <v>3867600</v>
      </c>
      <c r="D244" s="20">
        <f t="shared" si="73"/>
        <v>0</v>
      </c>
      <c r="E244" s="20">
        <v>0</v>
      </c>
      <c r="F244" s="20">
        <v>0</v>
      </c>
      <c r="G244" s="20">
        <v>0</v>
      </c>
      <c r="H244" s="20">
        <v>0</v>
      </c>
      <c r="I244" s="20">
        <v>0</v>
      </c>
      <c r="J244" s="20">
        <v>0</v>
      </c>
      <c r="K244" s="21">
        <v>0</v>
      </c>
      <c r="L244" s="20">
        <v>0</v>
      </c>
      <c r="M244" s="20">
        <v>692</v>
      </c>
      <c r="N244" s="20">
        <v>3667600</v>
      </c>
      <c r="O244" s="20">
        <v>0</v>
      </c>
      <c r="P244" s="20">
        <v>0</v>
      </c>
      <c r="Q244" s="20">
        <v>0</v>
      </c>
      <c r="R244" s="20">
        <v>0</v>
      </c>
      <c r="S244" s="20">
        <v>0</v>
      </c>
      <c r="T244" s="20">
        <v>0</v>
      </c>
      <c r="U244" s="20">
        <v>200000</v>
      </c>
      <c r="V244" s="1">
        <f t="shared" si="75"/>
        <v>5300</v>
      </c>
    </row>
    <row r="245" spans="1:22" ht="21.95" customHeight="1" x14ac:dyDescent="0.25">
      <c r="A245" s="18" t="s">
        <v>1833</v>
      </c>
      <c r="B245" s="25" t="s">
        <v>434</v>
      </c>
      <c r="C245" s="12">
        <f t="shared" si="76"/>
        <v>2846680</v>
      </c>
      <c r="D245" s="20">
        <f t="shared" si="73"/>
        <v>0</v>
      </c>
      <c r="E245" s="20">
        <v>0</v>
      </c>
      <c r="F245" s="20">
        <v>0</v>
      </c>
      <c r="G245" s="20">
        <v>0</v>
      </c>
      <c r="H245" s="20">
        <v>0</v>
      </c>
      <c r="I245" s="20">
        <v>0</v>
      </c>
      <c r="J245" s="20">
        <v>0</v>
      </c>
      <c r="K245" s="21">
        <v>0</v>
      </c>
      <c r="L245" s="20">
        <v>0</v>
      </c>
      <c r="M245" s="20">
        <v>0</v>
      </c>
      <c r="N245" s="20">
        <v>0</v>
      </c>
      <c r="O245" s="20">
        <v>0</v>
      </c>
      <c r="P245" s="20">
        <v>0</v>
      </c>
      <c r="Q245" s="20">
        <v>1016</v>
      </c>
      <c r="R245" s="20">
        <v>2646680</v>
      </c>
      <c r="S245" s="20">
        <v>0</v>
      </c>
      <c r="T245" s="20">
        <v>0</v>
      </c>
      <c r="U245" s="20">
        <v>200000</v>
      </c>
      <c r="V245" s="1" t="e">
        <f t="shared" si="75"/>
        <v>#DIV/0!</v>
      </c>
    </row>
    <row r="246" spans="1:22" ht="21.95" customHeight="1" x14ac:dyDescent="0.25">
      <c r="A246" s="18" t="s">
        <v>1834</v>
      </c>
      <c r="B246" s="32" t="s">
        <v>1459</v>
      </c>
      <c r="C246" s="12">
        <f t="shared" si="76"/>
        <v>4700000</v>
      </c>
      <c r="D246" s="20">
        <f t="shared" si="73"/>
        <v>0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1">
        <v>2</v>
      </c>
      <c r="L246" s="20">
        <f>K246*2150000</f>
        <v>4300000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  <c r="S246" s="20">
        <v>0</v>
      </c>
      <c r="T246" s="20">
        <v>0</v>
      </c>
      <c r="U246" s="20">
        <v>400000</v>
      </c>
      <c r="V246" s="1" t="e">
        <f t="shared" si="75"/>
        <v>#DIV/0!</v>
      </c>
    </row>
    <row r="247" spans="1:22" ht="21.95" customHeight="1" x14ac:dyDescent="0.25">
      <c r="A247" s="18" t="s">
        <v>1835</v>
      </c>
      <c r="B247" s="32" t="s">
        <v>1431</v>
      </c>
      <c r="C247" s="12">
        <f t="shared" si="76"/>
        <v>6843397.9299999997</v>
      </c>
      <c r="D247" s="20">
        <f t="shared" si="73"/>
        <v>0</v>
      </c>
      <c r="E247" s="20">
        <v>0</v>
      </c>
      <c r="F247" s="20">
        <v>0</v>
      </c>
      <c r="G247" s="20">
        <v>0</v>
      </c>
      <c r="H247" s="20">
        <v>0</v>
      </c>
      <c r="I247" s="20">
        <v>0</v>
      </c>
      <c r="J247" s="20">
        <v>0</v>
      </c>
      <c r="K247" s="21">
        <v>0</v>
      </c>
      <c r="L247" s="20">
        <v>0</v>
      </c>
      <c r="M247" s="20">
        <v>456.13</v>
      </c>
      <c r="N247" s="20">
        <v>2417489</v>
      </c>
      <c r="O247" s="20">
        <v>0</v>
      </c>
      <c r="P247" s="20">
        <v>0</v>
      </c>
      <c r="Q247" s="20">
        <v>1359</v>
      </c>
      <c r="R247" s="20">
        <v>3540195</v>
      </c>
      <c r="S247" s="20">
        <v>237930</v>
      </c>
      <c r="T247" s="20">
        <v>0</v>
      </c>
      <c r="U247" s="20">
        <v>647783.93000000005</v>
      </c>
      <c r="V247" s="1">
        <f t="shared" si="75"/>
        <v>5300</v>
      </c>
    </row>
    <row r="248" spans="1:22" ht="21.95" customHeight="1" x14ac:dyDescent="0.25">
      <c r="A248" s="18" t="s">
        <v>1836</v>
      </c>
      <c r="B248" s="32" t="s">
        <v>1415</v>
      </c>
      <c r="C248" s="12">
        <f t="shared" si="76"/>
        <v>4427300</v>
      </c>
      <c r="D248" s="20">
        <f t="shared" si="73"/>
        <v>0</v>
      </c>
      <c r="E248" s="20">
        <v>0</v>
      </c>
      <c r="F248" s="20">
        <v>0</v>
      </c>
      <c r="G248" s="20">
        <v>0</v>
      </c>
      <c r="H248" s="20">
        <v>0</v>
      </c>
      <c r="I248" s="20">
        <v>0</v>
      </c>
      <c r="J248" s="20">
        <v>0</v>
      </c>
      <c r="K248" s="21">
        <v>0</v>
      </c>
      <c r="L248" s="20">
        <v>0</v>
      </c>
      <c r="M248" s="20">
        <v>741</v>
      </c>
      <c r="N248" s="20">
        <v>3927300</v>
      </c>
      <c r="O248" s="20">
        <v>0</v>
      </c>
      <c r="P248" s="20">
        <v>0</v>
      </c>
      <c r="Q248" s="20">
        <v>0</v>
      </c>
      <c r="R248" s="20">
        <v>0</v>
      </c>
      <c r="S248" s="20">
        <v>0</v>
      </c>
      <c r="T248" s="20">
        <v>0</v>
      </c>
      <c r="U248" s="20">
        <v>500000</v>
      </c>
      <c r="V248" s="1">
        <f t="shared" si="75"/>
        <v>5300</v>
      </c>
    </row>
    <row r="249" spans="1:22" ht="21.95" customHeight="1" x14ac:dyDescent="0.25">
      <c r="A249" s="18" t="s">
        <v>1837</v>
      </c>
      <c r="B249" s="25" t="s">
        <v>421</v>
      </c>
      <c r="C249" s="12">
        <f t="shared" si="76"/>
        <v>300000</v>
      </c>
      <c r="D249" s="20">
        <f t="shared" si="73"/>
        <v>0</v>
      </c>
      <c r="E249" s="20">
        <v>0</v>
      </c>
      <c r="F249" s="20">
        <v>0</v>
      </c>
      <c r="G249" s="20">
        <v>0</v>
      </c>
      <c r="H249" s="20">
        <v>0</v>
      </c>
      <c r="I249" s="20">
        <v>0</v>
      </c>
      <c r="J249" s="20">
        <v>0</v>
      </c>
      <c r="K249" s="21">
        <v>0</v>
      </c>
      <c r="L249" s="20">
        <v>0</v>
      </c>
      <c r="M249" s="20">
        <v>0</v>
      </c>
      <c r="N249" s="20">
        <v>0</v>
      </c>
      <c r="O249" s="20">
        <v>0</v>
      </c>
      <c r="P249" s="20">
        <v>0</v>
      </c>
      <c r="Q249" s="20">
        <v>0</v>
      </c>
      <c r="R249" s="20">
        <v>0</v>
      </c>
      <c r="S249" s="20">
        <v>0</v>
      </c>
      <c r="T249" s="20">
        <v>0</v>
      </c>
      <c r="U249" s="20">
        <v>300000</v>
      </c>
      <c r="V249" s="1" t="e">
        <f t="shared" si="75"/>
        <v>#DIV/0!</v>
      </c>
    </row>
    <row r="250" spans="1:22" ht="21.95" customHeight="1" x14ac:dyDescent="0.25">
      <c r="A250" s="18" t="s">
        <v>1838</v>
      </c>
      <c r="B250" s="25" t="s">
        <v>406</v>
      </c>
      <c r="C250" s="12">
        <f t="shared" si="76"/>
        <v>4794250</v>
      </c>
      <c r="D250" s="20">
        <f t="shared" si="73"/>
        <v>4594250</v>
      </c>
      <c r="E250" s="20">
        <f>350*1955</f>
        <v>684250</v>
      </c>
      <c r="F250" s="20">
        <f>800*1955</f>
        <v>1564000</v>
      </c>
      <c r="G250" s="20">
        <f>300*1955</f>
        <v>586500</v>
      </c>
      <c r="H250" s="20">
        <f>500*1955</f>
        <v>977500</v>
      </c>
      <c r="I250" s="20">
        <f>400*1955</f>
        <v>782000</v>
      </c>
      <c r="J250" s="20">
        <f>350*0</f>
        <v>0</v>
      </c>
      <c r="K250" s="21">
        <v>0</v>
      </c>
      <c r="L250" s="20">
        <v>0</v>
      </c>
      <c r="M250" s="20">
        <v>0</v>
      </c>
      <c r="N250" s="20">
        <v>0</v>
      </c>
      <c r="O250" s="20">
        <v>0</v>
      </c>
      <c r="P250" s="20">
        <v>0</v>
      </c>
      <c r="Q250" s="20">
        <v>0</v>
      </c>
      <c r="R250" s="20">
        <v>0</v>
      </c>
      <c r="S250" s="20">
        <v>0</v>
      </c>
      <c r="T250" s="20">
        <v>0</v>
      </c>
      <c r="U250" s="20">
        <v>200000</v>
      </c>
      <c r="V250" s="1" t="e">
        <f t="shared" si="75"/>
        <v>#DIV/0!</v>
      </c>
    </row>
    <row r="251" spans="1:22" ht="21.95" customHeight="1" x14ac:dyDescent="0.25">
      <c r="A251" s="18" t="s">
        <v>1839</v>
      </c>
      <c r="B251" s="25" t="s">
        <v>506</v>
      </c>
      <c r="C251" s="12">
        <f t="shared" si="76"/>
        <v>20476560</v>
      </c>
      <c r="D251" s="20">
        <f t="shared" si="73"/>
        <v>8436500</v>
      </c>
      <c r="E251" s="20">
        <f>350*3590</f>
        <v>1256500</v>
      </c>
      <c r="F251" s="20">
        <f>800*3590</f>
        <v>2872000</v>
      </c>
      <c r="G251" s="20">
        <f>300*3590</f>
        <v>1077000</v>
      </c>
      <c r="H251" s="20">
        <f>500*3590</f>
        <v>1795000</v>
      </c>
      <c r="I251" s="20">
        <f>400*3590</f>
        <v>1436000</v>
      </c>
      <c r="J251" s="20">
        <f>350*0</f>
        <v>0</v>
      </c>
      <c r="K251" s="21">
        <v>0</v>
      </c>
      <c r="L251" s="20">
        <v>0</v>
      </c>
      <c r="M251" s="20">
        <v>1005.2</v>
      </c>
      <c r="N251" s="20">
        <f>M251*5300</f>
        <v>5327560</v>
      </c>
      <c r="O251" s="20">
        <v>0</v>
      </c>
      <c r="P251" s="20">
        <v>0</v>
      </c>
      <c r="Q251" s="20">
        <v>2500</v>
      </c>
      <c r="R251" s="20">
        <v>6512500</v>
      </c>
      <c r="S251" s="20">
        <v>0</v>
      </c>
      <c r="T251" s="20">
        <v>0</v>
      </c>
      <c r="U251" s="20">
        <v>200000</v>
      </c>
      <c r="V251" s="1">
        <f t="shared" si="75"/>
        <v>5300</v>
      </c>
    </row>
    <row r="252" spans="1:22" ht="21.95" customHeight="1" x14ac:dyDescent="0.25">
      <c r="A252" s="18" t="s">
        <v>1840</v>
      </c>
      <c r="B252" s="25" t="s">
        <v>835</v>
      </c>
      <c r="C252" s="12">
        <f t="shared" si="76"/>
        <v>28694690</v>
      </c>
      <c r="D252" s="20">
        <f t="shared" si="73"/>
        <v>12969180</v>
      </c>
      <c r="E252" s="20">
        <f>350*5518.8</f>
        <v>1931580</v>
      </c>
      <c r="F252" s="20">
        <f>800*5518.8</f>
        <v>4415040</v>
      </c>
      <c r="G252" s="20">
        <f>300*5518.8</f>
        <v>1655640</v>
      </c>
      <c r="H252" s="20">
        <f>500*5518.8</f>
        <v>2759400</v>
      </c>
      <c r="I252" s="20">
        <f>400*5518.8</f>
        <v>2207520</v>
      </c>
      <c r="J252" s="20">
        <f>350*0</f>
        <v>0</v>
      </c>
      <c r="K252" s="21">
        <v>2</v>
      </c>
      <c r="L252" s="20">
        <v>4300000</v>
      </c>
      <c r="M252" s="8">
        <v>613.20000000000005</v>
      </c>
      <c r="N252" s="8">
        <v>2023560</v>
      </c>
      <c r="O252" s="20">
        <v>819.8</v>
      </c>
      <c r="P252" s="20">
        <v>983760</v>
      </c>
      <c r="Q252" s="20">
        <v>3078</v>
      </c>
      <c r="R252" s="20">
        <v>8018190</v>
      </c>
      <c r="S252" s="20">
        <v>0</v>
      </c>
      <c r="T252" s="20">
        <v>0</v>
      </c>
      <c r="U252" s="20">
        <v>400000</v>
      </c>
      <c r="V252" s="1">
        <f t="shared" si="75"/>
        <v>3299.9999999999995</v>
      </c>
    </row>
    <row r="253" spans="1:22" ht="21.95" customHeight="1" x14ac:dyDescent="0.25">
      <c r="A253" s="18" t="s">
        <v>1841</v>
      </c>
      <c r="B253" s="25" t="s">
        <v>413</v>
      </c>
      <c r="C253" s="12">
        <f t="shared" si="76"/>
        <v>2450000</v>
      </c>
      <c r="D253" s="20">
        <f t="shared" si="73"/>
        <v>0</v>
      </c>
      <c r="E253" s="20">
        <v>0</v>
      </c>
      <c r="F253" s="20">
        <v>0</v>
      </c>
      <c r="G253" s="20">
        <v>0</v>
      </c>
      <c r="H253" s="20">
        <f>800*0</f>
        <v>0</v>
      </c>
      <c r="I253" s="20">
        <v>0</v>
      </c>
      <c r="J253" s="20">
        <f>800*0</f>
        <v>0</v>
      </c>
      <c r="K253" s="21">
        <v>0</v>
      </c>
      <c r="L253" s="20">
        <v>0</v>
      </c>
      <c r="M253" s="20">
        <v>0</v>
      </c>
      <c r="N253" s="20">
        <v>0</v>
      </c>
      <c r="O253" s="20">
        <v>0</v>
      </c>
      <c r="P253" s="20">
        <v>0</v>
      </c>
      <c r="Q253" s="20">
        <v>750</v>
      </c>
      <c r="R253" s="20">
        <v>2250000</v>
      </c>
      <c r="S253" s="20">
        <v>0</v>
      </c>
      <c r="T253" s="20">
        <v>0</v>
      </c>
      <c r="U253" s="20">
        <v>200000</v>
      </c>
      <c r="V253" s="1" t="e">
        <f t="shared" si="75"/>
        <v>#DIV/0!</v>
      </c>
    </row>
    <row r="254" spans="1:22" ht="21.95" customHeight="1" x14ac:dyDescent="0.25">
      <c r="A254" s="18" t="s">
        <v>1842</v>
      </c>
      <c r="B254" s="25" t="s">
        <v>381</v>
      </c>
      <c r="C254" s="12">
        <f t="shared" si="76"/>
        <v>6378060</v>
      </c>
      <c r="D254" s="20">
        <f t="shared" si="73"/>
        <v>0</v>
      </c>
      <c r="E254" s="20">
        <v>0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1">
        <v>0</v>
      </c>
      <c r="L254" s="20">
        <v>0</v>
      </c>
      <c r="M254" s="20">
        <v>1090.2</v>
      </c>
      <c r="N254" s="20">
        <v>5778060</v>
      </c>
      <c r="O254" s="20">
        <v>0</v>
      </c>
      <c r="P254" s="20">
        <v>0</v>
      </c>
      <c r="Q254" s="20">
        <v>0</v>
      </c>
      <c r="R254" s="20">
        <v>0</v>
      </c>
      <c r="S254" s="20">
        <v>0</v>
      </c>
      <c r="T254" s="20">
        <v>0</v>
      </c>
      <c r="U254" s="20">
        <v>600000</v>
      </c>
      <c r="V254" s="1">
        <f t="shared" si="75"/>
        <v>5300</v>
      </c>
    </row>
    <row r="255" spans="1:22" ht="21.95" customHeight="1" x14ac:dyDescent="0.25">
      <c r="A255" s="18" t="s">
        <v>1843</v>
      </c>
      <c r="B255" s="32" t="s">
        <v>1408</v>
      </c>
      <c r="C255" s="12">
        <f t="shared" si="76"/>
        <v>4056177.6</v>
      </c>
      <c r="D255" s="20">
        <f t="shared" si="73"/>
        <v>0</v>
      </c>
      <c r="E255" s="20">
        <v>0</v>
      </c>
      <c r="F255" s="20">
        <v>0</v>
      </c>
      <c r="G255" s="20">
        <v>0</v>
      </c>
      <c r="H255" s="20">
        <v>0</v>
      </c>
      <c r="I255" s="20">
        <v>0</v>
      </c>
      <c r="J255" s="20">
        <v>0</v>
      </c>
      <c r="K255" s="21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  <c r="Q255" s="20">
        <v>1410</v>
      </c>
      <c r="R255" s="20">
        <v>4056177.6</v>
      </c>
      <c r="S255" s="20">
        <v>0</v>
      </c>
      <c r="T255" s="20">
        <v>0</v>
      </c>
      <c r="U255" s="20">
        <v>0</v>
      </c>
      <c r="V255" s="1" t="e">
        <f t="shared" si="75"/>
        <v>#DIV/0!</v>
      </c>
    </row>
    <row r="256" spans="1:22" ht="21.95" customHeight="1" x14ac:dyDescent="0.25">
      <c r="A256" s="18" t="s">
        <v>1844</v>
      </c>
      <c r="B256" s="32" t="s">
        <v>1434</v>
      </c>
      <c r="C256" s="12">
        <f t="shared" si="76"/>
        <v>3368829.6</v>
      </c>
      <c r="D256" s="20">
        <f t="shared" ref="D256:D293" si="77">SUM(E256:J256)</f>
        <v>0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1">
        <v>0</v>
      </c>
      <c r="L256" s="20">
        <v>0</v>
      </c>
      <c r="M256" s="20">
        <v>1546.91</v>
      </c>
      <c r="N256" s="20">
        <v>3368829.6</v>
      </c>
      <c r="O256" s="20">
        <v>0</v>
      </c>
      <c r="P256" s="20">
        <v>0</v>
      </c>
      <c r="Q256" s="20">
        <v>0</v>
      </c>
      <c r="R256" s="20">
        <v>0</v>
      </c>
      <c r="S256" s="20">
        <v>0</v>
      </c>
      <c r="T256" s="20">
        <v>0</v>
      </c>
      <c r="U256" s="20">
        <v>0</v>
      </c>
      <c r="V256" s="1">
        <f t="shared" si="75"/>
        <v>2177.779961342289</v>
      </c>
    </row>
    <row r="257" spans="1:22" ht="21.95" customHeight="1" x14ac:dyDescent="0.25">
      <c r="A257" s="18" t="s">
        <v>1845</v>
      </c>
      <c r="B257" s="32" t="s">
        <v>1432</v>
      </c>
      <c r="C257" s="12">
        <f t="shared" ref="C257:C317" si="78">D257+L257+N257+P257+R257+S257+T257+U257</f>
        <v>4094663</v>
      </c>
      <c r="D257" s="20">
        <f t="shared" si="77"/>
        <v>4094663</v>
      </c>
      <c r="E257" s="20">
        <v>447033</v>
      </c>
      <c r="F257" s="20">
        <v>3235522</v>
      </c>
      <c r="G257" s="20">
        <v>116023</v>
      </c>
      <c r="H257" s="20">
        <v>249586</v>
      </c>
      <c r="I257" s="20">
        <v>46499</v>
      </c>
      <c r="J257" s="20">
        <f>350*0</f>
        <v>0</v>
      </c>
      <c r="K257" s="21">
        <v>0</v>
      </c>
      <c r="L257" s="20">
        <v>0</v>
      </c>
      <c r="M257" s="20">
        <v>0</v>
      </c>
      <c r="N257" s="20">
        <v>0</v>
      </c>
      <c r="O257" s="20">
        <v>0</v>
      </c>
      <c r="P257" s="20">
        <v>0</v>
      </c>
      <c r="Q257" s="20">
        <v>0</v>
      </c>
      <c r="R257" s="20">
        <v>0</v>
      </c>
      <c r="S257" s="20">
        <v>0</v>
      </c>
      <c r="T257" s="20">
        <v>0</v>
      </c>
      <c r="U257" s="20">
        <v>0</v>
      </c>
      <c r="V257" s="1" t="e">
        <f t="shared" si="75"/>
        <v>#DIV/0!</v>
      </c>
    </row>
    <row r="258" spans="1:22" ht="21.95" customHeight="1" x14ac:dyDescent="0.25">
      <c r="A258" s="18" t="s">
        <v>1846</v>
      </c>
      <c r="B258" s="32" t="s">
        <v>1414</v>
      </c>
      <c r="C258" s="12">
        <f t="shared" si="78"/>
        <v>2154607</v>
      </c>
      <c r="D258" s="20">
        <f t="shared" si="77"/>
        <v>0</v>
      </c>
      <c r="E258" s="20">
        <v>0</v>
      </c>
      <c r="F258" s="20">
        <v>0</v>
      </c>
      <c r="G258" s="20">
        <v>0</v>
      </c>
      <c r="H258" s="20">
        <v>0</v>
      </c>
      <c r="I258" s="20">
        <v>0</v>
      </c>
      <c r="J258" s="20">
        <v>0</v>
      </c>
      <c r="K258" s="21">
        <v>0</v>
      </c>
      <c r="L258" s="20">
        <v>0</v>
      </c>
      <c r="M258" s="20">
        <v>312.19</v>
      </c>
      <c r="N258" s="20">
        <v>1654607</v>
      </c>
      <c r="O258" s="20">
        <v>0</v>
      </c>
      <c r="P258" s="20">
        <v>0</v>
      </c>
      <c r="Q258" s="20">
        <v>0</v>
      </c>
      <c r="R258" s="20">
        <v>0</v>
      </c>
      <c r="S258" s="20">
        <v>0</v>
      </c>
      <c r="T258" s="20">
        <v>0</v>
      </c>
      <c r="U258" s="20">
        <v>500000</v>
      </c>
      <c r="V258" s="1">
        <f t="shared" si="75"/>
        <v>5300</v>
      </c>
    </row>
    <row r="259" spans="1:22" ht="21.95" customHeight="1" x14ac:dyDescent="0.25">
      <c r="A259" s="18" t="s">
        <v>1847</v>
      </c>
      <c r="B259" s="25" t="s">
        <v>449</v>
      </c>
      <c r="C259" s="12">
        <f t="shared" si="78"/>
        <v>500825</v>
      </c>
      <c r="D259" s="20">
        <f t="shared" si="77"/>
        <v>300825</v>
      </c>
      <c r="E259" s="20">
        <f>350*859.5</f>
        <v>300825</v>
      </c>
      <c r="F259" s="20">
        <f>800*0</f>
        <v>0</v>
      </c>
      <c r="G259" s="20">
        <v>0</v>
      </c>
      <c r="H259" s="20">
        <f>500*0</f>
        <v>0</v>
      </c>
      <c r="I259" s="20">
        <v>0</v>
      </c>
      <c r="J259" s="20">
        <f>800*0</f>
        <v>0</v>
      </c>
      <c r="K259" s="21">
        <v>0</v>
      </c>
      <c r="L259" s="20">
        <v>0</v>
      </c>
      <c r="M259" s="20">
        <v>0</v>
      </c>
      <c r="N259" s="20">
        <v>0</v>
      </c>
      <c r="O259" s="20">
        <v>0</v>
      </c>
      <c r="P259" s="20">
        <v>0</v>
      </c>
      <c r="Q259" s="20">
        <v>0</v>
      </c>
      <c r="R259" s="20">
        <v>0</v>
      </c>
      <c r="S259" s="20">
        <v>0</v>
      </c>
      <c r="T259" s="20">
        <v>0</v>
      </c>
      <c r="U259" s="20">
        <v>200000</v>
      </c>
      <c r="V259" s="1" t="e">
        <f t="shared" ref="V259:V293" si="79">N259/M259</f>
        <v>#DIV/0!</v>
      </c>
    </row>
    <row r="260" spans="1:22" ht="21.95" customHeight="1" x14ac:dyDescent="0.25">
      <c r="A260" s="18" t="s">
        <v>1848</v>
      </c>
      <c r="B260" s="25" t="s">
        <v>455</v>
      </c>
      <c r="C260" s="12">
        <f t="shared" si="78"/>
        <v>1578000</v>
      </c>
      <c r="D260" s="20">
        <f t="shared" si="77"/>
        <v>0</v>
      </c>
      <c r="E260" s="20">
        <v>0</v>
      </c>
      <c r="F260" s="20">
        <v>0</v>
      </c>
      <c r="G260" s="20">
        <v>0</v>
      </c>
      <c r="H260" s="20">
        <v>0</v>
      </c>
      <c r="I260" s="20">
        <v>0</v>
      </c>
      <c r="J260" s="20">
        <v>0</v>
      </c>
      <c r="K260" s="21">
        <v>0</v>
      </c>
      <c r="L260" s="20">
        <v>0</v>
      </c>
      <c r="M260" s="20">
        <v>260</v>
      </c>
      <c r="N260" s="20">
        <f>M260*5300</f>
        <v>1378000</v>
      </c>
      <c r="O260" s="20">
        <v>0</v>
      </c>
      <c r="P260" s="20">
        <v>0</v>
      </c>
      <c r="Q260" s="20">
        <v>0</v>
      </c>
      <c r="R260" s="20">
        <v>0</v>
      </c>
      <c r="S260" s="20">
        <v>0</v>
      </c>
      <c r="T260" s="20">
        <v>0</v>
      </c>
      <c r="U260" s="20">
        <v>200000</v>
      </c>
      <c r="V260" s="1">
        <f t="shared" si="79"/>
        <v>5300</v>
      </c>
    </row>
    <row r="261" spans="1:22" ht="21.95" customHeight="1" x14ac:dyDescent="0.25">
      <c r="A261" s="18" t="s">
        <v>1849</v>
      </c>
      <c r="B261" s="25" t="s">
        <v>459</v>
      </c>
      <c r="C261" s="12">
        <f t="shared" si="78"/>
        <v>4000100</v>
      </c>
      <c r="D261" s="20">
        <f t="shared" si="77"/>
        <v>0</v>
      </c>
      <c r="E261" s="20">
        <v>0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1">
        <v>0</v>
      </c>
      <c r="L261" s="20">
        <v>0</v>
      </c>
      <c r="M261" s="20">
        <v>717</v>
      </c>
      <c r="N261" s="20">
        <f>M261*5300</f>
        <v>3800100</v>
      </c>
      <c r="O261" s="20">
        <v>0</v>
      </c>
      <c r="P261" s="20">
        <v>0</v>
      </c>
      <c r="Q261" s="20">
        <v>0</v>
      </c>
      <c r="R261" s="20">
        <v>0</v>
      </c>
      <c r="S261" s="20">
        <v>0</v>
      </c>
      <c r="T261" s="20">
        <v>0</v>
      </c>
      <c r="U261" s="20">
        <v>200000</v>
      </c>
      <c r="V261" s="1">
        <f t="shared" si="79"/>
        <v>5300</v>
      </c>
    </row>
    <row r="262" spans="1:22" ht="21.95" customHeight="1" x14ac:dyDescent="0.25">
      <c r="A262" s="18" t="s">
        <v>1850</v>
      </c>
      <c r="B262" s="32" t="s">
        <v>1424</v>
      </c>
      <c r="C262" s="12">
        <f t="shared" si="78"/>
        <v>4157000</v>
      </c>
      <c r="D262" s="20">
        <f t="shared" si="77"/>
        <v>0</v>
      </c>
      <c r="E262" s="20">
        <v>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1">
        <v>0</v>
      </c>
      <c r="L262" s="20">
        <v>0</v>
      </c>
      <c r="M262" s="20">
        <v>690</v>
      </c>
      <c r="N262" s="20">
        <v>3657000</v>
      </c>
      <c r="O262" s="20">
        <v>0</v>
      </c>
      <c r="P262" s="20">
        <v>0</v>
      </c>
      <c r="Q262" s="20">
        <v>0</v>
      </c>
      <c r="R262" s="20">
        <v>0</v>
      </c>
      <c r="S262" s="20">
        <v>0</v>
      </c>
      <c r="T262" s="20">
        <v>0</v>
      </c>
      <c r="U262" s="20">
        <v>500000</v>
      </c>
      <c r="V262" s="1">
        <f t="shared" si="79"/>
        <v>5300</v>
      </c>
    </row>
    <row r="263" spans="1:22" ht="21.95" customHeight="1" x14ac:dyDescent="0.25">
      <c r="A263" s="18" t="s">
        <v>1851</v>
      </c>
      <c r="B263" s="25" t="s">
        <v>440</v>
      </c>
      <c r="C263" s="12">
        <f t="shared" si="78"/>
        <v>300000</v>
      </c>
      <c r="D263" s="20">
        <f t="shared" si="77"/>
        <v>0</v>
      </c>
      <c r="E263" s="20">
        <v>0</v>
      </c>
      <c r="F263" s="20">
        <v>0</v>
      </c>
      <c r="G263" s="20">
        <v>0</v>
      </c>
      <c r="H263" s="20">
        <v>0</v>
      </c>
      <c r="I263" s="20">
        <v>0</v>
      </c>
      <c r="J263" s="20">
        <v>0</v>
      </c>
      <c r="K263" s="21">
        <v>0</v>
      </c>
      <c r="L263" s="20">
        <v>0</v>
      </c>
      <c r="M263" s="20">
        <v>0</v>
      </c>
      <c r="N263" s="20">
        <v>0</v>
      </c>
      <c r="O263" s="20">
        <v>0</v>
      </c>
      <c r="P263" s="20">
        <v>0</v>
      </c>
      <c r="Q263" s="20">
        <v>0</v>
      </c>
      <c r="R263" s="20">
        <v>0</v>
      </c>
      <c r="S263" s="20">
        <v>0</v>
      </c>
      <c r="T263" s="20">
        <v>0</v>
      </c>
      <c r="U263" s="20">
        <v>300000</v>
      </c>
      <c r="V263" s="1" t="e">
        <f t="shared" si="79"/>
        <v>#DIV/0!</v>
      </c>
    </row>
    <row r="264" spans="1:22" ht="21.95" customHeight="1" x14ac:dyDescent="0.25">
      <c r="A264" s="18" t="s">
        <v>1852</v>
      </c>
      <c r="B264" s="31" t="s">
        <v>460</v>
      </c>
      <c r="C264" s="12">
        <f t="shared" si="78"/>
        <v>6391460</v>
      </c>
      <c r="D264" s="20">
        <f t="shared" si="77"/>
        <v>0</v>
      </c>
      <c r="E264" s="20">
        <v>0</v>
      </c>
      <c r="F264" s="20">
        <v>0</v>
      </c>
      <c r="G264" s="20">
        <v>0</v>
      </c>
      <c r="H264" s="20">
        <v>0</v>
      </c>
      <c r="I264" s="20">
        <v>0</v>
      </c>
      <c r="J264" s="20">
        <v>0</v>
      </c>
      <c r="K264" s="21">
        <v>0</v>
      </c>
      <c r="L264" s="20">
        <v>0</v>
      </c>
      <c r="M264" s="20">
        <v>1168.2</v>
      </c>
      <c r="N264" s="20">
        <v>6191460</v>
      </c>
      <c r="O264" s="20">
        <v>0</v>
      </c>
      <c r="P264" s="20">
        <v>0</v>
      </c>
      <c r="Q264" s="20">
        <v>0</v>
      </c>
      <c r="R264" s="20">
        <v>0</v>
      </c>
      <c r="S264" s="20">
        <v>0</v>
      </c>
      <c r="T264" s="20">
        <v>0</v>
      </c>
      <c r="U264" s="20">
        <v>200000</v>
      </c>
      <c r="V264" s="1">
        <f t="shared" si="79"/>
        <v>5300</v>
      </c>
    </row>
    <row r="265" spans="1:22" ht="21.95" customHeight="1" x14ac:dyDescent="0.25">
      <c r="A265" s="18" t="s">
        <v>1853</v>
      </c>
      <c r="B265" s="25" t="s">
        <v>490</v>
      </c>
      <c r="C265" s="12">
        <f t="shared" si="78"/>
        <v>3709130</v>
      </c>
      <c r="D265" s="20">
        <f t="shared" si="77"/>
        <v>0</v>
      </c>
      <c r="E265" s="20">
        <v>0</v>
      </c>
      <c r="F265" s="20">
        <v>0</v>
      </c>
      <c r="G265" s="20">
        <v>0</v>
      </c>
      <c r="H265" s="20">
        <v>0</v>
      </c>
      <c r="I265" s="20">
        <v>0</v>
      </c>
      <c r="J265" s="20">
        <v>0</v>
      </c>
      <c r="K265" s="21">
        <v>0</v>
      </c>
      <c r="L265" s="20">
        <v>0</v>
      </c>
      <c r="M265" s="20">
        <v>662.1</v>
      </c>
      <c r="N265" s="20">
        <v>3509130</v>
      </c>
      <c r="O265" s="20">
        <v>0</v>
      </c>
      <c r="P265" s="20">
        <v>0</v>
      </c>
      <c r="Q265" s="20">
        <v>0</v>
      </c>
      <c r="R265" s="20">
        <v>0</v>
      </c>
      <c r="S265" s="20">
        <v>0</v>
      </c>
      <c r="T265" s="20">
        <v>0</v>
      </c>
      <c r="U265" s="20">
        <v>200000</v>
      </c>
      <c r="V265" s="1">
        <f t="shared" si="79"/>
        <v>5300</v>
      </c>
    </row>
    <row r="266" spans="1:22" ht="21.95" customHeight="1" x14ac:dyDescent="0.25">
      <c r="A266" s="18" t="s">
        <v>1854</v>
      </c>
      <c r="B266" s="32" t="s">
        <v>1425</v>
      </c>
      <c r="C266" s="12">
        <f t="shared" si="78"/>
        <v>14152358.279999999</v>
      </c>
      <c r="D266" s="20">
        <f t="shared" si="77"/>
        <v>0</v>
      </c>
      <c r="E266" s="20">
        <v>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1">
        <v>0</v>
      </c>
      <c r="L266" s="20">
        <v>0</v>
      </c>
      <c r="M266" s="20">
        <v>1081</v>
      </c>
      <c r="N266" s="20">
        <v>5729300</v>
      </c>
      <c r="O266" s="20">
        <v>0</v>
      </c>
      <c r="P266" s="20">
        <v>0</v>
      </c>
      <c r="Q266" s="20">
        <v>2900</v>
      </c>
      <c r="R266" s="20">
        <v>7554500</v>
      </c>
      <c r="S266" s="20">
        <v>0</v>
      </c>
      <c r="T266" s="20">
        <v>0</v>
      </c>
      <c r="U266" s="20">
        <v>868558.28</v>
      </c>
      <c r="V266" s="1">
        <f t="shared" si="79"/>
        <v>5300</v>
      </c>
    </row>
    <row r="267" spans="1:22" ht="21.95" customHeight="1" x14ac:dyDescent="0.25">
      <c r="A267" s="18" t="s">
        <v>1855</v>
      </c>
      <c r="B267" s="25" t="s">
        <v>388</v>
      </c>
      <c r="C267" s="12">
        <f t="shared" si="78"/>
        <v>24394094.739999998</v>
      </c>
      <c r="D267" s="20">
        <f t="shared" si="77"/>
        <v>8565750</v>
      </c>
      <c r="E267" s="20">
        <f>350*3645</f>
        <v>1275750</v>
      </c>
      <c r="F267" s="20">
        <f>800*3645</f>
        <v>2916000</v>
      </c>
      <c r="G267" s="20">
        <f>300*3645</f>
        <v>1093500</v>
      </c>
      <c r="H267" s="20">
        <f>500*3645</f>
        <v>1822500</v>
      </c>
      <c r="I267" s="20">
        <f>400*3645</f>
        <v>1458000</v>
      </c>
      <c r="J267" s="20">
        <f>350*0</f>
        <v>0</v>
      </c>
      <c r="K267" s="21">
        <v>0</v>
      </c>
      <c r="L267" s="20">
        <v>0</v>
      </c>
      <c r="M267" s="20">
        <v>1296</v>
      </c>
      <c r="N267" s="20">
        <v>6868800</v>
      </c>
      <c r="O267" s="20">
        <v>0</v>
      </c>
      <c r="P267" s="20">
        <v>0</v>
      </c>
      <c r="Q267" s="20">
        <v>3020</v>
      </c>
      <c r="R267" s="20">
        <v>7867100</v>
      </c>
      <c r="S267" s="20">
        <v>0</v>
      </c>
      <c r="T267" s="20">
        <v>0</v>
      </c>
      <c r="U267" s="20">
        <v>1092444.74</v>
      </c>
      <c r="V267" s="1">
        <f t="shared" si="79"/>
        <v>5300</v>
      </c>
    </row>
    <row r="268" spans="1:22" ht="21.95" customHeight="1" x14ac:dyDescent="0.25">
      <c r="A268" s="18" t="s">
        <v>1856</v>
      </c>
      <c r="B268" s="32" t="s">
        <v>1426</v>
      </c>
      <c r="C268" s="12">
        <f t="shared" si="78"/>
        <v>9848688.5999999996</v>
      </c>
      <c r="D268" s="20">
        <f t="shared" si="77"/>
        <v>0</v>
      </c>
      <c r="E268" s="20">
        <v>0</v>
      </c>
      <c r="F268" s="20">
        <v>0</v>
      </c>
      <c r="G268" s="20">
        <v>0</v>
      </c>
      <c r="H268" s="20">
        <v>0</v>
      </c>
      <c r="I268" s="20">
        <v>0</v>
      </c>
      <c r="J268" s="20">
        <v>0</v>
      </c>
      <c r="K268" s="21">
        <v>0</v>
      </c>
      <c r="L268" s="20">
        <v>0</v>
      </c>
      <c r="M268" s="20">
        <v>637</v>
      </c>
      <c r="N268" s="20">
        <v>3376100</v>
      </c>
      <c r="O268" s="20">
        <v>0</v>
      </c>
      <c r="P268" s="20">
        <v>0</v>
      </c>
      <c r="Q268" s="20">
        <v>2200</v>
      </c>
      <c r="R268" s="20">
        <v>5731000</v>
      </c>
      <c r="S268" s="20">
        <v>0</v>
      </c>
      <c r="T268" s="20">
        <v>0</v>
      </c>
      <c r="U268" s="20">
        <v>741588.6</v>
      </c>
      <c r="V268" s="1">
        <f t="shared" si="79"/>
        <v>5300</v>
      </c>
    </row>
    <row r="269" spans="1:22" ht="21.95" customHeight="1" x14ac:dyDescent="0.25">
      <c r="A269" s="18" t="s">
        <v>1857</v>
      </c>
      <c r="B269" s="31" t="s">
        <v>395</v>
      </c>
      <c r="C269" s="12">
        <f t="shared" si="78"/>
        <v>675100</v>
      </c>
      <c r="D269" s="20">
        <f t="shared" si="77"/>
        <v>0</v>
      </c>
      <c r="E269" s="20">
        <v>0</v>
      </c>
      <c r="F269" s="20">
        <v>0</v>
      </c>
      <c r="G269" s="20">
        <v>0</v>
      </c>
      <c r="H269" s="20">
        <v>0</v>
      </c>
      <c r="I269" s="20">
        <v>0</v>
      </c>
      <c r="J269" s="20">
        <v>0</v>
      </c>
      <c r="K269" s="21">
        <v>0</v>
      </c>
      <c r="L269" s="20">
        <v>0</v>
      </c>
      <c r="M269" s="20">
        <v>0</v>
      </c>
      <c r="N269" s="20">
        <v>0</v>
      </c>
      <c r="O269" s="20">
        <v>0</v>
      </c>
      <c r="P269" s="20">
        <v>0</v>
      </c>
      <c r="Q269" s="20">
        <v>0</v>
      </c>
      <c r="R269" s="20">
        <v>0</v>
      </c>
      <c r="S269" s="20">
        <v>275100</v>
      </c>
      <c r="T269" s="20">
        <v>0</v>
      </c>
      <c r="U269" s="20">
        <v>400000</v>
      </c>
      <c r="V269" s="1" t="e">
        <f t="shared" si="79"/>
        <v>#DIV/0!</v>
      </c>
    </row>
    <row r="270" spans="1:22" ht="21.95" customHeight="1" x14ac:dyDescent="0.25">
      <c r="A270" s="18" t="s">
        <v>1858</v>
      </c>
      <c r="B270" s="25" t="s">
        <v>396</v>
      </c>
      <c r="C270" s="12">
        <f>D270+L270+N270+P270+R270+S270+T270+U270</f>
        <v>6841805</v>
      </c>
      <c r="D270" s="20">
        <f>SUM(E270:J270)</f>
        <v>6641805</v>
      </c>
      <c r="E270" s="20">
        <f>350*2826.3</f>
        <v>989205.00000000012</v>
      </c>
      <c r="F270" s="20">
        <f>800*2826.3</f>
        <v>2261040</v>
      </c>
      <c r="G270" s="20">
        <f>300*2826.3</f>
        <v>847890</v>
      </c>
      <c r="H270" s="20">
        <f>500*2826.3</f>
        <v>1413150</v>
      </c>
      <c r="I270" s="20">
        <f>400*2826.3</f>
        <v>1130520</v>
      </c>
      <c r="J270" s="20">
        <f>350*0</f>
        <v>0</v>
      </c>
      <c r="K270" s="21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  <c r="Q270" s="20">
        <v>0</v>
      </c>
      <c r="R270" s="20">
        <v>0</v>
      </c>
      <c r="S270" s="20">
        <v>0</v>
      </c>
      <c r="T270" s="20">
        <v>0</v>
      </c>
      <c r="U270" s="20">
        <v>200000</v>
      </c>
      <c r="V270" s="1" t="e">
        <f>N270/M270</f>
        <v>#DIV/0!</v>
      </c>
    </row>
    <row r="271" spans="1:22" ht="21.95" customHeight="1" x14ac:dyDescent="0.25">
      <c r="A271" s="18" t="s">
        <v>1859</v>
      </c>
      <c r="B271" s="25" t="s">
        <v>461</v>
      </c>
      <c r="C271" s="12">
        <f>D271+L271+N271+P271+R271+S271+T271+U271</f>
        <v>12184060</v>
      </c>
      <c r="D271" s="20">
        <f>SUM(E271:J271)</f>
        <v>11984060</v>
      </c>
      <c r="E271" s="20">
        <f>350*5099.6</f>
        <v>1784860.0000000002</v>
      </c>
      <c r="F271" s="20">
        <f>800*5099.6</f>
        <v>4079680.0000000005</v>
      </c>
      <c r="G271" s="20">
        <f>300*5099.6</f>
        <v>1529880</v>
      </c>
      <c r="H271" s="20">
        <f>500*5099.6</f>
        <v>2549800</v>
      </c>
      <c r="I271" s="20">
        <f>400*5099.6</f>
        <v>2039840.0000000002</v>
      </c>
      <c r="J271" s="20">
        <f>350*0</f>
        <v>0</v>
      </c>
      <c r="K271" s="21">
        <v>0</v>
      </c>
      <c r="L271" s="20">
        <v>0</v>
      </c>
      <c r="M271" s="20">
        <v>0</v>
      </c>
      <c r="N271" s="20">
        <v>0</v>
      </c>
      <c r="O271" s="20">
        <v>0</v>
      </c>
      <c r="P271" s="20">
        <v>0</v>
      </c>
      <c r="Q271" s="20">
        <v>0</v>
      </c>
      <c r="R271" s="20">
        <v>0</v>
      </c>
      <c r="S271" s="20">
        <v>0</v>
      </c>
      <c r="T271" s="20">
        <v>0</v>
      </c>
      <c r="U271" s="20">
        <v>200000</v>
      </c>
      <c r="V271" s="1" t="e">
        <f>N271/M271</f>
        <v>#DIV/0!</v>
      </c>
    </row>
    <row r="272" spans="1:22" ht="21.95" customHeight="1" x14ac:dyDescent="0.25">
      <c r="A272" s="18" t="s">
        <v>1860</v>
      </c>
      <c r="B272" s="25" t="s">
        <v>407</v>
      </c>
      <c r="C272" s="12">
        <f t="shared" si="78"/>
        <v>1822265</v>
      </c>
      <c r="D272" s="20">
        <f t="shared" si="77"/>
        <v>1622265</v>
      </c>
      <c r="E272" s="20">
        <f>350*876.9</f>
        <v>306915</v>
      </c>
      <c r="F272" s="20">
        <f>800*876.9</f>
        <v>701520</v>
      </c>
      <c r="G272" s="20">
        <f>300*876.9</f>
        <v>263070</v>
      </c>
      <c r="H272" s="20">
        <v>0</v>
      </c>
      <c r="I272" s="20">
        <f>400*876.9</f>
        <v>350760</v>
      </c>
      <c r="J272" s="20">
        <f>350*0</f>
        <v>0</v>
      </c>
      <c r="K272" s="21">
        <v>0</v>
      </c>
      <c r="L272" s="20">
        <v>0</v>
      </c>
      <c r="M272" s="20">
        <v>0</v>
      </c>
      <c r="N272" s="20">
        <v>0</v>
      </c>
      <c r="O272" s="20">
        <v>0</v>
      </c>
      <c r="P272" s="20">
        <v>0</v>
      </c>
      <c r="Q272" s="20">
        <v>0</v>
      </c>
      <c r="R272" s="20">
        <v>0</v>
      </c>
      <c r="S272" s="20">
        <v>0</v>
      </c>
      <c r="T272" s="20">
        <v>0</v>
      </c>
      <c r="U272" s="20">
        <v>200000</v>
      </c>
      <c r="V272" s="1" t="e">
        <f t="shared" si="79"/>
        <v>#DIV/0!</v>
      </c>
    </row>
    <row r="273" spans="1:22" ht="21.95" customHeight="1" x14ac:dyDescent="0.25">
      <c r="A273" s="18" t="s">
        <v>1861</v>
      </c>
      <c r="B273" s="25" t="s">
        <v>462</v>
      </c>
      <c r="C273" s="12">
        <f t="shared" si="78"/>
        <v>8577280</v>
      </c>
      <c r="D273" s="20">
        <f t="shared" si="77"/>
        <v>8377280</v>
      </c>
      <c r="E273" s="20">
        <f>350*3564.8</f>
        <v>1247680</v>
      </c>
      <c r="F273" s="20">
        <f>800*3564.8</f>
        <v>2851840</v>
      </c>
      <c r="G273" s="20">
        <f>300*3564.8</f>
        <v>1069440</v>
      </c>
      <c r="H273" s="20">
        <f>500*3564.8</f>
        <v>1782400</v>
      </c>
      <c r="I273" s="20">
        <f>400*3564.8</f>
        <v>1425920</v>
      </c>
      <c r="J273" s="20">
        <f>350*0</f>
        <v>0</v>
      </c>
      <c r="K273" s="21">
        <v>0</v>
      </c>
      <c r="L273" s="20">
        <v>0</v>
      </c>
      <c r="M273" s="20">
        <v>0</v>
      </c>
      <c r="N273" s="20">
        <v>0</v>
      </c>
      <c r="O273" s="20">
        <v>0</v>
      </c>
      <c r="P273" s="20">
        <v>0</v>
      </c>
      <c r="Q273" s="20">
        <v>0</v>
      </c>
      <c r="R273" s="20">
        <v>0</v>
      </c>
      <c r="S273" s="20">
        <v>0</v>
      </c>
      <c r="T273" s="20">
        <v>0</v>
      </c>
      <c r="U273" s="20">
        <v>200000</v>
      </c>
      <c r="V273" s="1" t="e">
        <f t="shared" si="79"/>
        <v>#DIV/0!</v>
      </c>
    </row>
    <row r="274" spans="1:22" ht="21.95" customHeight="1" x14ac:dyDescent="0.25">
      <c r="A274" s="18" t="s">
        <v>1862</v>
      </c>
      <c r="B274" s="25" t="s">
        <v>382</v>
      </c>
      <c r="C274" s="12">
        <f t="shared" si="78"/>
        <v>3899250</v>
      </c>
      <c r="D274" s="20">
        <f t="shared" si="77"/>
        <v>0</v>
      </c>
      <c r="E274" s="20">
        <v>0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1">
        <v>0</v>
      </c>
      <c r="L274" s="20">
        <v>0</v>
      </c>
      <c r="M274" s="20">
        <v>622.5</v>
      </c>
      <c r="N274" s="20">
        <v>3299250</v>
      </c>
      <c r="O274" s="20">
        <v>0</v>
      </c>
      <c r="P274" s="20">
        <v>0</v>
      </c>
      <c r="Q274" s="20">
        <v>0</v>
      </c>
      <c r="R274" s="20">
        <v>0</v>
      </c>
      <c r="S274" s="20">
        <v>0</v>
      </c>
      <c r="T274" s="20">
        <v>0</v>
      </c>
      <c r="U274" s="20">
        <v>600000</v>
      </c>
      <c r="V274" s="1">
        <f t="shared" si="79"/>
        <v>5300</v>
      </c>
    </row>
    <row r="275" spans="1:22" ht="21.95" customHeight="1" x14ac:dyDescent="0.25">
      <c r="A275" s="18" t="s">
        <v>1863</v>
      </c>
      <c r="B275" s="25" t="s">
        <v>473</v>
      </c>
      <c r="C275" s="12">
        <f t="shared" si="78"/>
        <v>17028652</v>
      </c>
      <c r="D275" s="20">
        <f t="shared" si="77"/>
        <v>6776460</v>
      </c>
      <c r="E275" s="20">
        <f>350*2883.6</f>
        <v>1009260</v>
      </c>
      <c r="F275" s="20">
        <f>800*2883.6</f>
        <v>2306880</v>
      </c>
      <c r="G275" s="20">
        <f>300*2883.6</f>
        <v>865080</v>
      </c>
      <c r="H275" s="20">
        <f>500*2883.6</f>
        <v>1441800</v>
      </c>
      <c r="I275" s="20">
        <f>400*2883.6</f>
        <v>1153440</v>
      </c>
      <c r="J275" s="20">
        <f>350*0</f>
        <v>0</v>
      </c>
      <c r="K275" s="21">
        <v>0</v>
      </c>
      <c r="L275" s="20">
        <v>0</v>
      </c>
      <c r="M275" s="20">
        <v>938</v>
      </c>
      <c r="N275" s="20">
        <f>M275*5300</f>
        <v>4971400</v>
      </c>
      <c r="O275" s="20">
        <v>0</v>
      </c>
      <c r="P275" s="20">
        <v>0</v>
      </c>
      <c r="Q275" s="20">
        <v>1950.4</v>
      </c>
      <c r="R275" s="20">
        <f>Q275*2605</f>
        <v>5080792</v>
      </c>
      <c r="S275" s="20">
        <v>0</v>
      </c>
      <c r="T275" s="20">
        <v>0</v>
      </c>
      <c r="U275" s="20">
        <v>200000</v>
      </c>
      <c r="V275" s="1">
        <f t="shared" si="79"/>
        <v>5300</v>
      </c>
    </row>
    <row r="276" spans="1:22" ht="21.95" customHeight="1" x14ac:dyDescent="0.25">
      <c r="A276" s="18" t="s">
        <v>1864</v>
      </c>
      <c r="B276" s="31" t="s">
        <v>463</v>
      </c>
      <c r="C276" s="12">
        <f t="shared" si="78"/>
        <v>5282700</v>
      </c>
      <c r="D276" s="20">
        <f t="shared" si="77"/>
        <v>0</v>
      </c>
      <c r="E276" s="20">
        <v>0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1">
        <v>0</v>
      </c>
      <c r="L276" s="20">
        <v>0</v>
      </c>
      <c r="M276" s="20">
        <v>959</v>
      </c>
      <c r="N276" s="20">
        <f>M276*5300</f>
        <v>5082700</v>
      </c>
      <c r="O276" s="20">
        <v>0</v>
      </c>
      <c r="P276" s="20">
        <v>0</v>
      </c>
      <c r="Q276" s="20">
        <v>0</v>
      </c>
      <c r="R276" s="20">
        <v>0</v>
      </c>
      <c r="S276" s="20">
        <v>0</v>
      </c>
      <c r="T276" s="20">
        <v>0</v>
      </c>
      <c r="U276" s="20">
        <v>200000</v>
      </c>
      <c r="V276" s="1">
        <f t="shared" si="79"/>
        <v>5300</v>
      </c>
    </row>
    <row r="277" spans="1:22" ht="21.95" customHeight="1" x14ac:dyDescent="0.25">
      <c r="A277" s="18" t="s">
        <v>1865</v>
      </c>
      <c r="B277" s="25" t="s">
        <v>474</v>
      </c>
      <c r="C277" s="12">
        <f t="shared" si="78"/>
        <v>300000</v>
      </c>
      <c r="D277" s="20">
        <f t="shared" si="77"/>
        <v>0</v>
      </c>
      <c r="E277" s="20">
        <v>0</v>
      </c>
      <c r="F277" s="20">
        <v>0</v>
      </c>
      <c r="G277" s="20">
        <v>0</v>
      </c>
      <c r="H277" s="20">
        <v>0</v>
      </c>
      <c r="I277" s="20">
        <v>0</v>
      </c>
      <c r="J277" s="20">
        <v>0</v>
      </c>
      <c r="K277" s="21">
        <v>0</v>
      </c>
      <c r="L277" s="20">
        <v>0</v>
      </c>
      <c r="M277" s="20">
        <v>0</v>
      </c>
      <c r="N277" s="20">
        <v>0</v>
      </c>
      <c r="O277" s="20">
        <v>0</v>
      </c>
      <c r="P277" s="20">
        <v>0</v>
      </c>
      <c r="Q277" s="20">
        <v>0</v>
      </c>
      <c r="R277" s="20">
        <v>0</v>
      </c>
      <c r="S277" s="20">
        <v>0</v>
      </c>
      <c r="T277" s="20">
        <v>0</v>
      </c>
      <c r="U277" s="20">
        <v>300000</v>
      </c>
      <c r="V277" s="1" t="e">
        <f t="shared" si="79"/>
        <v>#DIV/0!</v>
      </c>
    </row>
    <row r="278" spans="1:22" ht="21.95" customHeight="1" x14ac:dyDescent="0.25">
      <c r="A278" s="18" t="s">
        <v>1866</v>
      </c>
      <c r="B278" s="25" t="s">
        <v>491</v>
      </c>
      <c r="C278" s="12">
        <f t="shared" si="78"/>
        <v>2245800</v>
      </c>
      <c r="D278" s="20">
        <f t="shared" si="77"/>
        <v>0</v>
      </c>
      <c r="E278" s="20">
        <v>0</v>
      </c>
      <c r="F278" s="20">
        <v>0</v>
      </c>
      <c r="G278" s="20">
        <v>0</v>
      </c>
      <c r="H278" s="20">
        <v>0</v>
      </c>
      <c r="I278" s="20">
        <v>0</v>
      </c>
      <c r="J278" s="20">
        <v>0</v>
      </c>
      <c r="K278" s="21">
        <v>0</v>
      </c>
      <c r="L278" s="20">
        <v>0</v>
      </c>
      <c r="M278" s="20">
        <v>386</v>
      </c>
      <c r="N278" s="20">
        <v>2045800</v>
      </c>
      <c r="O278" s="20">
        <v>0</v>
      </c>
      <c r="P278" s="20">
        <v>0</v>
      </c>
      <c r="Q278" s="20">
        <v>0</v>
      </c>
      <c r="R278" s="20">
        <v>0</v>
      </c>
      <c r="S278" s="20">
        <v>0</v>
      </c>
      <c r="T278" s="20">
        <v>0</v>
      </c>
      <c r="U278" s="20">
        <v>200000</v>
      </c>
      <c r="V278" s="1">
        <f t="shared" si="79"/>
        <v>5300</v>
      </c>
    </row>
    <row r="279" spans="1:22" ht="21.95" customHeight="1" x14ac:dyDescent="0.25">
      <c r="A279" s="18" t="s">
        <v>1867</v>
      </c>
      <c r="B279" s="25" t="s">
        <v>408</v>
      </c>
      <c r="C279" s="12">
        <f t="shared" si="78"/>
        <v>200000</v>
      </c>
      <c r="D279" s="20">
        <f t="shared" si="77"/>
        <v>0</v>
      </c>
      <c r="E279" s="20">
        <v>0</v>
      </c>
      <c r="F279" s="20">
        <v>0</v>
      </c>
      <c r="G279" s="20">
        <v>0</v>
      </c>
      <c r="H279" s="20">
        <v>0</v>
      </c>
      <c r="I279" s="20">
        <v>0</v>
      </c>
      <c r="J279" s="20">
        <v>0</v>
      </c>
      <c r="K279" s="21">
        <v>0</v>
      </c>
      <c r="L279" s="20">
        <v>0</v>
      </c>
      <c r="M279" s="20">
        <v>0</v>
      </c>
      <c r="N279" s="20">
        <v>0</v>
      </c>
      <c r="O279" s="20">
        <v>0</v>
      </c>
      <c r="P279" s="20">
        <v>0</v>
      </c>
      <c r="Q279" s="20">
        <v>0</v>
      </c>
      <c r="R279" s="20">
        <v>0</v>
      </c>
      <c r="S279" s="20">
        <v>0</v>
      </c>
      <c r="T279" s="20">
        <v>0</v>
      </c>
      <c r="U279" s="20">
        <v>200000</v>
      </c>
      <c r="V279" s="1" t="e">
        <f t="shared" si="79"/>
        <v>#DIV/0!</v>
      </c>
    </row>
    <row r="280" spans="1:22" ht="21.95" customHeight="1" x14ac:dyDescent="0.25">
      <c r="A280" s="18" t="s">
        <v>1868</v>
      </c>
      <c r="B280" s="25" t="s">
        <v>492</v>
      </c>
      <c r="C280" s="12">
        <f t="shared" si="78"/>
        <v>3724500</v>
      </c>
      <c r="D280" s="20">
        <f t="shared" si="77"/>
        <v>0</v>
      </c>
      <c r="E280" s="20">
        <v>0</v>
      </c>
      <c r="F280" s="20">
        <v>0</v>
      </c>
      <c r="G280" s="20">
        <v>0</v>
      </c>
      <c r="H280" s="20">
        <v>0</v>
      </c>
      <c r="I280" s="20">
        <v>0</v>
      </c>
      <c r="J280" s="20">
        <v>0</v>
      </c>
      <c r="K280" s="21">
        <v>0</v>
      </c>
      <c r="L280" s="20">
        <v>0</v>
      </c>
      <c r="M280" s="20">
        <v>665</v>
      </c>
      <c r="N280" s="20">
        <f>M280*5300</f>
        <v>3524500</v>
      </c>
      <c r="O280" s="20">
        <v>0</v>
      </c>
      <c r="P280" s="20">
        <v>0</v>
      </c>
      <c r="Q280" s="20">
        <v>0</v>
      </c>
      <c r="R280" s="20">
        <v>0</v>
      </c>
      <c r="S280" s="20">
        <v>0</v>
      </c>
      <c r="T280" s="20">
        <v>0</v>
      </c>
      <c r="U280" s="20">
        <v>200000</v>
      </c>
      <c r="V280" s="1">
        <f t="shared" si="79"/>
        <v>5300</v>
      </c>
    </row>
    <row r="281" spans="1:22" ht="21.95" customHeight="1" x14ac:dyDescent="0.25">
      <c r="A281" s="18" t="s">
        <v>1869</v>
      </c>
      <c r="B281" s="25" t="s">
        <v>475</v>
      </c>
      <c r="C281" s="12">
        <f t="shared" si="78"/>
        <v>3352440</v>
      </c>
      <c r="D281" s="20">
        <f t="shared" si="77"/>
        <v>0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1">
        <v>0</v>
      </c>
      <c r="L281" s="20">
        <v>0</v>
      </c>
      <c r="M281" s="20">
        <v>594.79999999999995</v>
      </c>
      <c r="N281" s="20">
        <v>3152440</v>
      </c>
      <c r="O281" s="20">
        <v>0</v>
      </c>
      <c r="P281" s="20">
        <v>0</v>
      </c>
      <c r="Q281" s="20">
        <v>0</v>
      </c>
      <c r="R281" s="20">
        <v>0</v>
      </c>
      <c r="S281" s="20">
        <v>0</v>
      </c>
      <c r="T281" s="20">
        <v>0</v>
      </c>
      <c r="U281" s="20">
        <v>200000</v>
      </c>
      <c r="V281" s="1">
        <f t="shared" si="79"/>
        <v>5300</v>
      </c>
    </row>
    <row r="282" spans="1:22" ht="21.95" customHeight="1" x14ac:dyDescent="0.25">
      <c r="A282" s="18" t="s">
        <v>1870</v>
      </c>
      <c r="B282" s="25" t="s">
        <v>389</v>
      </c>
      <c r="C282" s="12">
        <f t="shared" si="78"/>
        <v>2212102</v>
      </c>
      <c r="D282" s="20">
        <f t="shared" si="77"/>
        <v>0</v>
      </c>
      <c r="E282" s="20">
        <v>0</v>
      </c>
      <c r="F282" s="20">
        <v>0</v>
      </c>
      <c r="G282" s="20">
        <v>0</v>
      </c>
      <c r="H282" s="20">
        <v>0</v>
      </c>
      <c r="I282" s="20">
        <v>0</v>
      </c>
      <c r="J282" s="20">
        <v>0</v>
      </c>
      <c r="K282" s="21">
        <v>0</v>
      </c>
      <c r="L282" s="20">
        <v>0</v>
      </c>
      <c r="M282" s="20">
        <v>0</v>
      </c>
      <c r="N282" s="20">
        <v>0</v>
      </c>
      <c r="O282" s="20">
        <v>0</v>
      </c>
      <c r="P282" s="20">
        <v>0</v>
      </c>
      <c r="Q282" s="20">
        <v>772.4</v>
      </c>
      <c r="R282" s="20">
        <f>Q282*2605</f>
        <v>2012102</v>
      </c>
      <c r="S282" s="20">
        <v>0</v>
      </c>
      <c r="T282" s="20">
        <v>0</v>
      </c>
      <c r="U282" s="20">
        <v>200000</v>
      </c>
      <c r="V282" s="1" t="e">
        <f t="shared" si="79"/>
        <v>#DIV/0!</v>
      </c>
    </row>
    <row r="283" spans="1:22" ht="21.95" customHeight="1" x14ac:dyDescent="0.25">
      <c r="A283" s="18" t="s">
        <v>1871</v>
      </c>
      <c r="B283" s="25" t="s">
        <v>464</v>
      </c>
      <c r="C283" s="12">
        <f t="shared" si="78"/>
        <v>4471800</v>
      </c>
      <c r="D283" s="20">
        <f t="shared" si="77"/>
        <v>0</v>
      </c>
      <c r="E283" s="20">
        <v>0</v>
      </c>
      <c r="F283" s="20">
        <v>0</v>
      </c>
      <c r="G283" s="20">
        <v>0</v>
      </c>
      <c r="H283" s="20">
        <v>0</v>
      </c>
      <c r="I283" s="20">
        <v>0</v>
      </c>
      <c r="J283" s="20">
        <v>0</v>
      </c>
      <c r="K283" s="21">
        <v>0</v>
      </c>
      <c r="L283" s="20">
        <v>0</v>
      </c>
      <c r="M283" s="20">
        <v>806</v>
      </c>
      <c r="N283" s="20">
        <f>M283*5300</f>
        <v>4271800</v>
      </c>
      <c r="O283" s="20">
        <v>0</v>
      </c>
      <c r="P283" s="20">
        <v>0</v>
      </c>
      <c r="Q283" s="20">
        <v>0</v>
      </c>
      <c r="R283" s="20">
        <v>0</v>
      </c>
      <c r="S283" s="20">
        <v>0</v>
      </c>
      <c r="T283" s="20">
        <v>0</v>
      </c>
      <c r="U283" s="20">
        <v>200000</v>
      </c>
      <c r="V283" s="1">
        <f t="shared" si="79"/>
        <v>5300</v>
      </c>
    </row>
    <row r="284" spans="1:22" ht="21.95" customHeight="1" x14ac:dyDescent="0.25">
      <c r="A284" s="18" t="s">
        <v>1872</v>
      </c>
      <c r="B284" s="25" t="s">
        <v>450</v>
      </c>
      <c r="C284" s="12">
        <f t="shared" si="78"/>
        <v>8841180</v>
      </c>
      <c r="D284" s="20">
        <f t="shared" si="77"/>
        <v>2368740.0000000005</v>
      </c>
      <c r="E284" s="20">
        <f>350*1280.4</f>
        <v>448140.00000000006</v>
      </c>
      <c r="F284" s="20">
        <f>800*1280.4</f>
        <v>1024320.0000000001</v>
      </c>
      <c r="G284" s="20">
        <f>300*1280.4</f>
        <v>384120</v>
      </c>
      <c r="H284" s="20">
        <f>500*0</f>
        <v>0</v>
      </c>
      <c r="I284" s="20">
        <f>400*1280.4</f>
        <v>512160.00000000006</v>
      </c>
      <c r="J284" s="20">
        <f>350*0</f>
        <v>0</v>
      </c>
      <c r="K284" s="21">
        <v>0</v>
      </c>
      <c r="L284" s="20">
        <v>0</v>
      </c>
      <c r="M284" s="20">
        <v>806</v>
      </c>
      <c r="N284" s="20">
        <v>4271800</v>
      </c>
      <c r="O284" s="20">
        <v>0</v>
      </c>
      <c r="P284" s="20">
        <v>0</v>
      </c>
      <c r="Q284" s="20">
        <v>768</v>
      </c>
      <c r="R284" s="20">
        <v>2000640</v>
      </c>
      <c r="S284" s="20">
        <v>0</v>
      </c>
      <c r="T284" s="20">
        <v>0</v>
      </c>
      <c r="U284" s="20">
        <v>200000</v>
      </c>
      <c r="V284" s="1">
        <f t="shared" si="79"/>
        <v>5300</v>
      </c>
    </row>
    <row r="285" spans="1:22" ht="21.95" customHeight="1" x14ac:dyDescent="0.25">
      <c r="A285" s="18" t="s">
        <v>1873</v>
      </c>
      <c r="B285" s="25" t="s">
        <v>476</v>
      </c>
      <c r="C285" s="12">
        <f t="shared" si="78"/>
        <v>4122000</v>
      </c>
      <c r="D285" s="20">
        <f t="shared" ref="D285:D292" si="80">SUM(E285:J285)</f>
        <v>0</v>
      </c>
      <c r="E285" s="20">
        <v>0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1">
        <v>0</v>
      </c>
      <c r="L285" s="20">
        <v>0</v>
      </c>
      <c r="M285" s="20">
        <v>740</v>
      </c>
      <c r="N285" s="20">
        <f>M285*5300</f>
        <v>3922000</v>
      </c>
      <c r="O285" s="20">
        <v>0</v>
      </c>
      <c r="P285" s="20">
        <v>0</v>
      </c>
      <c r="Q285" s="20">
        <v>0</v>
      </c>
      <c r="R285" s="20">
        <v>0</v>
      </c>
      <c r="S285" s="20">
        <v>0</v>
      </c>
      <c r="T285" s="20">
        <v>0</v>
      </c>
      <c r="U285" s="20">
        <v>200000</v>
      </c>
      <c r="V285" s="1">
        <f t="shared" si="79"/>
        <v>5300</v>
      </c>
    </row>
    <row r="286" spans="1:22" ht="21.95" customHeight="1" x14ac:dyDescent="0.25">
      <c r="A286" s="18" t="s">
        <v>1874</v>
      </c>
      <c r="B286" s="32" t="s">
        <v>1449</v>
      </c>
      <c r="C286" s="12">
        <f t="shared" si="78"/>
        <v>2529171.04</v>
      </c>
      <c r="D286" s="20">
        <f t="shared" si="80"/>
        <v>0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1">
        <v>0</v>
      </c>
      <c r="L286" s="20">
        <v>0</v>
      </c>
      <c r="M286" s="20">
        <v>423</v>
      </c>
      <c r="N286" s="20">
        <v>2241900</v>
      </c>
      <c r="O286" s="20">
        <v>0</v>
      </c>
      <c r="P286" s="20">
        <v>0</v>
      </c>
      <c r="Q286" s="20">
        <v>0</v>
      </c>
      <c r="R286" s="20">
        <v>0</v>
      </c>
      <c r="S286" s="20">
        <v>0</v>
      </c>
      <c r="T286" s="20">
        <v>0</v>
      </c>
      <c r="U286" s="20">
        <v>287271.03999999998</v>
      </c>
      <c r="V286" s="1">
        <f t="shared" si="79"/>
        <v>5300</v>
      </c>
    </row>
    <row r="287" spans="1:22" ht="21.95" customHeight="1" x14ac:dyDescent="0.25">
      <c r="A287" s="18" t="s">
        <v>1875</v>
      </c>
      <c r="B287" s="32" t="s">
        <v>1405</v>
      </c>
      <c r="C287" s="12">
        <f>D287+L287+N287+P287+R287+S287+T287+U287</f>
        <v>5990800</v>
      </c>
      <c r="D287" s="20">
        <f t="shared" si="80"/>
        <v>0</v>
      </c>
      <c r="E287" s="20">
        <v>0</v>
      </c>
      <c r="F287" s="20">
        <v>0</v>
      </c>
      <c r="G287" s="20">
        <v>0</v>
      </c>
      <c r="H287" s="20">
        <v>0</v>
      </c>
      <c r="I287" s="20">
        <v>0</v>
      </c>
      <c r="J287" s="20">
        <v>0</v>
      </c>
      <c r="K287" s="21">
        <v>0</v>
      </c>
      <c r="L287" s="20">
        <v>0</v>
      </c>
      <c r="M287" s="20">
        <v>740</v>
      </c>
      <c r="N287" s="20">
        <v>3922000</v>
      </c>
      <c r="O287" s="20">
        <v>0</v>
      </c>
      <c r="P287" s="20">
        <v>0</v>
      </c>
      <c r="Q287" s="20">
        <v>720</v>
      </c>
      <c r="R287" s="20">
        <v>1875600</v>
      </c>
      <c r="S287" s="20">
        <v>193200</v>
      </c>
      <c r="T287" s="20">
        <v>0</v>
      </c>
      <c r="U287" s="20">
        <v>0</v>
      </c>
      <c r="V287" s="1">
        <f t="shared" si="79"/>
        <v>5300</v>
      </c>
    </row>
    <row r="288" spans="1:22" ht="21.95" customHeight="1" x14ac:dyDescent="0.25">
      <c r="A288" s="18" t="s">
        <v>1876</v>
      </c>
      <c r="B288" s="25" t="s">
        <v>435</v>
      </c>
      <c r="C288" s="12">
        <f t="shared" si="78"/>
        <v>7284472.5</v>
      </c>
      <c r="D288" s="20">
        <f t="shared" si="80"/>
        <v>3455707.5</v>
      </c>
      <c r="E288" s="20">
        <f>350*1867.95</f>
        <v>653782.5</v>
      </c>
      <c r="F288" s="20">
        <f>800*1867.95</f>
        <v>1494360</v>
      </c>
      <c r="G288" s="20">
        <f>300*1867.95</f>
        <v>560385</v>
      </c>
      <c r="H288" s="20">
        <v>0</v>
      </c>
      <c r="I288" s="20">
        <f>400*1867.95</f>
        <v>747180</v>
      </c>
      <c r="J288" s="20">
        <f>350*0</f>
        <v>0</v>
      </c>
      <c r="K288" s="21">
        <v>0</v>
      </c>
      <c r="L288" s="20">
        <v>0</v>
      </c>
      <c r="M288" s="20">
        <v>0</v>
      </c>
      <c r="N288" s="20">
        <v>0</v>
      </c>
      <c r="O288" s="20">
        <v>0</v>
      </c>
      <c r="P288" s="20">
        <v>0</v>
      </c>
      <c r="Q288" s="20">
        <v>1393</v>
      </c>
      <c r="R288" s="20">
        <f>Q288*2605</f>
        <v>3628765</v>
      </c>
      <c r="S288" s="20">
        <v>0</v>
      </c>
      <c r="T288" s="20">
        <v>0</v>
      </c>
      <c r="U288" s="20">
        <v>200000</v>
      </c>
      <c r="V288" s="1" t="e">
        <f t="shared" si="79"/>
        <v>#DIV/0!</v>
      </c>
    </row>
    <row r="289" spans="1:22" ht="21.95" customHeight="1" x14ac:dyDescent="0.25">
      <c r="A289" s="18" t="s">
        <v>1877</v>
      </c>
      <c r="B289" s="25" t="s">
        <v>477</v>
      </c>
      <c r="C289" s="12">
        <f t="shared" si="78"/>
        <v>300000</v>
      </c>
      <c r="D289" s="20">
        <f t="shared" si="80"/>
        <v>0</v>
      </c>
      <c r="E289" s="20">
        <v>0</v>
      </c>
      <c r="F289" s="20">
        <v>0</v>
      </c>
      <c r="G289" s="20">
        <v>0</v>
      </c>
      <c r="H289" s="20">
        <v>0</v>
      </c>
      <c r="I289" s="20">
        <v>0</v>
      </c>
      <c r="J289" s="20">
        <v>0</v>
      </c>
      <c r="K289" s="21">
        <v>0</v>
      </c>
      <c r="L289" s="20">
        <v>0</v>
      </c>
      <c r="M289" s="20">
        <v>0</v>
      </c>
      <c r="N289" s="20">
        <v>0</v>
      </c>
      <c r="O289" s="20">
        <v>0</v>
      </c>
      <c r="P289" s="20">
        <v>0</v>
      </c>
      <c r="Q289" s="20">
        <v>0</v>
      </c>
      <c r="R289" s="20">
        <v>0</v>
      </c>
      <c r="S289" s="20">
        <v>0</v>
      </c>
      <c r="T289" s="20">
        <v>0</v>
      </c>
      <c r="U289" s="20">
        <v>300000</v>
      </c>
      <c r="V289" s="1" t="e">
        <f t="shared" si="79"/>
        <v>#DIV/0!</v>
      </c>
    </row>
    <row r="290" spans="1:22" ht="21.95" customHeight="1" x14ac:dyDescent="0.25">
      <c r="A290" s="18" t="s">
        <v>1878</v>
      </c>
      <c r="B290" s="25" t="s">
        <v>493</v>
      </c>
      <c r="C290" s="12">
        <f t="shared" si="78"/>
        <v>2120932</v>
      </c>
      <c r="D290" s="20">
        <f t="shared" si="80"/>
        <v>0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1">
        <v>0</v>
      </c>
      <c r="L290" s="20">
        <v>0</v>
      </c>
      <c r="M290" s="20">
        <v>362.44</v>
      </c>
      <c r="N290" s="20">
        <f>M290*5300</f>
        <v>1920932</v>
      </c>
      <c r="O290" s="20">
        <v>0</v>
      </c>
      <c r="P290" s="20">
        <v>0</v>
      </c>
      <c r="Q290" s="20">
        <v>0</v>
      </c>
      <c r="R290" s="20">
        <v>0</v>
      </c>
      <c r="S290" s="20">
        <v>0</v>
      </c>
      <c r="T290" s="20">
        <v>0</v>
      </c>
      <c r="U290" s="20">
        <v>200000</v>
      </c>
      <c r="V290" s="1">
        <f t="shared" si="79"/>
        <v>5300</v>
      </c>
    </row>
    <row r="291" spans="1:22" ht="21.95" customHeight="1" x14ac:dyDescent="0.25">
      <c r="A291" s="18" t="s">
        <v>1879</v>
      </c>
      <c r="B291" s="25" t="s">
        <v>426</v>
      </c>
      <c r="C291" s="12">
        <f t="shared" si="78"/>
        <v>300000</v>
      </c>
      <c r="D291" s="20">
        <f t="shared" si="80"/>
        <v>0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1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  <c r="Q291" s="20">
        <v>0</v>
      </c>
      <c r="R291" s="20">
        <v>0</v>
      </c>
      <c r="S291" s="20">
        <v>0</v>
      </c>
      <c r="T291" s="20">
        <v>0</v>
      </c>
      <c r="U291" s="20">
        <v>300000</v>
      </c>
      <c r="V291" s="1" t="e">
        <f t="shared" si="79"/>
        <v>#DIV/0!</v>
      </c>
    </row>
    <row r="292" spans="1:22" ht="21.95" customHeight="1" x14ac:dyDescent="0.25">
      <c r="A292" s="18" t="s">
        <v>1880</v>
      </c>
      <c r="B292" s="25" t="s">
        <v>441</v>
      </c>
      <c r="C292" s="12">
        <f t="shared" si="78"/>
        <v>300000</v>
      </c>
      <c r="D292" s="20">
        <f t="shared" si="80"/>
        <v>0</v>
      </c>
      <c r="E292" s="20">
        <v>0</v>
      </c>
      <c r="F292" s="20">
        <v>0</v>
      </c>
      <c r="G292" s="20">
        <v>0</v>
      </c>
      <c r="H292" s="20">
        <v>0</v>
      </c>
      <c r="I292" s="20">
        <v>0</v>
      </c>
      <c r="J292" s="20">
        <v>0</v>
      </c>
      <c r="K292" s="21">
        <v>0</v>
      </c>
      <c r="L292" s="20">
        <v>0</v>
      </c>
      <c r="M292" s="20">
        <v>0</v>
      </c>
      <c r="N292" s="20">
        <v>0</v>
      </c>
      <c r="O292" s="20">
        <v>0</v>
      </c>
      <c r="P292" s="20">
        <v>0</v>
      </c>
      <c r="Q292" s="20">
        <v>0</v>
      </c>
      <c r="R292" s="20">
        <v>0</v>
      </c>
      <c r="S292" s="20">
        <v>0</v>
      </c>
      <c r="T292" s="20">
        <v>0</v>
      </c>
      <c r="U292" s="20">
        <v>300000</v>
      </c>
      <c r="V292" s="1" t="e">
        <f t="shared" si="79"/>
        <v>#DIV/0!</v>
      </c>
    </row>
    <row r="293" spans="1:22" ht="21.95" customHeight="1" x14ac:dyDescent="0.25">
      <c r="A293" s="18" t="s">
        <v>1881</v>
      </c>
      <c r="B293" s="25" t="s">
        <v>442</v>
      </c>
      <c r="C293" s="12">
        <f t="shared" si="78"/>
        <v>2583575</v>
      </c>
      <c r="D293" s="20">
        <f t="shared" si="77"/>
        <v>0</v>
      </c>
      <c r="E293" s="20">
        <v>0</v>
      </c>
      <c r="F293" s="20">
        <v>0</v>
      </c>
      <c r="G293" s="20">
        <v>0</v>
      </c>
      <c r="H293" s="20">
        <v>0</v>
      </c>
      <c r="I293" s="20">
        <v>0</v>
      </c>
      <c r="J293" s="20">
        <v>0</v>
      </c>
      <c r="K293" s="21">
        <v>0</v>
      </c>
      <c r="L293" s="20">
        <v>0</v>
      </c>
      <c r="M293" s="20">
        <v>0</v>
      </c>
      <c r="N293" s="20">
        <v>0</v>
      </c>
      <c r="O293" s="20">
        <v>0</v>
      </c>
      <c r="P293" s="20">
        <v>0</v>
      </c>
      <c r="Q293" s="20">
        <v>915</v>
      </c>
      <c r="R293" s="20">
        <v>2383575</v>
      </c>
      <c r="S293" s="20">
        <v>0</v>
      </c>
      <c r="T293" s="20">
        <v>0</v>
      </c>
      <c r="U293" s="20">
        <v>200000</v>
      </c>
      <c r="V293" s="1" t="e">
        <f t="shared" si="79"/>
        <v>#DIV/0!</v>
      </c>
    </row>
    <row r="294" spans="1:22" ht="45" customHeight="1" x14ac:dyDescent="0.25">
      <c r="A294" s="63" t="s">
        <v>307</v>
      </c>
      <c r="B294" s="63"/>
      <c r="C294" s="12">
        <f t="shared" si="78"/>
        <v>2065910</v>
      </c>
      <c r="D294" s="12">
        <f t="shared" ref="D294:U294" si="81">SUM(D295:D298)</f>
        <v>2065910</v>
      </c>
      <c r="E294" s="12">
        <f t="shared" si="81"/>
        <v>300860</v>
      </c>
      <c r="F294" s="12">
        <f t="shared" si="81"/>
        <v>941360</v>
      </c>
      <c r="G294" s="12">
        <f t="shared" si="81"/>
        <v>353010</v>
      </c>
      <c r="H294" s="12">
        <f t="shared" si="81"/>
        <v>0</v>
      </c>
      <c r="I294" s="12">
        <f t="shared" si="81"/>
        <v>470680</v>
      </c>
      <c r="J294" s="12">
        <f t="shared" si="81"/>
        <v>0</v>
      </c>
      <c r="K294" s="13">
        <f t="shared" si="81"/>
        <v>0</v>
      </c>
      <c r="L294" s="12">
        <f t="shared" si="81"/>
        <v>0</v>
      </c>
      <c r="M294" s="12">
        <f t="shared" si="81"/>
        <v>0</v>
      </c>
      <c r="N294" s="12">
        <f t="shared" si="81"/>
        <v>0</v>
      </c>
      <c r="O294" s="12">
        <f t="shared" si="81"/>
        <v>0</v>
      </c>
      <c r="P294" s="12">
        <f t="shared" si="81"/>
        <v>0</v>
      </c>
      <c r="Q294" s="12">
        <f t="shared" si="81"/>
        <v>0</v>
      </c>
      <c r="R294" s="12">
        <f t="shared" si="81"/>
        <v>0</v>
      </c>
      <c r="S294" s="12">
        <f t="shared" si="81"/>
        <v>0</v>
      </c>
      <c r="T294" s="12">
        <f t="shared" si="81"/>
        <v>0</v>
      </c>
      <c r="U294" s="12">
        <f t="shared" si="81"/>
        <v>0</v>
      </c>
      <c r="V294" s="22">
        <f>C294+C1054</f>
        <v>10775305</v>
      </c>
    </row>
    <row r="295" spans="1:22" ht="21.95" customHeight="1" x14ac:dyDescent="0.25">
      <c r="A295" s="18" t="s">
        <v>1882</v>
      </c>
      <c r="B295" s="25" t="s">
        <v>1412</v>
      </c>
      <c r="C295" s="12">
        <f t="shared" si="78"/>
        <v>401635</v>
      </c>
      <c r="D295" s="20">
        <f t="shared" ref="D295:D298" si="82">SUM(E295:J295)</f>
        <v>401635</v>
      </c>
      <c r="E295" s="20">
        <f>350*217.1</f>
        <v>75985</v>
      </c>
      <c r="F295" s="20">
        <f>800*217.1</f>
        <v>173680</v>
      </c>
      <c r="G295" s="20">
        <f>300*217.1</f>
        <v>65130</v>
      </c>
      <c r="H295" s="20">
        <v>0</v>
      </c>
      <c r="I295" s="20">
        <f>400*217.1</f>
        <v>86840</v>
      </c>
      <c r="J295" s="20">
        <f>350*0</f>
        <v>0</v>
      </c>
      <c r="K295" s="21">
        <v>0</v>
      </c>
      <c r="L295" s="20">
        <v>0</v>
      </c>
      <c r="M295" s="8">
        <v>0</v>
      </c>
      <c r="N295" s="8">
        <v>0</v>
      </c>
      <c r="O295" s="20">
        <v>0</v>
      </c>
      <c r="P295" s="20">
        <v>0</v>
      </c>
      <c r="Q295" s="20">
        <v>0</v>
      </c>
      <c r="R295" s="20">
        <v>0</v>
      </c>
      <c r="S295" s="20">
        <v>0</v>
      </c>
      <c r="T295" s="20">
        <v>0</v>
      </c>
      <c r="U295" s="20">
        <v>0</v>
      </c>
      <c r="V295" s="1" t="e">
        <f t="shared" ref="V295:V298" si="83">N295/M295</f>
        <v>#DIV/0!</v>
      </c>
    </row>
    <row r="296" spans="1:22" ht="21.95" customHeight="1" x14ac:dyDescent="0.25">
      <c r="A296" s="18" t="s">
        <v>1883</v>
      </c>
      <c r="B296" s="25" t="s">
        <v>1411</v>
      </c>
      <c r="C296" s="12">
        <f t="shared" si="78"/>
        <v>475650</v>
      </c>
      <c r="D296" s="20">
        <f t="shared" si="82"/>
        <v>475650</v>
      </c>
      <c r="E296" s="20">
        <v>0</v>
      </c>
      <c r="F296" s="20">
        <f>800*317.1</f>
        <v>253680.00000000003</v>
      </c>
      <c r="G296" s="20">
        <f>300*317.1</f>
        <v>95130</v>
      </c>
      <c r="H296" s="20">
        <v>0</v>
      </c>
      <c r="I296" s="20">
        <f>400*317.1</f>
        <v>126840.00000000001</v>
      </c>
      <c r="J296" s="20">
        <f>350*0</f>
        <v>0</v>
      </c>
      <c r="K296" s="21">
        <v>0</v>
      </c>
      <c r="L296" s="20">
        <v>0</v>
      </c>
      <c r="M296" s="8">
        <v>0</v>
      </c>
      <c r="N296" s="8">
        <v>0</v>
      </c>
      <c r="O296" s="20">
        <v>0</v>
      </c>
      <c r="P296" s="20">
        <v>0</v>
      </c>
      <c r="Q296" s="20">
        <v>0</v>
      </c>
      <c r="R296" s="20">
        <v>0</v>
      </c>
      <c r="S296" s="20">
        <v>0</v>
      </c>
      <c r="T296" s="20">
        <v>0</v>
      </c>
      <c r="U296" s="20">
        <v>0</v>
      </c>
      <c r="V296" s="1" t="e">
        <f t="shared" si="83"/>
        <v>#DIV/0!</v>
      </c>
    </row>
    <row r="297" spans="1:22" ht="21.95" customHeight="1" x14ac:dyDescent="0.25">
      <c r="A297" s="18" t="s">
        <v>1884</v>
      </c>
      <c r="B297" s="25" t="s">
        <v>1410</v>
      </c>
      <c r="C297" s="12">
        <f t="shared" si="78"/>
        <v>460465</v>
      </c>
      <c r="D297" s="20">
        <f t="shared" si="82"/>
        <v>460465</v>
      </c>
      <c r="E297" s="20">
        <f>350*248.9</f>
        <v>87115</v>
      </c>
      <c r="F297" s="20">
        <f>800*248.9</f>
        <v>199120</v>
      </c>
      <c r="G297" s="20">
        <f>300*248.9</f>
        <v>74670</v>
      </c>
      <c r="H297" s="20">
        <v>0</v>
      </c>
      <c r="I297" s="20">
        <f>400*248.9</f>
        <v>99560</v>
      </c>
      <c r="J297" s="20">
        <f>350*0</f>
        <v>0</v>
      </c>
      <c r="K297" s="21">
        <v>0</v>
      </c>
      <c r="L297" s="20">
        <v>0</v>
      </c>
      <c r="M297" s="8">
        <v>0</v>
      </c>
      <c r="N297" s="8">
        <v>0</v>
      </c>
      <c r="O297" s="20">
        <v>0</v>
      </c>
      <c r="P297" s="20">
        <v>0</v>
      </c>
      <c r="Q297" s="20">
        <v>0</v>
      </c>
      <c r="R297" s="20">
        <v>0</v>
      </c>
      <c r="S297" s="20">
        <v>0</v>
      </c>
      <c r="T297" s="20">
        <v>0</v>
      </c>
      <c r="U297" s="20">
        <v>0</v>
      </c>
      <c r="V297" s="1" t="e">
        <f t="shared" si="83"/>
        <v>#DIV/0!</v>
      </c>
    </row>
    <row r="298" spans="1:22" ht="21.95" customHeight="1" x14ac:dyDescent="0.25">
      <c r="A298" s="18" t="s">
        <v>1885</v>
      </c>
      <c r="B298" s="25" t="s">
        <v>1409</v>
      </c>
      <c r="C298" s="12">
        <f t="shared" si="78"/>
        <v>728160</v>
      </c>
      <c r="D298" s="20">
        <f t="shared" si="82"/>
        <v>728160</v>
      </c>
      <c r="E298" s="20">
        <f>350*393.6</f>
        <v>137760</v>
      </c>
      <c r="F298" s="20">
        <f>800*393.6</f>
        <v>314880</v>
      </c>
      <c r="G298" s="20">
        <f>300*393.6</f>
        <v>118080</v>
      </c>
      <c r="H298" s="20">
        <v>0</v>
      </c>
      <c r="I298" s="20">
        <f>400*393.6</f>
        <v>157440</v>
      </c>
      <c r="J298" s="20">
        <f>350*0</f>
        <v>0</v>
      </c>
      <c r="K298" s="21">
        <v>0</v>
      </c>
      <c r="L298" s="20">
        <v>0</v>
      </c>
      <c r="M298" s="8">
        <v>0</v>
      </c>
      <c r="N298" s="8">
        <v>0</v>
      </c>
      <c r="O298" s="20">
        <v>0</v>
      </c>
      <c r="P298" s="20">
        <v>0</v>
      </c>
      <c r="Q298" s="20">
        <v>0</v>
      </c>
      <c r="R298" s="20">
        <v>0</v>
      </c>
      <c r="S298" s="20">
        <v>0</v>
      </c>
      <c r="T298" s="20">
        <v>0</v>
      </c>
      <c r="U298" s="20">
        <v>0</v>
      </c>
      <c r="V298" s="1" t="e">
        <f t="shared" si="83"/>
        <v>#DIV/0!</v>
      </c>
    </row>
    <row r="299" spans="1:22" ht="45" customHeight="1" x14ac:dyDescent="0.25">
      <c r="A299" s="63" t="s">
        <v>283</v>
      </c>
      <c r="B299" s="63"/>
      <c r="C299" s="12">
        <f t="shared" si="78"/>
        <v>300000</v>
      </c>
      <c r="D299" s="12">
        <f t="shared" ref="D299:U299" si="84">SUM(D300)</f>
        <v>0</v>
      </c>
      <c r="E299" s="12">
        <f t="shared" si="84"/>
        <v>0</v>
      </c>
      <c r="F299" s="12">
        <f t="shared" si="84"/>
        <v>0</v>
      </c>
      <c r="G299" s="12">
        <f t="shared" si="84"/>
        <v>0</v>
      </c>
      <c r="H299" s="12">
        <f t="shared" si="84"/>
        <v>0</v>
      </c>
      <c r="I299" s="12">
        <f t="shared" si="84"/>
        <v>0</v>
      </c>
      <c r="J299" s="12">
        <f t="shared" si="84"/>
        <v>0</v>
      </c>
      <c r="K299" s="13">
        <f t="shared" si="84"/>
        <v>0</v>
      </c>
      <c r="L299" s="12">
        <f t="shared" si="84"/>
        <v>0</v>
      </c>
      <c r="M299" s="12">
        <f t="shared" si="84"/>
        <v>0</v>
      </c>
      <c r="N299" s="12">
        <f t="shared" si="84"/>
        <v>0</v>
      </c>
      <c r="O299" s="12">
        <f t="shared" si="84"/>
        <v>0</v>
      </c>
      <c r="P299" s="12">
        <f t="shared" si="84"/>
        <v>0</v>
      </c>
      <c r="Q299" s="12">
        <f t="shared" si="84"/>
        <v>0</v>
      </c>
      <c r="R299" s="12">
        <f t="shared" si="84"/>
        <v>0</v>
      </c>
      <c r="S299" s="12">
        <f t="shared" si="84"/>
        <v>0</v>
      </c>
      <c r="T299" s="12">
        <f t="shared" si="84"/>
        <v>0</v>
      </c>
      <c r="U299" s="12">
        <f t="shared" si="84"/>
        <v>300000</v>
      </c>
      <c r="V299" s="22">
        <f>C299+C707+C1056</f>
        <v>17367485</v>
      </c>
    </row>
    <row r="300" spans="1:22" ht="21.95" customHeight="1" x14ac:dyDescent="0.25">
      <c r="A300" s="18" t="s">
        <v>1886</v>
      </c>
      <c r="B300" s="25" t="s">
        <v>309</v>
      </c>
      <c r="C300" s="12">
        <f t="shared" si="78"/>
        <v>300000</v>
      </c>
      <c r="D300" s="20">
        <f t="shared" ref="D300" si="85">SUM(E300:J300)</f>
        <v>0</v>
      </c>
      <c r="E300" s="20"/>
      <c r="F300" s="20"/>
      <c r="G300" s="20"/>
      <c r="H300" s="20"/>
      <c r="I300" s="20"/>
      <c r="J300" s="20"/>
      <c r="K300" s="21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  <c r="Q300" s="20">
        <v>0</v>
      </c>
      <c r="R300" s="20">
        <v>0</v>
      </c>
      <c r="S300" s="20">
        <v>0</v>
      </c>
      <c r="T300" s="20">
        <v>0</v>
      </c>
      <c r="U300" s="20">
        <v>300000</v>
      </c>
      <c r="V300" s="1" t="e">
        <f>N300/M300</f>
        <v>#DIV/0!</v>
      </c>
    </row>
    <row r="301" spans="1:22" ht="45" customHeight="1" x14ac:dyDescent="0.25">
      <c r="A301" s="63" t="s">
        <v>288</v>
      </c>
      <c r="B301" s="63"/>
      <c r="C301" s="12">
        <f t="shared" si="78"/>
        <v>9086800</v>
      </c>
      <c r="D301" s="12">
        <f t="shared" ref="D301:U301" si="86">SUM(D302:D303)</f>
        <v>1731300</v>
      </c>
      <c r="E301" s="12">
        <f t="shared" si="86"/>
        <v>403970</v>
      </c>
      <c r="F301" s="12">
        <f t="shared" si="86"/>
        <v>923360</v>
      </c>
      <c r="G301" s="12">
        <f t="shared" si="86"/>
        <v>173130</v>
      </c>
      <c r="H301" s="12">
        <f t="shared" si="86"/>
        <v>0</v>
      </c>
      <c r="I301" s="12">
        <f t="shared" si="86"/>
        <v>230840</v>
      </c>
      <c r="J301" s="12">
        <f t="shared" si="86"/>
        <v>0</v>
      </c>
      <c r="K301" s="13">
        <f t="shared" si="86"/>
        <v>0</v>
      </c>
      <c r="L301" s="12">
        <f t="shared" si="86"/>
        <v>0</v>
      </c>
      <c r="M301" s="12">
        <f t="shared" si="86"/>
        <v>870</v>
      </c>
      <c r="N301" s="12">
        <f t="shared" si="86"/>
        <v>4611000</v>
      </c>
      <c r="O301" s="12">
        <f t="shared" si="86"/>
        <v>0</v>
      </c>
      <c r="P301" s="12">
        <f t="shared" si="86"/>
        <v>0</v>
      </c>
      <c r="Q301" s="12">
        <f t="shared" si="86"/>
        <v>900</v>
      </c>
      <c r="R301" s="12">
        <f t="shared" si="86"/>
        <v>2344500</v>
      </c>
      <c r="S301" s="12">
        <f t="shared" si="86"/>
        <v>0</v>
      </c>
      <c r="T301" s="12">
        <f t="shared" si="86"/>
        <v>0</v>
      </c>
      <c r="U301" s="12">
        <f t="shared" si="86"/>
        <v>400000</v>
      </c>
      <c r="V301" s="22">
        <f>C301+C713+C1062</f>
        <v>24079300</v>
      </c>
    </row>
    <row r="302" spans="1:22" ht="21.95" customHeight="1" x14ac:dyDescent="0.25">
      <c r="A302" s="18" t="s">
        <v>1887</v>
      </c>
      <c r="B302" s="25" t="s">
        <v>289</v>
      </c>
      <c r="C302" s="12">
        <f t="shared" si="78"/>
        <v>4745385</v>
      </c>
      <c r="D302" s="20">
        <f t="shared" ref="D302:D303" si="87">SUM(E302:J302)</f>
        <v>1067635</v>
      </c>
      <c r="E302" s="20">
        <f>350*577.1</f>
        <v>201985</v>
      </c>
      <c r="F302" s="20">
        <f>800*577.1</f>
        <v>461680</v>
      </c>
      <c r="G302" s="20">
        <f>300*577.1</f>
        <v>173130</v>
      </c>
      <c r="H302" s="20">
        <f>350*0</f>
        <v>0</v>
      </c>
      <c r="I302" s="20">
        <f>400*577.1</f>
        <v>230840</v>
      </c>
      <c r="J302" s="20">
        <f>350*0</f>
        <v>0</v>
      </c>
      <c r="K302" s="21">
        <v>0</v>
      </c>
      <c r="L302" s="20">
        <v>0</v>
      </c>
      <c r="M302" s="20">
        <v>435</v>
      </c>
      <c r="N302" s="20">
        <f>M302*5300</f>
        <v>2305500</v>
      </c>
      <c r="O302" s="20">
        <v>0</v>
      </c>
      <c r="P302" s="20">
        <v>0</v>
      </c>
      <c r="Q302" s="20">
        <v>450</v>
      </c>
      <c r="R302" s="20">
        <f>Q302*2605</f>
        <v>1172250</v>
      </c>
      <c r="S302" s="20">
        <v>0</v>
      </c>
      <c r="T302" s="20">
        <v>0</v>
      </c>
      <c r="U302" s="20">
        <v>200000</v>
      </c>
      <c r="V302" s="1">
        <f t="shared" ref="V302:V303" si="88">N302/M302</f>
        <v>5300</v>
      </c>
    </row>
    <row r="303" spans="1:22" ht="21.95" customHeight="1" x14ac:dyDescent="0.25">
      <c r="A303" s="18" t="s">
        <v>1888</v>
      </c>
      <c r="B303" s="25" t="s">
        <v>290</v>
      </c>
      <c r="C303" s="12">
        <f t="shared" si="78"/>
        <v>4341415</v>
      </c>
      <c r="D303" s="20">
        <f t="shared" si="87"/>
        <v>663665</v>
      </c>
      <c r="E303" s="20">
        <f>350*577.1</f>
        <v>201985</v>
      </c>
      <c r="F303" s="20">
        <f>800*577.1</f>
        <v>461680</v>
      </c>
      <c r="G303" s="20">
        <f>300*0</f>
        <v>0</v>
      </c>
      <c r="H303" s="20">
        <f>350*0</f>
        <v>0</v>
      </c>
      <c r="I303" s="20">
        <f>400*0</f>
        <v>0</v>
      </c>
      <c r="J303" s="20">
        <f>350*0</f>
        <v>0</v>
      </c>
      <c r="K303" s="21">
        <v>0</v>
      </c>
      <c r="L303" s="20">
        <v>0</v>
      </c>
      <c r="M303" s="20">
        <v>435</v>
      </c>
      <c r="N303" s="20">
        <f>M303*5300</f>
        <v>2305500</v>
      </c>
      <c r="O303" s="20">
        <v>0</v>
      </c>
      <c r="P303" s="20">
        <v>0</v>
      </c>
      <c r="Q303" s="20">
        <v>450</v>
      </c>
      <c r="R303" s="20">
        <f>Q303*2605</f>
        <v>1172250</v>
      </c>
      <c r="S303" s="20">
        <v>0</v>
      </c>
      <c r="T303" s="20">
        <v>0</v>
      </c>
      <c r="U303" s="20">
        <v>200000</v>
      </c>
      <c r="V303" s="1">
        <f t="shared" si="88"/>
        <v>5300</v>
      </c>
    </row>
    <row r="304" spans="1:22" ht="45" customHeight="1" x14ac:dyDescent="0.25">
      <c r="A304" s="63" t="s">
        <v>293</v>
      </c>
      <c r="B304" s="63"/>
      <c r="C304" s="12">
        <f t="shared" si="78"/>
        <v>900000</v>
      </c>
      <c r="D304" s="12">
        <f t="shared" ref="D304:U304" si="89">SUM(D305:D307)</f>
        <v>0</v>
      </c>
      <c r="E304" s="12">
        <f t="shared" si="89"/>
        <v>0</v>
      </c>
      <c r="F304" s="12">
        <f t="shared" si="89"/>
        <v>0</v>
      </c>
      <c r="G304" s="12">
        <f t="shared" si="89"/>
        <v>0</v>
      </c>
      <c r="H304" s="12">
        <f t="shared" si="89"/>
        <v>0</v>
      </c>
      <c r="I304" s="12">
        <f t="shared" si="89"/>
        <v>0</v>
      </c>
      <c r="J304" s="12">
        <f t="shared" si="89"/>
        <v>0</v>
      </c>
      <c r="K304" s="13">
        <f t="shared" si="89"/>
        <v>0</v>
      </c>
      <c r="L304" s="12">
        <f t="shared" si="89"/>
        <v>0</v>
      </c>
      <c r="M304" s="12">
        <f t="shared" si="89"/>
        <v>0</v>
      </c>
      <c r="N304" s="12">
        <f t="shared" si="89"/>
        <v>0</v>
      </c>
      <c r="O304" s="12">
        <f t="shared" si="89"/>
        <v>0</v>
      </c>
      <c r="P304" s="12">
        <f t="shared" si="89"/>
        <v>0</v>
      </c>
      <c r="Q304" s="12">
        <f t="shared" si="89"/>
        <v>0</v>
      </c>
      <c r="R304" s="12">
        <f t="shared" si="89"/>
        <v>0</v>
      </c>
      <c r="S304" s="12">
        <f t="shared" si="89"/>
        <v>0</v>
      </c>
      <c r="T304" s="12">
        <f t="shared" si="89"/>
        <v>0</v>
      </c>
      <c r="U304" s="12">
        <f t="shared" si="89"/>
        <v>900000</v>
      </c>
      <c r="V304" s="22">
        <f>C304+C716+C1066</f>
        <v>49107770</v>
      </c>
    </row>
    <row r="305" spans="1:22" ht="21.95" customHeight="1" x14ac:dyDescent="0.25">
      <c r="A305" s="18" t="s">
        <v>1889</v>
      </c>
      <c r="B305" s="25" t="s">
        <v>298</v>
      </c>
      <c r="C305" s="12">
        <f t="shared" si="78"/>
        <v>300000</v>
      </c>
      <c r="D305" s="20">
        <f t="shared" ref="D305:D307" si="90">SUM(E305:J305)</f>
        <v>0</v>
      </c>
      <c r="E305" s="20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1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  <c r="S305" s="20">
        <v>0</v>
      </c>
      <c r="T305" s="20">
        <v>0</v>
      </c>
      <c r="U305" s="20">
        <v>300000</v>
      </c>
      <c r="V305" s="1" t="e">
        <f t="shared" ref="V305:V307" si="91">N305/M305</f>
        <v>#DIV/0!</v>
      </c>
    </row>
    <row r="306" spans="1:22" ht="21.95" customHeight="1" x14ac:dyDescent="0.25">
      <c r="A306" s="18" t="s">
        <v>1890</v>
      </c>
      <c r="B306" s="25" t="s">
        <v>299</v>
      </c>
      <c r="C306" s="12">
        <f t="shared" si="78"/>
        <v>300000</v>
      </c>
      <c r="D306" s="20">
        <f t="shared" si="90"/>
        <v>0</v>
      </c>
      <c r="E306" s="20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1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0">
        <v>0</v>
      </c>
      <c r="T306" s="20">
        <v>0</v>
      </c>
      <c r="U306" s="20">
        <v>300000</v>
      </c>
      <c r="V306" s="1" t="e">
        <f t="shared" si="91"/>
        <v>#DIV/0!</v>
      </c>
    </row>
    <row r="307" spans="1:22" ht="21.95" customHeight="1" x14ac:dyDescent="0.25">
      <c r="A307" s="18" t="s">
        <v>1891</v>
      </c>
      <c r="B307" s="25" t="s">
        <v>301</v>
      </c>
      <c r="C307" s="12">
        <f t="shared" si="78"/>
        <v>300000</v>
      </c>
      <c r="D307" s="20">
        <f t="shared" si="90"/>
        <v>0</v>
      </c>
      <c r="E307" s="20">
        <v>0</v>
      </c>
      <c r="F307" s="20">
        <v>0</v>
      </c>
      <c r="G307" s="20">
        <v>0</v>
      </c>
      <c r="H307" s="20">
        <v>0</v>
      </c>
      <c r="I307" s="20">
        <v>0</v>
      </c>
      <c r="J307" s="20">
        <v>0</v>
      </c>
      <c r="K307" s="21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0">
        <v>0</v>
      </c>
      <c r="T307" s="20">
        <v>0</v>
      </c>
      <c r="U307" s="20">
        <v>300000</v>
      </c>
      <c r="V307" s="1" t="e">
        <f t="shared" si="91"/>
        <v>#DIV/0!</v>
      </c>
    </row>
    <row r="308" spans="1:22" ht="45" customHeight="1" x14ac:dyDescent="0.25">
      <c r="A308" s="63" t="s">
        <v>311</v>
      </c>
      <c r="B308" s="63"/>
      <c r="C308" s="12">
        <f t="shared" si="78"/>
        <v>11553370</v>
      </c>
      <c r="D308" s="12">
        <f t="shared" ref="D308:U308" si="92">SUM(D309:D311)</f>
        <v>1131760</v>
      </c>
      <c r="E308" s="12">
        <f t="shared" si="92"/>
        <v>168560</v>
      </c>
      <c r="F308" s="12">
        <f t="shared" si="92"/>
        <v>385280</v>
      </c>
      <c r="G308" s="12">
        <f t="shared" si="92"/>
        <v>144480</v>
      </c>
      <c r="H308" s="12">
        <f t="shared" si="92"/>
        <v>240800</v>
      </c>
      <c r="I308" s="12">
        <f t="shared" si="92"/>
        <v>192640</v>
      </c>
      <c r="J308" s="12">
        <f t="shared" si="92"/>
        <v>0</v>
      </c>
      <c r="K308" s="13">
        <f t="shared" si="92"/>
        <v>0</v>
      </c>
      <c r="L308" s="12">
        <f t="shared" si="92"/>
        <v>0</v>
      </c>
      <c r="M308" s="12">
        <f t="shared" si="92"/>
        <v>1100</v>
      </c>
      <c r="N308" s="12">
        <f t="shared" si="92"/>
        <v>5830000</v>
      </c>
      <c r="O308" s="12">
        <f t="shared" si="92"/>
        <v>0</v>
      </c>
      <c r="P308" s="12">
        <f t="shared" si="92"/>
        <v>0</v>
      </c>
      <c r="Q308" s="12">
        <f t="shared" si="92"/>
        <v>1400</v>
      </c>
      <c r="R308" s="12">
        <f t="shared" si="92"/>
        <v>3647000</v>
      </c>
      <c r="S308" s="12">
        <f t="shared" si="92"/>
        <v>344610</v>
      </c>
      <c r="T308" s="12">
        <f t="shared" si="92"/>
        <v>0</v>
      </c>
      <c r="U308" s="12">
        <f t="shared" si="92"/>
        <v>600000</v>
      </c>
      <c r="V308" s="22">
        <f>C308+C727</f>
        <v>15326294</v>
      </c>
    </row>
    <row r="309" spans="1:22" ht="21.95" customHeight="1" x14ac:dyDescent="0.25">
      <c r="A309" s="18" t="s">
        <v>1892</v>
      </c>
      <c r="B309" s="25" t="s">
        <v>312</v>
      </c>
      <c r="C309" s="12">
        <f t="shared" si="78"/>
        <v>3256320</v>
      </c>
      <c r="D309" s="20">
        <f t="shared" ref="D309:D311" si="93">SUM(E309:J309)</f>
        <v>0</v>
      </c>
      <c r="E309" s="20">
        <v>0</v>
      </c>
      <c r="F309" s="20">
        <v>0</v>
      </c>
      <c r="G309" s="20">
        <v>0</v>
      </c>
      <c r="H309" s="20">
        <v>0</v>
      </c>
      <c r="I309" s="20">
        <v>0</v>
      </c>
      <c r="J309" s="20">
        <v>0</v>
      </c>
      <c r="K309" s="21">
        <v>0</v>
      </c>
      <c r="L309" s="20">
        <v>0</v>
      </c>
      <c r="M309" s="20">
        <v>335</v>
      </c>
      <c r="N309" s="20">
        <f>M309*5300</f>
        <v>1775500</v>
      </c>
      <c r="O309" s="20">
        <v>0</v>
      </c>
      <c r="P309" s="20">
        <v>0</v>
      </c>
      <c r="Q309" s="20">
        <v>450</v>
      </c>
      <c r="R309" s="20">
        <f>Q309*2605</f>
        <v>1172250</v>
      </c>
      <c r="S309" s="20">
        <v>108570</v>
      </c>
      <c r="T309" s="20">
        <v>0</v>
      </c>
      <c r="U309" s="20">
        <v>200000</v>
      </c>
      <c r="V309" s="1">
        <f t="shared" ref="V309:V311" si="94">N309/M309</f>
        <v>5300</v>
      </c>
    </row>
    <row r="310" spans="1:22" ht="21.95" customHeight="1" x14ac:dyDescent="0.25">
      <c r="A310" s="18" t="s">
        <v>1893</v>
      </c>
      <c r="B310" s="25" t="s">
        <v>313</v>
      </c>
      <c r="C310" s="12">
        <f t="shared" si="78"/>
        <v>3257580</v>
      </c>
      <c r="D310" s="20">
        <f t="shared" si="93"/>
        <v>0</v>
      </c>
      <c r="E310" s="20">
        <v>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1">
        <v>0</v>
      </c>
      <c r="L310" s="20">
        <v>0</v>
      </c>
      <c r="M310" s="20">
        <v>335</v>
      </c>
      <c r="N310" s="20">
        <f>M310*5300</f>
        <v>1775500</v>
      </c>
      <c r="O310" s="20">
        <v>0</v>
      </c>
      <c r="P310" s="20">
        <v>0</v>
      </c>
      <c r="Q310" s="20">
        <v>450</v>
      </c>
      <c r="R310" s="20">
        <f>Q310*2605</f>
        <v>1172250</v>
      </c>
      <c r="S310" s="20">
        <v>109830</v>
      </c>
      <c r="T310" s="20">
        <v>0</v>
      </c>
      <c r="U310" s="20">
        <v>200000</v>
      </c>
      <c r="V310" s="1">
        <f t="shared" si="94"/>
        <v>5300</v>
      </c>
    </row>
    <row r="311" spans="1:22" ht="21.95" customHeight="1" x14ac:dyDescent="0.25">
      <c r="A311" s="18" t="s">
        <v>1894</v>
      </c>
      <c r="B311" s="25" t="s">
        <v>314</v>
      </c>
      <c r="C311" s="12">
        <f t="shared" si="78"/>
        <v>5039470</v>
      </c>
      <c r="D311" s="20">
        <f t="shared" si="93"/>
        <v>1131760</v>
      </c>
      <c r="E311" s="20">
        <f>350*481.6</f>
        <v>168560</v>
      </c>
      <c r="F311" s="20">
        <f>800*481.6</f>
        <v>385280</v>
      </c>
      <c r="G311" s="20">
        <f>300*481.6</f>
        <v>144480</v>
      </c>
      <c r="H311" s="20">
        <f>500*481.6</f>
        <v>240800</v>
      </c>
      <c r="I311" s="20">
        <f>400*481.6</f>
        <v>192640</v>
      </c>
      <c r="J311" s="20">
        <f>350*0</f>
        <v>0</v>
      </c>
      <c r="K311" s="21">
        <v>0</v>
      </c>
      <c r="L311" s="20">
        <v>0</v>
      </c>
      <c r="M311" s="20">
        <v>430</v>
      </c>
      <c r="N311" s="20">
        <f>M311*5300</f>
        <v>2279000</v>
      </c>
      <c r="O311" s="20">
        <v>0</v>
      </c>
      <c r="P311" s="20">
        <v>0</v>
      </c>
      <c r="Q311" s="20">
        <v>500</v>
      </c>
      <c r="R311" s="20">
        <f>Q311*2605</f>
        <v>1302500</v>
      </c>
      <c r="S311" s="20">
        <v>126210</v>
      </c>
      <c r="T311" s="20">
        <v>0</v>
      </c>
      <c r="U311" s="20">
        <v>200000</v>
      </c>
      <c r="V311" s="1">
        <f t="shared" si="94"/>
        <v>5300</v>
      </c>
    </row>
    <row r="312" spans="1:22" ht="45" customHeight="1" x14ac:dyDescent="0.25">
      <c r="A312" s="63" t="s">
        <v>316</v>
      </c>
      <c r="B312" s="63"/>
      <c r="C312" s="12">
        <f t="shared" si="78"/>
        <v>300000</v>
      </c>
      <c r="D312" s="12">
        <f t="shared" ref="D312:U312" si="95">SUM(D313)</f>
        <v>0</v>
      </c>
      <c r="E312" s="12">
        <f t="shared" si="95"/>
        <v>0</v>
      </c>
      <c r="F312" s="12">
        <f t="shared" si="95"/>
        <v>0</v>
      </c>
      <c r="G312" s="12">
        <f t="shared" si="95"/>
        <v>0</v>
      </c>
      <c r="H312" s="12">
        <f t="shared" si="95"/>
        <v>0</v>
      </c>
      <c r="I312" s="12">
        <f t="shared" si="95"/>
        <v>0</v>
      </c>
      <c r="J312" s="12">
        <f t="shared" si="95"/>
        <v>0</v>
      </c>
      <c r="K312" s="13">
        <f t="shared" si="95"/>
        <v>0</v>
      </c>
      <c r="L312" s="12">
        <f t="shared" si="95"/>
        <v>0</v>
      </c>
      <c r="M312" s="12">
        <f t="shared" si="95"/>
        <v>0</v>
      </c>
      <c r="N312" s="12">
        <f t="shared" si="95"/>
        <v>0</v>
      </c>
      <c r="O312" s="12">
        <f t="shared" si="95"/>
        <v>0</v>
      </c>
      <c r="P312" s="12">
        <f t="shared" si="95"/>
        <v>0</v>
      </c>
      <c r="Q312" s="12">
        <f t="shared" si="95"/>
        <v>0</v>
      </c>
      <c r="R312" s="12">
        <f t="shared" si="95"/>
        <v>0</v>
      </c>
      <c r="S312" s="12">
        <f t="shared" si="95"/>
        <v>0</v>
      </c>
      <c r="T312" s="12">
        <f t="shared" si="95"/>
        <v>0</v>
      </c>
      <c r="U312" s="12">
        <f t="shared" si="95"/>
        <v>300000</v>
      </c>
      <c r="V312" s="22">
        <f>C312+C729+C1069</f>
        <v>17409295</v>
      </c>
    </row>
    <row r="313" spans="1:22" ht="21.95" customHeight="1" x14ac:dyDescent="0.25">
      <c r="A313" s="26" t="s">
        <v>1895</v>
      </c>
      <c r="B313" s="25" t="s">
        <v>320</v>
      </c>
      <c r="C313" s="12">
        <f t="shared" si="78"/>
        <v>300000</v>
      </c>
      <c r="D313" s="20">
        <f t="shared" ref="D313" si="96">SUM(E313:J313)</f>
        <v>0</v>
      </c>
      <c r="E313" s="20">
        <v>0</v>
      </c>
      <c r="F313" s="20">
        <v>0</v>
      </c>
      <c r="G313" s="20">
        <v>0</v>
      </c>
      <c r="H313" s="20">
        <v>0</v>
      </c>
      <c r="I313" s="20">
        <v>0</v>
      </c>
      <c r="J313" s="20">
        <v>0</v>
      </c>
      <c r="K313" s="21">
        <v>0</v>
      </c>
      <c r="L313" s="20">
        <v>0</v>
      </c>
      <c r="M313" s="8">
        <v>0</v>
      </c>
      <c r="N313" s="8">
        <v>0</v>
      </c>
      <c r="O313" s="20">
        <v>0</v>
      </c>
      <c r="P313" s="20">
        <v>0</v>
      </c>
      <c r="Q313" s="20">
        <v>0</v>
      </c>
      <c r="R313" s="20">
        <v>0</v>
      </c>
      <c r="S313" s="20">
        <v>0</v>
      </c>
      <c r="T313" s="20">
        <v>0</v>
      </c>
      <c r="U313" s="20">
        <v>300000</v>
      </c>
      <c r="V313" s="1" t="e">
        <f>N313/M313</f>
        <v>#DIV/0!</v>
      </c>
    </row>
    <row r="314" spans="1:22" ht="40.15" customHeight="1" x14ac:dyDescent="0.25">
      <c r="A314" s="63" t="s">
        <v>1208</v>
      </c>
      <c r="B314" s="63"/>
      <c r="C314" s="12">
        <f t="shared" si="78"/>
        <v>3804772</v>
      </c>
      <c r="D314" s="12">
        <f t="shared" ref="D314:U314" si="97">SUM(D315)</f>
        <v>127022</v>
      </c>
      <c r="E314" s="12">
        <f t="shared" si="97"/>
        <v>127022</v>
      </c>
      <c r="F314" s="12">
        <f t="shared" si="97"/>
        <v>0</v>
      </c>
      <c r="G314" s="12">
        <f t="shared" si="97"/>
        <v>0</v>
      </c>
      <c r="H314" s="12">
        <f t="shared" si="97"/>
        <v>0</v>
      </c>
      <c r="I314" s="12">
        <f t="shared" si="97"/>
        <v>0</v>
      </c>
      <c r="J314" s="12">
        <f t="shared" si="97"/>
        <v>0</v>
      </c>
      <c r="K314" s="13">
        <f t="shared" si="97"/>
        <v>0</v>
      </c>
      <c r="L314" s="12">
        <f t="shared" si="97"/>
        <v>0</v>
      </c>
      <c r="M314" s="12">
        <f t="shared" si="97"/>
        <v>435</v>
      </c>
      <c r="N314" s="12">
        <f t="shared" si="97"/>
        <v>2305500</v>
      </c>
      <c r="O314" s="12">
        <f t="shared" si="97"/>
        <v>0</v>
      </c>
      <c r="P314" s="12">
        <f t="shared" si="97"/>
        <v>0</v>
      </c>
      <c r="Q314" s="12">
        <f t="shared" si="97"/>
        <v>450</v>
      </c>
      <c r="R314" s="12">
        <f t="shared" si="97"/>
        <v>1172250</v>
      </c>
      <c r="S314" s="12">
        <f t="shared" si="97"/>
        <v>0</v>
      </c>
      <c r="T314" s="12">
        <f t="shared" si="97"/>
        <v>0</v>
      </c>
      <c r="U314" s="12">
        <f t="shared" si="97"/>
        <v>200000</v>
      </c>
      <c r="V314" s="22">
        <f>C314+C733+C1076</f>
        <v>8810162</v>
      </c>
    </row>
    <row r="315" spans="1:22" ht="21.95" customHeight="1" x14ac:dyDescent="0.25">
      <c r="A315" s="18" t="s">
        <v>1896</v>
      </c>
      <c r="B315" s="25" t="s">
        <v>327</v>
      </c>
      <c r="C315" s="12">
        <f t="shared" si="78"/>
        <v>3804772</v>
      </c>
      <c r="D315" s="20">
        <f t="shared" ref="D315" si="98">SUM(E315:J315)</f>
        <v>127022</v>
      </c>
      <c r="E315" s="20">
        <f>350*362.92</f>
        <v>127022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1">
        <v>0</v>
      </c>
      <c r="L315" s="20">
        <v>0</v>
      </c>
      <c r="M315" s="20">
        <v>435</v>
      </c>
      <c r="N315" s="20">
        <f>M315*5300</f>
        <v>2305500</v>
      </c>
      <c r="O315" s="20">
        <v>0</v>
      </c>
      <c r="P315" s="20">
        <v>0</v>
      </c>
      <c r="Q315" s="20">
        <v>450</v>
      </c>
      <c r="R315" s="20">
        <f>Q315*2605</f>
        <v>1172250</v>
      </c>
      <c r="S315" s="20">
        <v>0</v>
      </c>
      <c r="T315" s="20">
        <v>0</v>
      </c>
      <c r="U315" s="20">
        <v>200000</v>
      </c>
      <c r="V315" s="1">
        <f>N315/M315</f>
        <v>5300</v>
      </c>
    </row>
    <row r="316" spans="1:22" ht="42.95" customHeight="1" x14ac:dyDescent="0.25">
      <c r="A316" s="63" t="s">
        <v>328</v>
      </c>
      <c r="B316" s="63"/>
      <c r="C316" s="12">
        <f t="shared" si="78"/>
        <v>2480000</v>
      </c>
      <c r="D316" s="12">
        <f t="shared" ref="D316:U316" si="99">SUM(D317:D318)</f>
        <v>0</v>
      </c>
      <c r="E316" s="12">
        <f t="shared" si="99"/>
        <v>0</v>
      </c>
      <c r="F316" s="12">
        <f t="shared" si="99"/>
        <v>0</v>
      </c>
      <c r="G316" s="12">
        <f t="shared" si="99"/>
        <v>0</v>
      </c>
      <c r="H316" s="12">
        <f t="shared" si="99"/>
        <v>0</v>
      </c>
      <c r="I316" s="12">
        <f t="shared" si="99"/>
        <v>0</v>
      </c>
      <c r="J316" s="12">
        <f t="shared" si="99"/>
        <v>0</v>
      </c>
      <c r="K316" s="13">
        <f t="shared" si="99"/>
        <v>0</v>
      </c>
      <c r="L316" s="12">
        <f t="shared" si="99"/>
        <v>0</v>
      </c>
      <c r="M316" s="12">
        <f t="shared" si="99"/>
        <v>600</v>
      </c>
      <c r="N316" s="12">
        <f t="shared" si="99"/>
        <v>1980000</v>
      </c>
      <c r="O316" s="12">
        <f t="shared" si="99"/>
        <v>0</v>
      </c>
      <c r="P316" s="12">
        <f t="shared" si="99"/>
        <v>0</v>
      </c>
      <c r="Q316" s="12">
        <f t="shared" si="99"/>
        <v>0</v>
      </c>
      <c r="R316" s="12">
        <f t="shared" si="99"/>
        <v>0</v>
      </c>
      <c r="S316" s="12">
        <f t="shared" si="99"/>
        <v>0</v>
      </c>
      <c r="T316" s="12">
        <f t="shared" si="99"/>
        <v>0</v>
      </c>
      <c r="U316" s="12">
        <f t="shared" si="99"/>
        <v>500000</v>
      </c>
      <c r="V316" s="22">
        <f>C316+C735+C1078</f>
        <v>23056600</v>
      </c>
    </row>
    <row r="317" spans="1:22" ht="23.1" customHeight="1" x14ac:dyDescent="0.25">
      <c r="A317" s="26" t="s">
        <v>1897</v>
      </c>
      <c r="B317" s="25" t="s">
        <v>1211</v>
      </c>
      <c r="C317" s="12">
        <f t="shared" si="78"/>
        <v>2180000</v>
      </c>
      <c r="D317" s="20">
        <f t="shared" ref="D317:D318" si="100">SUM(E317:J317)</f>
        <v>0</v>
      </c>
      <c r="E317" s="20">
        <v>0</v>
      </c>
      <c r="F317" s="20">
        <v>0</v>
      </c>
      <c r="G317" s="20">
        <v>0</v>
      </c>
      <c r="H317" s="20">
        <v>0</v>
      </c>
      <c r="I317" s="20">
        <v>0</v>
      </c>
      <c r="J317" s="20">
        <v>0</v>
      </c>
      <c r="K317" s="9">
        <v>0</v>
      </c>
      <c r="L317" s="8">
        <v>0</v>
      </c>
      <c r="M317" s="8">
        <v>600</v>
      </c>
      <c r="N317" s="8">
        <v>1980000</v>
      </c>
      <c r="O317" s="8">
        <v>0</v>
      </c>
      <c r="P317" s="8">
        <v>0</v>
      </c>
      <c r="Q317" s="8">
        <v>0</v>
      </c>
      <c r="R317" s="8">
        <v>0</v>
      </c>
      <c r="S317" s="8">
        <v>0</v>
      </c>
      <c r="T317" s="8">
        <v>0</v>
      </c>
      <c r="U317" s="8">
        <v>200000</v>
      </c>
      <c r="V317" s="1">
        <f t="shared" ref="V317:V318" si="101">N317/M317</f>
        <v>3300</v>
      </c>
    </row>
    <row r="318" spans="1:22" ht="23.1" customHeight="1" x14ac:dyDescent="0.25">
      <c r="A318" s="26" t="s">
        <v>1898</v>
      </c>
      <c r="B318" s="25" t="s">
        <v>330</v>
      </c>
      <c r="C318" s="12">
        <f t="shared" ref="C318:C343" si="102">D318+L318+N318+P318+R318+S318+T318+U318</f>
        <v>300000</v>
      </c>
      <c r="D318" s="20">
        <f t="shared" si="100"/>
        <v>0</v>
      </c>
      <c r="E318" s="20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1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  <c r="Q318" s="20">
        <v>0</v>
      </c>
      <c r="R318" s="20">
        <v>0</v>
      </c>
      <c r="S318" s="20">
        <v>0</v>
      </c>
      <c r="T318" s="20">
        <v>0</v>
      </c>
      <c r="U318" s="20">
        <v>300000</v>
      </c>
      <c r="V318" s="1" t="e">
        <f t="shared" si="101"/>
        <v>#DIV/0!</v>
      </c>
    </row>
    <row r="319" spans="1:22" ht="42.95" customHeight="1" x14ac:dyDescent="0.25">
      <c r="A319" s="63" t="s">
        <v>332</v>
      </c>
      <c r="B319" s="63"/>
      <c r="C319" s="12">
        <f t="shared" si="102"/>
        <v>3743595</v>
      </c>
      <c r="D319" s="12">
        <f t="shared" ref="D319:U321" si="103">SUM(D320)</f>
        <v>0</v>
      </c>
      <c r="E319" s="12">
        <f t="shared" si="103"/>
        <v>0</v>
      </c>
      <c r="F319" s="12">
        <f t="shared" si="103"/>
        <v>0</v>
      </c>
      <c r="G319" s="12">
        <f t="shared" si="103"/>
        <v>0</v>
      </c>
      <c r="H319" s="12">
        <f t="shared" si="103"/>
        <v>0</v>
      </c>
      <c r="I319" s="12">
        <f t="shared" si="103"/>
        <v>0</v>
      </c>
      <c r="J319" s="12">
        <f t="shared" si="103"/>
        <v>0</v>
      </c>
      <c r="K319" s="13">
        <f t="shared" si="103"/>
        <v>0</v>
      </c>
      <c r="L319" s="12">
        <f t="shared" si="103"/>
        <v>0</v>
      </c>
      <c r="M319" s="12">
        <f t="shared" si="103"/>
        <v>443</v>
      </c>
      <c r="N319" s="12">
        <f t="shared" si="103"/>
        <v>2347900</v>
      </c>
      <c r="O319" s="12">
        <f t="shared" si="103"/>
        <v>0</v>
      </c>
      <c r="P319" s="12">
        <f t="shared" si="103"/>
        <v>0</v>
      </c>
      <c r="Q319" s="12">
        <f t="shared" si="103"/>
        <v>459</v>
      </c>
      <c r="R319" s="12">
        <f t="shared" si="103"/>
        <v>1195695</v>
      </c>
      <c r="S319" s="12">
        <f t="shared" si="103"/>
        <v>0</v>
      </c>
      <c r="T319" s="12">
        <f t="shared" si="103"/>
        <v>0</v>
      </c>
      <c r="U319" s="12">
        <f t="shared" si="103"/>
        <v>200000</v>
      </c>
      <c r="V319" s="22">
        <f>C319+C739</f>
        <v>8253595</v>
      </c>
    </row>
    <row r="320" spans="1:22" ht="23.1" customHeight="1" x14ac:dyDescent="0.25">
      <c r="A320" s="18" t="s">
        <v>1899</v>
      </c>
      <c r="B320" s="27" t="s">
        <v>334</v>
      </c>
      <c r="C320" s="12">
        <f t="shared" si="102"/>
        <v>3743595</v>
      </c>
      <c r="D320" s="20">
        <f t="shared" ref="D320" si="104">SUM(E320:J320)</f>
        <v>0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1">
        <v>0</v>
      </c>
      <c r="L320" s="20">
        <v>0</v>
      </c>
      <c r="M320" s="20">
        <v>443</v>
      </c>
      <c r="N320" s="20">
        <v>2347900</v>
      </c>
      <c r="O320" s="20">
        <v>0</v>
      </c>
      <c r="P320" s="20">
        <v>0</v>
      </c>
      <c r="Q320" s="20">
        <v>459</v>
      </c>
      <c r="R320" s="20">
        <v>1195695</v>
      </c>
      <c r="S320" s="20">
        <v>0</v>
      </c>
      <c r="T320" s="20">
        <v>0</v>
      </c>
      <c r="U320" s="20">
        <v>200000</v>
      </c>
      <c r="V320" s="1">
        <f>N320/M320</f>
        <v>5300</v>
      </c>
    </row>
    <row r="321" spans="1:22" ht="42.95" customHeight="1" x14ac:dyDescent="0.25">
      <c r="A321" s="63" t="s">
        <v>1608</v>
      </c>
      <c r="B321" s="63"/>
      <c r="C321" s="12">
        <f t="shared" ref="C321:C322" si="105">D321+L321+N321+P321+R321+S321+T321+U321</f>
        <v>4169344</v>
      </c>
      <c r="D321" s="12">
        <f t="shared" si="103"/>
        <v>0</v>
      </c>
      <c r="E321" s="12">
        <f t="shared" si="103"/>
        <v>0</v>
      </c>
      <c r="F321" s="12">
        <f t="shared" si="103"/>
        <v>0</v>
      </c>
      <c r="G321" s="12">
        <f t="shared" si="103"/>
        <v>0</v>
      </c>
      <c r="H321" s="12">
        <f t="shared" si="103"/>
        <v>0</v>
      </c>
      <c r="I321" s="12">
        <f t="shared" si="103"/>
        <v>0</v>
      </c>
      <c r="J321" s="12">
        <f t="shared" si="103"/>
        <v>0</v>
      </c>
      <c r="K321" s="13">
        <f t="shared" si="103"/>
        <v>0</v>
      </c>
      <c r="L321" s="12">
        <f t="shared" si="103"/>
        <v>0</v>
      </c>
      <c r="M321" s="12">
        <f t="shared" si="103"/>
        <v>1104</v>
      </c>
      <c r="N321" s="12">
        <f t="shared" si="103"/>
        <v>4069344</v>
      </c>
      <c r="O321" s="12">
        <f t="shared" si="103"/>
        <v>0</v>
      </c>
      <c r="P321" s="12">
        <f t="shared" si="103"/>
        <v>0</v>
      </c>
      <c r="Q321" s="12">
        <f t="shared" si="103"/>
        <v>0</v>
      </c>
      <c r="R321" s="12">
        <f t="shared" si="103"/>
        <v>0</v>
      </c>
      <c r="S321" s="12">
        <f t="shared" si="103"/>
        <v>0</v>
      </c>
      <c r="T321" s="12">
        <f t="shared" si="103"/>
        <v>0</v>
      </c>
      <c r="U321" s="12">
        <f t="shared" si="103"/>
        <v>100000</v>
      </c>
      <c r="V321" s="22">
        <f>C321+C741</f>
        <v>23840344</v>
      </c>
    </row>
    <row r="322" spans="1:22" ht="23.1" customHeight="1" x14ac:dyDescent="0.25">
      <c r="A322" s="18" t="s">
        <v>1900</v>
      </c>
      <c r="B322" s="27" t="s">
        <v>1609</v>
      </c>
      <c r="C322" s="12">
        <f t="shared" si="105"/>
        <v>4169344</v>
      </c>
      <c r="D322" s="20">
        <f t="shared" ref="D322" si="106">SUM(E322:J322)</f>
        <v>0</v>
      </c>
      <c r="E322" s="20">
        <v>0</v>
      </c>
      <c r="F322" s="20">
        <v>0</v>
      </c>
      <c r="G322" s="20">
        <v>0</v>
      </c>
      <c r="H322" s="20">
        <v>0</v>
      </c>
      <c r="I322" s="20">
        <v>0</v>
      </c>
      <c r="J322" s="20">
        <v>0</v>
      </c>
      <c r="K322" s="21">
        <v>0</v>
      </c>
      <c r="L322" s="20">
        <v>0</v>
      </c>
      <c r="M322" s="20">
        <v>1104</v>
      </c>
      <c r="N322" s="20">
        <f>M322*3686</f>
        <v>4069344</v>
      </c>
      <c r="O322" s="20">
        <v>0</v>
      </c>
      <c r="P322" s="20">
        <v>0</v>
      </c>
      <c r="Q322" s="20">
        <v>0</v>
      </c>
      <c r="R322" s="20">
        <v>0</v>
      </c>
      <c r="S322" s="20">
        <v>0</v>
      </c>
      <c r="T322" s="20">
        <v>0</v>
      </c>
      <c r="U322" s="20">
        <v>100000</v>
      </c>
      <c r="V322" s="1">
        <f>N322/M322</f>
        <v>3686</v>
      </c>
    </row>
    <row r="323" spans="1:22" ht="35.1" customHeight="1" x14ac:dyDescent="0.25">
      <c r="A323" s="63" t="s">
        <v>335</v>
      </c>
      <c r="B323" s="63"/>
      <c r="C323" s="12">
        <f t="shared" si="102"/>
        <v>8719354</v>
      </c>
      <c r="D323" s="12">
        <f t="shared" ref="D323:U323" si="107">SUM(D324:D325)</f>
        <v>1123251</v>
      </c>
      <c r="E323" s="12">
        <f t="shared" si="107"/>
        <v>341859</v>
      </c>
      <c r="F323" s="12">
        <f t="shared" si="107"/>
        <v>781392</v>
      </c>
      <c r="G323" s="12">
        <f t="shared" si="107"/>
        <v>0</v>
      </c>
      <c r="H323" s="12">
        <f t="shared" si="107"/>
        <v>0</v>
      </c>
      <c r="I323" s="12">
        <f t="shared" si="107"/>
        <v>0</v>
      </c>
      <c r="J323" s="12">
        <f t="shared" si="107"/>
        <v>0</v>
      </c>
      <c r="K323" s="13">
        <f t="shared" si="107"/>
        <v>0</v>
      </c>
      <c r="L323" s="12">
        <f t="shared" si="107"/>
        <v>0</v>
      </c>
      <c r="M323" s="12">
        <f t="shared" si="107"/>
        <v>1057.4000000000001</v>
      </c>
      <c r="N323" s="12">
        <f t="shared" si="107"/>
        <v>5706500</v>
      </c>
      <c r="O323" s="12">
        <f t="shared" si="107"/>
        <v>0</v>
      </c>
      <c r="P323" s="12">
        <f t="shared" si="107"/>
        <v>0</v>
      </c>
      <c r="Q323" s="12">
        <f t="shared" si="107"/>
        <v>648.6</v>
      </c>
      <c r="R323" s="12">
        <f t="shared" si="107"/>
        <v>1689603</v>
      </c>
      <c r="S323" s="12">
        <f t="shared" si="107"/>
        <v>0</v>
      </c>
      <c r="T323" s="12">
        <f t="shared" si="107"/>
        <v>0</v>
      </c>
      <c r="U323" s="12">
        <f t="shared" si="107"/>
        <v>200000</v>
      </c>
      <c r="V323" s="22">
        <f>C323</f>
        <v>8719354</v>
      </c>
    </row>
    <row r="324" spans="1:22" ht="23.1" customHeight="1" x14ac:dyDescent="0.25">
      <c r="A324" s="26" t="s">
        <v>1901</v>
      </c>
      <c r="B324" s="25" t="s">
        <v>1604</v>
      </c>
      <c r="C324" s="12">
        <f t="shared" si="102"/>
        <v>2812700</v>
      </c>
      <c r="D324" s="20">
        <f t="shared" ref="D324:D325" si="108">SUM(E324:J324)</f>
        <v>0</v>
      </c>
      <c r="E324" s="8">
        <v>0</v>
      </c>
      <c r="F324" s="8">
        <v>0</v>
      </c>
      <c r="G324" s="8">
        <v>0</v>
      </c>
      <c r="H324" s="8">
        <v>0</v>
      </c>
      <c r="I324" s="8">
        <v>0</v>
      </c>
      <c r="J324" s="8">
        <v>0</v>
      </c>
      <c r="K324" s="9">
        <v>0</v>
      </c>
      <c r="L324" s="8">
        <v>0</v>
      </c>
      <c r="M324" s="8">
        <v>511.4</v>
      </c>
      <c r="N324" s="8">
        <f>M324*5500</f>
        <v>2812700</v>
      </c>
      <c r="O324" s="8">
        <v>0</v>
      </c>
      <c r="P324" s="8">
        <v>0</v>
      </c>
      <c r="Q324" s="8">
        <v>0</v>
      </c>
      <c r="R324" s="8">
        <v>0</v>
      </c>
      <c r="S324" s="8">
        <v>0</v>
      </c>
      <c r="T324" s="8">
        <v>0</v>
      </c>
      <c r="U324" s="8">
        <v>0</v>
      </c>
      <c r="V324" s="1">
        <f t="shared" ref="V324:V325" si="109">N324/M324</f>
        <v>5500</v>
      </c>
    </row>
    <row r="325" spans="1:22" ht="23.1" customHeight="1" x14ac:dyDescent="0.25">
      <c r="A325" s="26" t="s">
        <v>1902</v>
      </c>
      <c r="B325" s="25" t="s">
        <v>336</v>
      </c>
      <c r="C325" s="12">
        <f t="shared" si="102"/>
        <v>5906654</v>
      </c>
      <c r="D325" s="20">
        <f t="shared" si="108"/>
        <v>1123251</v>
      </c>
      <c r="E325" s="20">
        <f>350*976.74</f>
        <v>341859</v>
      </c>
      <c r="F325" s="20">
        <f>800*976.74</f>
        <v>781392</v>
      </c>
      <c r="G325" s="20">
        <v>0</v>
      </c>
      <c r="H325" s="20">
        <v>0</v>
      </c>
      <c r="I325" s="20">
        <v>0</v>
      </c>
      <c r="J325" s="20">
        <v>0</v>
      </c>
      <c r="K325" s="9">
        <v>0</v>
      </c>
      <c r="L325" s="8">
        <v>0</v>
      </c>
      <c r="M325" s="8">
        <v>546</v>
      </c>
      <c r="N325" s="20">
        <v>2893800</v>
      </c>
      <c r="O325" s="8">
        <v>0</v>
      </c>
      <c r="P325" s="8">
        <v>0</v>
      </c>
      <c r="Q325" s="8">
        <v>648.6</v>
      </c>
      <c r="R325" s="8">
        <v>1689603</v>
      </c>
      <c r="S325" s="8">
        <v>0</v>
      </c>
      <c r="T325" s="8">
        <v>0</v>
      </c>
      <c r="U325" s="8">
        <v>200000</v>
      </c>
      <c r="V325" s="1">
        <f t="shared" si="109"/>
        <v>5300</v>
      </c>
    </row>
    <row r="326" spans="1:22" ht="40.15" customHeight="1" x14ac:dyDescent="0.25">
      <c r="A326" s="63" t="s">
        <v>337</v>
      </c>
      <c r="B326" s="63"/>
      <c r="C326" s="12">
        <f t="shared" si="102"/>
        <v>3020000</v>
      </c>
      <c r="D326" s="12">
        <f t="shared" ref="D326:U326" si="110">SUM(D327)</f>
        <v>2820000</v>
      </c>
      <c r="E326" s="12">
        <f t="shared" si="110"/>
        <v>420000</v>
      </c>
      <c r="F326" s="12">
        <f t="shared" si="110"/>
        <v>960000</v>
      </c>
      <c r="G326" s="12">
        <f t="shared" si="110"/>
        <v>360000</v>
      </c>
      <c r="H326" s="12">
        <f t="shared" si="110"/>
        <v>600000</v>
      </c>
      <c r="I326" s="12">
        <f t="shared" si="110"/>
        <v>480000</v>
      </c>
      <c r="J326" s="12">
        <f t="shared" si="110"/>
        <v>0</v>
      </c>
      <c r="K326" s="13">
        <f t="shared" si="110"/>
        <v>0</v>
      </c>
      <c r="L326" s="12">
        <f t="shared" si="110"/>
        <v>0</v>
      </c>
      <c r="M326" s="12">
        <f t="shared" si="110"/>
        <v>0</v>
      </c>
      <c r="N326" s="12">
        <f t="shared" si="110"/>
        <v>0</v>
      </c>
      <c r="O326" s="12">
        <f t="shared" si="110"/>
        <v>0</v>
      </c>
      <c r="P326" s="12">
        <f t="shared" si="110"/>
        <v>0</v>
      </c>
      <c r="Q326" s="12">
        <f t="shared" si="110"/>
        <v>0</v>
      </c>
      <c r="R326" s="12">
        <f t="shared" si="110"/>
        <v>0</v>
      </c>
      <c r="S326" s="12">
        <f t="shared" si="110"/>
        <v>0</v>
      </c>
      <c r="T326" s="12">
        <f t="shared" si="110"/>
        <v>0</v>
      </c>
      <c r="U326" s="12">
        <f t="shared" si="110"/>
        <v>200000</v>
      </c>
      <c r="V326" s="22">
        <f>C326+C741</f>
        <v>22691000</v>
      </c>
    </row>
    <row r="327" spans="1:22" ht="21.95" customHeight="1" x14ac:dyDescent="0.25">
      <c r="A327" s="18" t="s">
        <v>1903</v>
      </c>
      <c r="B327" s="25" t="s">
        <v>837</v>
      </c>
      <c r="C327" s="12">
        <f t="shared" si="102"/>
        <v>3020000</v>
      </c>
      <c r="D327" s="20">
        <f t="shared" ref="D327" si="111">SUM(E327:J327)</f>
        <v>2820000</v>
      </c>
      <c r="E327" s="20">
        <f>350*1200</f>
        <v>420000</v>
      </c>
      <c r="F327" s="20">
        <f>800*1200</f>
        <v>960000</v>
      </c>
      <c r="G327" s="20">
        <f>300*1200</f>
        <v>360000</v>
      </c>
      <c r="H327" s="20">
        <f>500*1200</f>
        <v>600000</v>
      </c>
      <c r="I327" s="20">
        <f>400*1200</f>
        <v>480000</v>
      </c>
      <c r="J327" s="20">
        <f>350*0</f>
        <v>0</v>
      </c>
      <c r="K327" s="21">
        <v>0</v>
      </c>
      <c r="L327" s="20">
        <v>0</v>
      </c>
      <c r="M327" s="20">
        <v>0</v>
      </c>
      <c r="N327" s="20">
        <v>0</v>
      </c>
      <c r="O327" s="20">
        <v>0</v>
      </c>
      <c r="P327" s="20">
        <v>0</v>
      </c>
      <c r="Q327" s="20">
        <v>0</v>
      </c>
      <c r="R327" s="20">
        <v>0</v>
      </c>
      <c r="S327" s="20">
        <v>0</v>
      </c>
      <c r="T327" s="20">
        <v>0</v>
      </c>
      <c r="U327" s="20">
        <v>200000</v>
      </c>
      <c r="V327" s="1" t="e">
        <f>N327/M327</f>
        <v>#DIV/0!</v>
      </c>
    </row>
    <row r="328" spans="1:22" ht="40.15" customHeight="1" x14ac:dyDescent="0.25">
      <c r="A328" s="63" t="s">
        <v>339</v>
      </c>
      <c r="B328" s="63"/>
      <c r="C328" s="12">
        <f t="shared" si="102"/>
        <v>3115000</v>
      </c>
      <c r="D328" s="12">
        <f t="shared" ref="D328:U328" si="112">SUM(D329)</f>
        <v>0</v>
      </c>
      <c r="E328" s="12">
        <f t="shared" si="112"/>
        <v>0</v>
      </c>
      <c r="F328" s="12">
        <f t="shared" si="112"/>
        <v>0</v>
      </c>
      <c r="G328" s="12">
        <f t="shared" si="112"/>
        <v>0</v>
      </c>
      <c r="H328" s="12">
        <f t="shared" si="112"/>
        <v>0</v>
      </c>
      <c r="I328" s="12">
        <f t="shared" si="112"/>
        <v>0</v>
      </c>
      <c r="J328" s="12">
        <f t="shared" si="112"/>
        <v>0</v>
      </c>
      <c r="K328" s="13">
        <f t="shared" si="112"/>
        <v>0</v>
      </c>
      <c r="L328" s="12">
        <f t="shared" si="112"/>
        <v>0</v>
      </c>
      <c r="M328" s="12">
        <f t="shared" si="112"/>
        <v>550</v>
      </c>
      <c r="N328" s="12">
        <f t="shared" si="112"/>
        <v>2915000</v>
      </c>
      <c r="O328" s="12">
        <f t="shared" si="112"/>
        <v>0</v>
      </c>
      <c r="P328" s="12">
        <f t="shared" si="112"/>
        <v>0</v>
      </c>
      <c r="Q328" s="12">
        <f t="shared" si="112"/>
        <v>0</v>
      </c>
      <c r="R328" s="12">
        <f t="shared" si="112"/>
        <v>0</v>
      </c>
      <c r="S328" s="12">
        <f t="shared" si="112"/>
        <v>0</v>
      </c>
      <c r="T328" s="12">
        <f t="shared" si="112"/>
        <v>0</v>
      </c>
      <c r="U328" s="12">
        <f t="shared" si="112"/>
        <v>200000</v>
      </c>
      <c r="V328" s="22">
        <f>C328</f>
        <v>3115000</v>
      </c>
    </row>
    <row r="329" spans="1:22" ht="21.95" customHeight="1" x14ac:dyDescent="0.25">
      <c r="A329" s="18" t="s">
        <v>1904</v>
      </c>
      <c r="B329" s="25" t="s">
        <v>340</v>
      </c>
      <c r="C329" s="12">
        <f t="shared" si="102"/>
        <v>3115000</v>
      </c>
      <c r="D329" s="20">
        <f t="shared" ref="D329" si="113">SUM(E329:J329)</f>
        <v>0</v>
      </c>
      <c r="E329" s="20">
        <v>0</v>
      </c>
      <c r="F329" s="20">
        <v>0</v>
      </c>
      <c r="G329" s="20">
        <v>0</v>
      </c>
      <c r="H329" s="20">
        <v>0</v>
      </c>
      <c r="I329" s="20">
        <v>0</v>
      </c>
      <c r="J329" s="20">
        <v>0</v>
      </c>
      <c r="K329" s="21">
        <v>0</v>
      </c>
      <c r="L329" s="20">
        <v>0</v>
      </c>
      <c r="M329" s="20">
        <v>550</v>
      </c>
      <c r="N329" s="20">
        <f>M329*5300</f>
        <v>2915000</v>
      </c>
      <c r="O329" s="20">
        <v>0</v>
      </c>
      <c r="P329" s="20">
        <v>0</v>
      </c>
      <c r="Q329" s="20">
        <v>0</v>
      </c>
      <c r="R329" s="20">
        <v>0</v>
      </c>
      <c r="S329" s="20">
        <v>0</v>
      </c>
      <c r="T329" s="20">
        <v>0</v>
      </c>
      <c r="U329" s="20">
        <v>200000</v>
      </c>
      <c r="V329" s="1">
        <f>N329/M329</f>
        <v>5300</v>
      </c>
    </row>
    <row r="330" spans="1:22" ht="40.15" customHeight="1" x14ac:dyDescent="0.25">
      <c r="A330" s="63" t="s">
        <v>1937</v>
      </c>
      <c r="B330" s="63"/>
      <c r="C330" s="12">
        <f t="shared" si="102"/>
        <v>89106093.540000007</v>
      </c>
      <c r="D330" s="12">
        <f t="shared" ref="D330:U330" si="114">SUM(D331:D344)</f>
        <v>2256000</v>
      </c>
      <c r="E330" s="12">
        <f t="shared" si="114"/>
        <v>752000</v>
      </c>
      <c r="F330" s="12">
        <f t="shared" si="114"/>
        <v>0</v>
      </c>
      <c r="G330" s="12">
        <f t="shared" si="114"/>
        <v>752000</v>
      </c>
      <c r="H330" s="12">
        <f t="shared" si="114"/>
        <v>0</v>
      </c>
      <c r="I330" s="12">
        <f t="shared" si="114"/>
        <v>752000</v>
      </c>
      <c r="J330" s="12">
        <f t="shared" si="114"/>
        <v>0</v>
      </c>
      <c r="K330" s="13">
        <f t="shared" si="114"/>
        <v>6</v>
      </c>
      <c r="L330" s="12">
        <f t="shared" si="114"/>
        <v>12900000</v>
      </c>
      <c r="M330" s="12">
        <f t="shared" si="114"/>
        <v>10204.75</v>
      </c>
      <c r="N330" s="12">
        <f t="shared" si="114"/>
        <v>41484250.899999999</v>
      </c>
      <c r="O330" s="12">
        <f t="shared" si="114"/>
        <v>0</v>
      </c>
      <c r="P330" s="12">
        <f t="shared" si="114"/>
        <v>0</v>
      </c>
      <c r="Q330" s="12">
        <f t="shared" si="114"/>
        <v>10420</v>
      </c>
      <c r="R330" s="12">
        <f t="shared" si="114"/>
        <v>27934100</v>
      </c>
      <c r="S330" s="12">
        <f t="shared" si="114"/>
        <v>500000</v>
      </c>
      <c r="T330" s="12">
        <f t="shared" si="114"/>
        <v>0</v>
      </c>
      <c r="U330" s="12">
        <f t="shared" si="114"/>
        <v>4031742.64</v>
      </c>
      <c r="V330" s="22">
        <f>C330+C743+C1083</f>
        <v>317520373.54000002</v>
      </c>
    </row>
    <row r="331" spans="1:22" ht="21.95" customHeight="1" x14ac:dyDescent="0.25">
      <c r="A331" s="18" t="s">
        <v>1905</v>
      </c>
      <c r="B331" s="25" t="s">
        <v>341</v>
      </c>
      <c r="C331" s="12">
        <f t="shared" si="102"/>
        <v>3033380</v>
      </c>
      <c r="D331" s="20">
        <f t="shared" ref="D331:D344" si="115">SUM(E331:J331)</f>
        <v>0</v>
      </c>
      <c r="E331" s="20">
        <v>0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1">
        <v>0</v>
      </c>
      <c r="L331" s="20">
        <v>0</v>
      </c>
      <c r="M331" s="20">
        <v>858.6</v>
      </c>
      <c r="N331" s="20">
        <v>2833380</v>
      </c>
      <c r="O331" s="20">
        <v>0</v>
      </c>
      <c r="P331" s="20">
        <v>0</v>
      </c>
      <c r="Q331" s="20">
        <v>0</v>
      </c>
      <c r="R331" s="20">
        <v>0</v>
      </c>
      <c r="S331" s="20">
        <v>0</v>
      </c>
      <c r="T331" s="20">
        <v>0</v>
      </c>
      <c r="U331" s="20">
        <v>200000</v>
      </c>
      <c r="V331" s="1">
        <f t="shared" ref="V331:V344" si="116">N331/M331</f>
        <v>3300</v>
      </c>
    </row>
    <row r="332" spans="1:22" ht="21.95" customHeight="1" x14ac:dyDescent="0.25">
      <c r="A332" s="18" t="s">
        <v>1906</v>
      </c>
      <c r="B332" s="25" t="s">
        <v>342</v>
      </c>
      <c r="C332" s="12">
        <f t="shared" si="102"/>
        <v>4028000</v>
      </c>
      <c r="D332" s="20">
        <f t="shared" si="115"/>
        <v>0</v>
      </c>
      <c r="E332" s="20">
        <v>0</v>
      </c>
      <c r="F332" s="20">
        <v>0</v>
      </c>
      <c r="G332" s="20">
        <v>0</v>
      </c>
      <c r="H332" s="20">
        <v>0</v>
      </c>
      <c r="I332" s="20">
        <v>0</v>
      </c>
      <c r="J332" s="20">
        <v>0</v>
      </c>
      <c r="K332" s="21">
        <v>0</v>
      </c>
      <c r="L332" s="20">
        <v>0</v>
      </c>
      <c r="M332" s="20">
        <v>1160</v>
      </c>
      <c r="N332" s="20">
        <v>3828000</v>
      </c>
      <c r="O332" s="20">
        <v>0</v>
      </c>
      <c r="P332" s="20">
        <v>0</v>
      </c>
      <c r="Q332" s="20">
        <v>0</v>
      </c>
      <c r="R332" s="20">
        <v>0</v>
      </c>
      <c r="S332" s="20">
        <v>0</v>
      </c>
      <c r="T332" s="20">
        <v>0</v>
      </c>
      <c r="U332" s="20">
        <v>200000</v>
      </c>
      <c r="V332" s="1">
        <f t="shared" si="116"/>
        <v>3300</v>
      </c>
    </row>
    <row r="333" spans="1:22" ht="21.95" customHeight="1" x14ac:dyDescent="0.25">
      <c r="A333" s="18" t="s">
        <v>1907</v>
      </c>
      <c r="B333" s="25" t="s">
        <v>343</v>
      </c>
      <c r="C333" s="12">
        <f t="shared" si="102"/>
        <v>4978400</v>
      </c>
      <c r="D333" s="20">
        <f t="shared" si="115"/>
        <v>0</v>
      </c>
      <c r="E333" s="20">
        <v>0</v>
      </c>
      <c r="F333" s="20">
        <v>0</v>
      </c>
      <c r="G333" s="20">
        <v>0</v>
      </c>
      <c r="H333" s="20">
        <v>0</v>
      </c>
      <c r="I333" s="20">
        <v>0</v>
      </c>
      <c r="J333" s="20">
        <v>0</v>
      </c>
      <c r="K333" s="21">
        <v>0</v>
      </c>
      <c r="L333" s="20">
        <v>0</v>
      </c>
      <c r="M333" s="20">
        <v>1448</v>
      </c>
      <c r="N333" s="20">
        <v>4778400</v>
      </c>
      <c r="O333" s="20">
        <v>0</v>
      </c>
      <c r="P333" s="20">
        <v>0</v>
      </c>
      <c r="Q333" s="20">
        <v>0</v>
      </c>
      <c r="R333" s="20">
        <v>0</v>
      </c>
      <c r="S333" s="20">
        <v>0</v>
      </c>
      <c r="T333" s="20">
        <v>0</v>
      </c>
      <c r="U333" s="20">
        <v>200000</v>
      </c>
      <c r="V333" s="1">
        <f t="shared" si="116"/>
        <v>3300</v>
      </c>
    </row>
    <row r="334" spans="1:22" ht="21.95" customHeight="1" x14ac:dyDescent="0.25">
      <c r="A334" s="18" t="s">
        <v>1908</v>
      </c>
      <c r="B334" s="25" t="s">
        <v>344</v>
      </c>
      <c r="C334" s="12">
        <f t="shared" si="102"/>
        <v>5115020</v>
      </c>
      <c r="D334" s="20">
        <f t="shared" si="115"/>
        <v>0</v>
      </c>
      <c r="E334" s="20">
        <v>0</v>
      </c>
      <c r="F334" s="20">
        <v>0</v>
      </c>
      <c r="G334" s="20">
        <v>0</v>
      </c>
      <c r="H334" s="20">
        <v>0</v>
      </c>
      <c r="I334" s="20">
        <v>0</v>
      </c>
      <c r="J334" s="20">
        <v>0</v>
      </c>
      <c r="K334" s="21">
        <v>0</v>
      </c>
      <c r="L334" s="20">
        <v>0</v>
      </c>
      <c r="M334" s="20">
        <v>1489.4</v>
      </c>
      <c r="N334" s="20">
        <v>4915020</v>
      </c>
      <c r="O334" s="20">
        <v>0</v>
      </c>
      <c r="P334" s="20">
        <v>0</v>
      </c>
      <c r="Q334" s="20">
        <v>0</v>
      </c>
      <c r="R334" s="20">
        <v>0</v>
      </c>
      <c r="S334" s="20">
        <v>0</v>
      </c>
      <c r="T334" s="20">
        <v>0</v>
      </c>
      <c r="U334" s="20">
        <v>200000</v>
      </c>
      <c r="V334" s="1">
        <f t="shared" si="116"/>
        <v>3300</v>
      </c>
    </row>
    <row r="335" spans="1:22" ht="21.95" customHeight="1" x14ac:dyDescent="0.25">
      <c r="A335" s="18" t="s">
        <v>1909</v>
      </c>
      <c r="B335" s="25" t="s">
        <v>345</v>
      </c>
      <c r="C335" s="12">
        <f t="shared" si="102"/>
        <v>4628500</v>
      </c>
      <c r="D335" s="20">
        <f t="shared" si="115"/>
        <v>0</v>
      </c>
      <c r="E335" s="20">
        <v>0</v>
      </c>
      <c r="F335" s="20">
        <v>0</v>
      </c>
      <c r="G335" s="20">
        <v>0</v>
      </c>
      <c r="H335" s="20">
        <v>0</v>
      </c>
      <c r="I335" s="20">
        <v>0</v>
      </c>
      <c r="J335" s="20">
        <v>0</v>
      </c>
      <c r="K335" s="21">
        <v>0</v>
      </c>
      <c r="L335" s="20">
        <v>0</v>
      </c>
      <c r="M335" s="20">
        <v>0</v>
      </c>
      <c r="N335" s="20">
        <v>0</v>
      </c>
      <c r="O335" s="20">
        <v>0</v>
      </c>
      <c r="P335" s="20">
        <v>0</v>
      </c>
      <c r="Q335" s="20">
        <v>1700</v>
      </c>
      <c r="R335" s="20">
        <v>4428500</v>
      </c>
      <c r="S335" s="20">
        <v>0</v>
      </c>
      <c r="T335" s="20">
        <v>0</v>
      </c>
      <c r="U335" s="20">
        <v>200000</v>
      </c>
      <c r="V335" s="1" t="e">
        <f t="shared" si="116"/>
        <v>#DIV/0!</v>
      </c>
    </row>
    <row r="336" spans="1:22" ht="21.95" customHeight="1" x14ac:dyDescent="0.25">
      <c r="A336" s="18" t="s">
        <v>1910</v>
      </c>
      <c r="B336" s="25" t="s">
        <v>346</v>
      </c>
      <c r="C336" s="12">
        <f t="shared" si="102"/>
        <v>300000</v>
      </c>
      <c r="D336" s="20">
        <f t="shared" si="115"/>
        <v>0</v>
      </c>
      <c r="E336" s="20">
        <v>0</v>
      </c>
      <c r="F336" s="20">
        <v>0</v>
      </c>
      <c r="G336" s="20">
        <v>0</v>
      </c>
      <c r="H336" s="20">
        <v>0</v>
      </c>
      <c r="I336" s="20">
        <v>0</v>
      </c>
      <c r="J336" s="20">
        <v>0</v>
      </c>
      <c r="K336" s="21">
        <v>0</v>
      </c>
      <c r="L336" s="20">
        <v>0</v>
      </c>
      <c r="M336" s="20">
        <v>0</v>
      </c>
      <c r="N336" s="20">
        <v>0</v>
      </c>
      <c r="O336" s="20">
        <v>0</v>
      </c>
      <c r="P336" s="20">
        <v>0</v>
      </c>
      <c r="Q336" s="20">
        <v>0</v>
      </c>
      <c r="R336" s="20">
        <v>0</v>
      </c>
      <c r="S336" s="20">
        <v>0</v>
      </c>
      <c r="T336" s="20">
        <v>0</v>
      </c>
      <c r="U336" s="20">
        <v>300000</v>
      </c>
      <c r="V336" s="1" t="e">
        <f t="shared" si="116"/>
        <v>#DIV/0!</v>
      </c>
    </row>
    <row r="337" spans="1:22" ht="21.95" customHeight="1" x14ac:dyDescent="0.25">
      <c r="A337" s="18" t="s">
        <v>1911</v>
      </c>
      <c r="B337" s="25" t="s">
        <v>347</v>
      </c>
      <c r="C337" s="12">
        <f t="shared" si="102"/>
        <v>4602450</v>
      </c>
      <c r="D337" s="20">
        <f t="shared" si="115"/>
        <v>0</v>
      </c>
      <c r="E337" s="20">
        <v>0</v>
      </c>
      <c r="F337" s="20">
        <v>0</v>
      </c>
      <c r="G337" s="20">
        <v>0</v>
      </c>
      <c r="H337" s="20">
        <v>0</v>
      </c>
      <c r="I337" s="20">
        <v>0</v>
      </c>
      <c r="J337" s="20">
        <v>0</v>
      </c>
      <c r="K337" s="21">
        <v>0</v>
      </c>
      <c r="L337" s="20">
        <v>0</v>
      </c>
      <c r="M337" s="20">
        <v>0</v>
      </c>
      <c r="N337" s="20">
        <v>0</v>
      </c>
      <c r="O337" s="20">
        <v>0</v>
      </c>
      <c r="P337" s="20">
        <v>0</v>
      </c>
      <c r="Q337" s="20">
        <v>1690</v>
      </c>
      <c r="R337" s="20">
        <v>4402450</v>
      </c>
      <c r="S337" s="20">
        <v>0</v>
      </c>
      <c r="T337" s="20">
        <v>0</v>
      </c>
      <c r="U337" s="20">
        <v>200000</v>
      </c>
      <c r="V337" s="1" t="e">
        <f t="shared" si="116"/>
        <v>#DIV/0!</v>
      </c>
    </row>
    <row r="338" spans="1:22" ht="21.95" customHeight="1" x14ac:dyDescent="0.25">
      <c r="A338" s="18" t="s">
        <v>1912</v>
      </c>
      <c r="B338" s="25" t="s">
        <v>348</v>
      </c>
      <c r="C338" s="12">
        <f t="shared" si="102"/>
        <v>4628500</v>
      </c>
      <c r="D338" s="20">
        <f t="shared" si="115"/>
        <v>0</v>
      </c>
      <c r="E338" s="20">
        <v>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1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  <c r="Q338" s="20">
        <v>1700</v>
      </c>
      <c r="R338" s="20">
        <v>4428500</v>
      </c>
      <c r="S338" s="20">
        <v>0</v>
      </c>
      <c r="T338" s="20">
        <v>0</v>
      </c>
      <c r="U338" s="20">
        <v>200000</v>
      </c>
      <c r="V338" s="1" t="e">
        <f t="shared" si="116"/>
        <v>#DIV/0!</v>
      </c>
    </row>
    <row r="339" spans="1:22" ht="21.95" customHeight="1" x14ac:dyDescent="0.25">
      <c r="A339" s="18" t="s">
        <v>1913</v>
      </c>
      <c r="B339" s="25" t="s">
        <v>349</v>
      </c>
      <c r="C339" s="12">
        <f t="shared" si="102"/>
        <v>4628500</v>
      </c>
      <c r="D339" s="20">
        <f t="shared" si="115"/>
        <v>0</v>
      </c>
      <c r="E339" s="20">
        <v>0</v>
      </c>
      <c r="F339" s="20">
        <v>0</v>
      </c>
      <c r="G339" s="20">
        <v>0</v>
      </c>
      <c r="H339" s="20">
        <v>0</v>
      </c>
      <c r="I339" s="20">
        <v>0</v>
      </c>
      <c r="J339" s="20">
        <v>0</v>
      </c>
      <c r="K339" s="21">
        <v>0</v>
      </c>
      <c r="L339" s="20">
        <v>0</v>
      </c>
      <c r="M339" s="20">
        <v>0</v>
      </c>
      <c r="N339" s="20">
        <v>0</v>
      </c>
      <c r="O339" s="20">
        <v>0</v>
      </c>
      <c r="P339" s="20">
        <v>0</v>
      </c>
      <c r="Q339" s="20">
        <v>1700</v>
      </c>
      <c r="R339" s="20">
        <v>4428500</v>
      </c>
      <c r="S339" s="20">
        <v>0</v>
      </c>
      <c r="T339" s="20">
        <v>0</v>
      </c>
      <c r="U339" s="20">
        <v>200000</v>
      </c>
      <c r="V339" s="1" t="e">
        <f t="shared" si="116"/>
        <v>#DIV/0!</v>
      </c>
    </row>
    <row r="340" spans="1:22" ht="21.95" customHeight="1" x14ac:dyDescent="0.25">
      <c r="A340" s="18" t="s">
        <v>1914</v>
      </c>
      <c r="B340" s="25" t="s">
        <v>1444</v>
      </c>
      <c r="C340" s="12">
        <f t="shared" si="102"/>
        <v>7748753.8399999999</v>
      </c>
      <c r="D340" s="20">
        <f t="shared" si="115"/>
        <v>0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1">
        <v>0</v>
      </c>
      <c r="L340" s="20">
        <v>0</v>
      </c>
      <c r="M340" s="8">
        <v>783.3</v>
      </c>
      <c r="N340" s="8">
        <f>M340*5500</f>
        <v>4308150</v>
      </c>
      <c r="O340" s="20">
        <v>0</v>
      </c>
      <c r="P340" s="20">
        <v>0</v>
      </c>
      <c r="Q340" s="20">
        <v>900</v>
      </c>
      <c r="R340" s="20">
        <f>Q340*3000</f>
        <v>2700000</v>
      </c>
      <c r="S340" s="20">
        <v>500000</v>
      </c>
      <c r="T340" s="20">
        <v>0</v>
      </c>
      <c r="U340" s="20">
        <v>240603.84</v>
      </c>
      <c r="V340" s="1">
        <f t="shared" si="116"/>
        <v>5500</v>
      </c>
    </row>
    <row r="341" spans="1:22" ht="21.95" customHeight="1" x14ac:dyDescent="0.25">
      <c r="A341" s="18" t="s">
        <v>1915</v>
      </c>
      <c r="B341" s="25" t="s">
        <v>1404</v>
      </c>
      <c r="C341" s="12">
        <f t="shared" si="102"/>
        <v>10148413.529999999</v>
      </c>
      <c r="D341" s="20">
        <f t="shared" si="115"/>
        <v>0</v>
      </c>
      <c r="E341" s="20">
        <v>0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1">
        <v>0</v>
      </c>
      <c r="L341" s="20">
        <v>0</v>
      </c>
      <c r="M341" s="8">
        <v>1794.6</v>
      </c>
      <c r="N341" s="8">
        <v>9511380</v>
      </c>
      <c r="O341" s="20">
        <v>0</v>
      </c>
      <c r="P341" s="20">
        <v>0</v>
      </c>
      <c r="Q341" s="20">
        <v>0</v>
      </c>
      <c r="R341" s="20">
        <v>0</v>
      </c>
      <c r="S341" s="20">
        <v>0</v>
      </c>
      <c r="T341" s="20">
        <v>0</v>
      </c>
      <c r="U341" s="20">
        <v>637033.53</v>
      </c>
      <c r="V341" s="1">
        <f t="shared" si="116"/>
        <v>5300</v>
      </c>
    </row>
    <row r="342" spans="1:22" ht="21.95" customHeight="1" x14ac:dyDescent="0.25">
      <c r="A342" s="18" t="s">
        <v>1916</v>
      </c>
      <c r="B342" s="25" t="s">
        <v>1445</v>
      </c>
      <c r="C342" s="12">
        <f t="shared" si="102"/>
        <v>10352455.27</v>
      </c>
      <c r="D342" s="20">
        <f t="shared" si="115"/>
        <v>2256000</v>
      </c>
      <c r="E342" s="20">
        <v>752000</v>
      </c>
      <c r="F342" s="20">
        <v>0</v>
      </c>
      <c r="G342" s="20">
        <v>752000</v>
      </c>
      <c r="H342" s="20">
        <v>0</v>
      </c>
      <c r="I342" s="20">
        <v>752000</v>
      </c>
      <c r="J342" s="20">
        <v>0</v>
      </c>
      <c r="K342" s="21">
        <v>0</v>
      </c>
      <c r="L342" s="20">
        <v>0</v>
      </c>
      <c r="M342" s="8">
        <v>807.7</v>
      </c>
      <c r="N342" s="8">
        <f>M342*5500</f>
        <v>4442350</v>
      </c>
      <c r="O342" s="20">
        <v>0</v>
      </c>
      <c r="P342" s="20">
        <v>0</v>
      </c>
      <c r="Q342" s="20">
        <v>1100</v>
      </c>
      <c r="R342" s="20">
        <f>Q342*3000</f>
        <v>3300000</v>
      </c>
      <c r="S342" s="20">
        <v>0</v>
      </c>
      <c r="T342" s="20">
        <v>0</v>
      </c>
      <c r="U342" s="20">
        <v>354105.27</v>
      </c>
      <c r="V342" s="1">
        <f t="shared" si="116"/>
        <v>5500</v>
      </c>
    </row>
    <row r="343" spans="1:22" ht="21.95" customHeight="1" x14ac:dyDescent="0.25">
      <c r="A343" s="18" t="s">
        <v>1917</v>
      </c>
      <c r="B343" s="33" t="s">
        <v>1427</v>
      </c>
      <c r="C343" s="12">
        <f t="shared" si="102"/>
        <v>4746150</v>
      </c>
      <c r="D343" s="20">
        <f t="shared" si="115"/>
        <v>0</v>
      </c>
      <c r="E343" s="20">
        <v>0</v>
      </c>
      <c r="F343" s="20">
        <v>0</v>
      </c>
      <c r="G343" s="20">
        <v>0</v>
      </c>
      <c r="H343" s="20">
        <v>0</v>
      </c>
      <c r="I343" s="20">
        <v>0</v>
      </c>
      <c r="J343" s="20">
        <v>0</v>
      </c>
      <c r="K343" s="21">
        <v>0</v>
      </c>
      <c r="L343" s="20">
        <v>0</v>
      </c>
      <c r="M343" s="20">
        <v>0</v>
      </c>
      <c r="N343" s="20">
        <v>0</v>
      </c>
      <c r="O343" s="20">
        <v>0</v>
      </c>
      <c r="P343" s="20">
        <v>0</v>
      </c>
      <c r="Q343" s="34">
        <v>1630</v>
      </c>
      <c r="R343" s="8">
        <v>4246150</v>
      </c>
      <c r="S343" s="20">
        <v>0</v>
      </c>
      <c r="T343" s="20">
        <v>0</v>
      </c>
      <c r="U343" s="20">
        <v>500000</v>
      </c>
      <c r="V343" s="1" t="e">
        <f t="shared" si="116"/>
        <v>#DIV/0!</v>
      </c>
    </row>
    <row r="344" spans="1:22" ht="21.95" customHeight="1" x14ac:dyDescent="0.25">
      <c r="A344" s="18" t="s">
        <v>1918</v>
      </c>
      <c r="B344" s="25" t="s">
        <v>374</v>
      </c>
      <c r="C344" s="12">
        <f>D344+L344+N344+P344+R344+S344+T344+U344</f>
        <v>20167570.899999999</v>
      </c>
      <c r="D344" s="20">
        <f t="shared" si="115"/>
        <v>0</v>
      </c>
      <c r="E344" s="20">
        <v>0</v>
      </c>
      <c r="F344" s="20">
        <v>0</v>
      </c>
      <c r="G344" s="20">
        <v>0</v>
      </c>
      <c r="H344" s="20">
        <v>0</v>
      </c>
      <c r="I344" s="20">
        <v>0</v>
      </c>
      <c r="J344" s="20">
        <v>0</v>
      </c>
      <c r="K344" s="21">
        <v>6</v>
      </c>
      <c r="L344" s="20">
        <v>12900000</v>
      </c>
      <c r="M344" s="20">
        <v>1863.15</v>
      </c>
      <c r="N344" s="20">
        <f>M344*3686</f>
        <v>6867570.9000000004</v>
      </c>
      <c r="O344" s="20">
        <v>0</v>
      </c>
      <c r="P344" s="20">
        <v>0</v>
      </c>
      <c r="Q344" s="20">
        <v>0</v>
      </c>
      <c r="R344" s="20">
        <v>0</v>
      </c>
      <c r="S344" s="20">
        <v>0</v>
      </c>
      <c r="T344" s="20">
        <v>0</v>
      </c>
      <c r="U344" s="20">
        <v>400000</v>
      </c>
      <c r="V344" s="1">
        <f t="shared" si="116"/>
        <v>3686</v>
      </c>
    </row>
    <row r="345" spans="1:22" s="15" customFormat="1" ht="24.95" customHeight="1" x14ac:dyDescent="0.25">
      <c r="A345" s="65" t="s">
        <v>211</v>
      </c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14"/>
    </row>
    <row r="346" spans="1:22" ht="24.95" customHeight="1" x14ac:dyDescent="0.25">
      <c r="A346" s="64" t="s">
        <v>212</v>
      </c>
      <c r="B346" s="64"/>
      <c r="C346" s="12">
        <f t="shared" ref="C346:C407" si="117">D346+L346+N346+P346+R346+S346+T346+U346</f>
        <v>1480919403.4200001</v>
      </c>
      <c r="D346" s="12">
        <f t="shared" ref="D346:U346" si="118">D347+D350+D369+D371+D376+D380+D382+D385+D387+D391+D399+D401+D403+D406+D408+D411+D414+D418+D421+D424+D431+D433+D453+D455+D465+D473+D475+D477+D493+D495+D498+D500+D707+D711+D713+D716+D727+D729+D733+D735+D739+D741+D743+D757</f>
        <v>230606161.5</v>
      </c>
      <c r="E346" s="12">
        <f t="shared" si="118"/>
        <v>39252962</v>
      </c>
      <c r="F346" s="12">
        <f t="shared" si="118"/>
        <v>81515192</v>
      </c>
      <c r="G346" s="12">
        <f t="shared" si="118"/>
        <v>34221463.5</v>
      </c>
      <c r="H346" s="12">
        <f t="shared" si="118"/>
        <v>34041400</v>
      </c>
      <c r="I346" s="12">
        <f t="shared" si="118"/>
        <v>41575144</v>
      </c>
      <c r="J346" s="12">
        <f t="shared" si="118"/>
        <v>0</v>
      </c>
      <c r="K346" s="13">
        <f t="shared" si="118"/>
        <v>19</v>
      </c>
      <c r="L346" s="12">
        <f t="shared" si="118"/>
        <v>41600000</v>
      </c>
      <c r="M346" s="12">
        <f t="shared" si="118"/>
        <v>152426.57</v>
      </c>
      <c r="N346" s="12">
        <f t="shared" si="118"/>
        <v>802733360.48000002</v>
      </c>
      <c r="O346" s="12">
        <f t="shared" si="118"/>
        <v>1442.8</v>
      </c>
      <c r="P346" s="12">
        <f t="shared" si="118"/>
        <v>3893940</v>
      </c>
      <c r="Q346" s="12">
        <f t="shared" si="118"/>
        <v>109447.29</v>
      </c>
      <c r="R346" s="12">
        <f t="shared" si="118"/>
        <v>328341870</v>
      </c>
      <c r="S346" s="12">
        <f t="shared" si="118"/>
        <v>4595136</v>
      </c>
      <c r="T346" s="12">
        <f t="shared" si="118"/>
        <v>0</v>
      </c>
      <c r="U346" s="12">
        <f t="shared" si="118"/>
        <v>69148935.439999998</v>
      </c>
    </row>
    <row r="347" spans="1:22" ht="45" customHeight="1" x14ac:dyDescent="0.25">
      <c r="A347" s="63" t="s">
        <v>1936</v>
      </c>
      <c r="B347" s="63"/>
      <c r="C347" s="12">
        <f t="shared" si="117"/>
        <v>10469174</v>
      </c>
      <c r="D347" s="12">
        <f t="shared" ref="D347:U347" si="119">SUM(D348:D349)</f>
        <v>1426950</v>
      </c>
      <c r="E347" s="12">
        <f t="shared" si="119"/>
        <v>475650</v>
      </c>
      <c r="F347" s="12">
        <f t="shared" si="119"/>
        <v>0</v>
      </c>
      <c r="G347" s="12">
        <f t="shared" si="119"/>
        <v>407700</v>
      </c>
      <c r="H347" s="12">
        <f t="shared" si="119"/>
        <v>0</v>
      </c>
      <c r="I347" s="12">
        <f t="shared" si="119"/>
        <v>543600</v>
      </c>
      <c r="J347" s="12">
        <f t="shared" si="119"/>
        <v>0</v>
      </c>
      <c r="K347" s="13">
        <f t="shared" si="119"/>
        <v>0</v>
      </c>
      <c r="L347" s="12">
        <f t="shared" si="119"/>
        <v>0</v>
      </c>
      <c r="M347" s="12">
        <f t="shared" si="119"/>
        <v>1043</v>
      </c>
      <c r="N347" s="12">
        <f t="shared" si="119"/>
        <v>5058064</v>
      </c>
      <c r="O347" s="12">
        <f t="shared" si="119"/>
        <v>0</v>
      </c>
      <c r="P347" s="12">
        <f t="shared" si="119"/>
        <v>0</v>
      </c>
      <c r="Q347" s="12">
        <f t="shared" si="119"/>
        <v>1194.72</v>
      </c>
      <c r="R347" s="12">
        <f t="shared" si="119"/>
        <v>3584160</v>
      </c>
      <c r="S347" s="12">
        <f t="shared" si="119"/>
        <v>0</v>
      </c>
      <c r="T347" s="12">
        <f t="shared" si="119"/>
        <v>0</v>
      </c>
      <c r="U347" s="12">
        <f t="shared" si="119"/>
        <v>400000</v>
      </c>
    </row>
    <row r="348" spans="1:22" ht="21.95" customHeight="1" x14ac:dyDescent="0.25">
      <c r="A348" s="18" t="s">
        <v>1919</v>
      </c>
      <c r="B348" s="35" t="s">
        <v>20</v>
      </c>
      <c r="C348" s="12">
        <f t="shared" si="117"/>
        <v>3962394</v>
      </c>
      <c r="D348" s="20">
        <f t="shared" ref="D348:D349" si="120">SUM(E348:J348)</f>
        <v>635670</v>
      </c>
      <c r="E348" s="20">
        <f>350*605.4</f>
        <v>211890</v>
      </c>
      <c r="F348" s="20">
        <f>800*0</f>
        <v>0</v>
      </c>
      <c r="G348" s="20">
        <f>300*605.4</f>
        <v>181620</v>
      </c>
      <c r="H348" s="20">
        <f>500*0</f>
        <v>0</v>
      </c>
      <c r="I348" s="20">
        <f>400*605.4</f>
        <v>242160</v>
      </c>
      <c r="J348" s="20">
        <f>350*0</f>
        <v>0</v>
      </c>
      <c r="K348" s="21">
        <v>0</v>
      </c>
      <c r="L348" s="20">
        <v>0</v>
      </c>
      <c r="M348" s="20">
        <v>374</v>
      </c>
      <c r="N348" s="20">
        <f>M348*3686</f>
        <v>1378564</v>
      </c>
      <c r="O348" s="20">
        <v>0</v>
      </c>
      <c r="P348" s="20">
        <v>0</v>
      </c>
      <c r="Q348" s="20">
        <v>582.72</v>
      </c>
      <c r="R348" s="20">
        <f>Q348*3000</f>
        <v>1748160</v>
      </c>
      <c r="S348" s="20">
        <v>0</v>
      </c>
      <c r="T348" s="20">
        <v>0</v>
      </c>
      <c r="U348" s="20">
        <v>200000</v>
      </c>
      <c r="V348" s="1">
        <f>N348/M348</f>
        <v>3686</v>
      </c>
    </row>
    <row r="349" spans="1:22" ht="21.95" customHeight="1" x14ac:dyDescent="0.25">
      <c r="A349" s="18" t="s">
        <v>1920</v>
      </c>
      <c r="B349" s="36" t="s">
        <v>23</v>
      </c>
      <c r="C349" s="12">
        <f t="shared" si="117"/>
        <v>6506780</v>
      </c>
      <c r="D349" s="20">
        <f t="shared" si="120"/>
        <v>791280</v>
      </c>
      <c r="E349" s="20">
        <f>350*753.6</f>
        <v>263760</v>
      </c>
      <c r="F349" s="20">
        <f>800*0</f>
        <v>0</v>
      </c>
      <c r="G349" s="20">
        <f>300*753.6</f>
        <v>226080</v>
      </c>
      <c r="H349" s="20">
        <f>500*0</f>
        <v>0</v>
      </c>
      <c r="I349" s="20">
        <f>400*753.6</f>
        <v>301440</v>
      </c>
      <c r="J349" s="20">
        <f>350*0</f>
        <v>0</v>
      </c>
      <c r="K349" s="21">
        <v>0</v>
      </c>
      <c r="L349" s="20">
        <v>0</v>
      </c>
      <c r="M349" s="20">
        <v>669</v>
      </c>
      <c r="N349" s="20">
        <f t="shared" ref="N349" si="121">M349*5500</f>
        <v>3679500</v>
      </c>
      <c r="O349" s="20">
        <v>0</v>
      </c>
      <c r="P349" s="20">
        <v>0</v>
      </c>
      <c r="Q349" s="20">
        <v>612</v>
      </c>
      <c r="R349" s="20">
        <f>Q349*3000</f>
        <v>1836000</v>
      </c>
      <c r="S349" s="20">
        <v>0</v>
      </c>
      <c r="T349" s="20">
        <v>0</v>
      </c>
      <c r="U349" s="20">
        <v>200000</v>
      </c>
      <c r="V349" s="1">
        <f>N349/M349</f>
        <v>5500</v>
      </c>
    </row>
    <row r="350" spans="1:22" ht="45" customHeight="1" x14ac:dyDescent="0.25">
      <c r="A350" s="63" t="s">
        <v>0</v>
      </c>
      <c r="B350" s="63"/>
      <c r="C350" s="12">
        <f t="shared" si="117"/>
        <v>131126167.46000001</v>
      </c>
      <c r="D350" s="12">
        <f t="shared" ref="D350:U350" si="122">SUM(D351:D368)</f>
        <v>20801965</v>
      </c>
      <c r="E350" s="12">
        <f t="shared" si="122"/>
        <v>3098165</v>
      </c>
      <c r="F350" s="12">
        <f t="shared" si="122"/>
        <v>7081520</v>
      </c>
      <c r="G350" s="12">
        <f t="shared" si="122"/>
        <v>2655570</v>
      </c>
      <c r="H350" s="12">
        <f t="shared" si="122"/>
        <v>4425950</v>
      </c>
      <c r="I350" s="12">
        <f t="shared" si="122"/>
        <v>3540760</v>
      </c>
      <c r="J350" s="12">
        <f t="shared" si="122"/>
        <v>0</v>
      </c>
      <c r="K350" s="13">
        <f t="shared" si="122"/>
        <v>4</v>
      </c>
      <c r="L350" s="12">
        <f t="shared" si="122"/>
        <v>8600000</v>
      </c>
      <c r="M350" s="12">
        <f t="shared" si="122"/>
        <v>13353.370000000003</v>
      </c>
      <c r="N350" s="12">
        <f t="shared" si="122"/>
        <v>60198487.020000003</v>
      </c>
      <c r="O350" s="12">
        <f t="shared" si="122"/>
        <v>383.4</v>
      </c>
      <c r="P350" s="12">
        <f t="shared" si="122"/>
        <v>1195680</v>
      </c>
      <c r="Q350" s="12">
        <f t="shared" si="122"/>
        <v>12193.7</v>
      </c>
      <c r="R350" s="12">
        <f t="shared" si="122"/>
        <v>36581100</v>
      </c>
      <c r="S350" s="12">
        <f t="shared" si="122"/>
        <v>0</v>
      </c>
      <c r="T350" s="12">
        <f t="shared" si="122"/>
        <v>0</v>
      </c>
      <c r="U350" s="12">
        <f t="shared" si="122"/>
        <v>3748935.44</v>
      </c>
    </row>
    <row r="351" spans="1:22" ht="23.1" customHeight="1" x14ac:dyDescent="0.25">
      <c r="A351" s="18" t="s">
        <v>1921</v>
      </c>
      <c r="B351" s="23" t="s">
        <v>40</v>
      </c>
      <c r="C351" s="12">
        <f t="shared" si="117"/>
        <v>3981250</v>
      </c>
      <c r="D351" s="20">
        <f t="shared" ref="D351:D368" si="123">SUM(E351:J351)</f>
        <v>0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1">
        <v>0</v>
      </c>
      <c r="L351" s="20">
        <v>0</v>
      </c>
      <c r="M351" s="20">
        <v>687.5</v>
      </c>
      <c r="N351" s="20">
        <f t="shared" ref="N351:N352" si="124">M351*5500</f>
        <v>3781250</v>
      </c>
      <c r="O351" s="20">
        <v>0</v>
      </c>
      <c r="P351" s="20">
        <v>0</v>
      </c>
      <c r="Q351" s="20">
        <v>0</v>
      </c>
      <c r="R351" s="20">
        <v>0</v>
      </c>
      <c r="S351" s="20">
        <v>0</v>
      </c>
      <c r="T351" s="20">
        <v>0</v>
      </c>
      <c r="U351" s="20">
        <v>200000</v>
      </c>
      <c r="V351" s="1">
        <f t="shared" ref="V351:V368" si="125">N351/M351</f>
        <v>5500</v>
      </c>
    </row>
    <row r="352" spans="1:22" ht="23.1" customHeight="1" x14ac:dyDescent="0.25">
      <c r="A352" s="18" t="s">
        <v>1922</v>
      </c>
      <c r="B352" s="25" t="s">
        <v>44</v>
      </c>
      <c r="C352" s="12">
        <f t="shared" si="117"/>
        <v>4775000</v>
      </c>
      <c r="D352" s="20">
        <f t="shared" si="123"/>
        <v>0</v>
      </c>
      <c r="E352" s="20">
        <v>0</v>
      </c>
      <c r="F352" s="20">
        <v>0</v>
      </c>
      <c r="G352" s="20">
        <v>0</v>
      </c>
      <c r="H352" s="20">
        <v>0</v>
      </c>
      <c r="I352" s="20">
        <v>0</v>
      </c>
      <c r="J352" s="20">
        <v>0</v>
      </c>
      <c r="K352" s="21">
        <v>0</v>
      </c>
      <c r="L352" s="20">
        <v>0</v>
      </c>
      <c r="M352" s="20">
        <v>850</v>
      </c>
      <c r="N352" s="20">
        <f t="shared" si="124"/>
        <v>4675000</v>
      </c>
      <c r="O352" s="20">
        <v>0</v>
      </c>
      <c r="P352" s="20">
        <v>0</v>
      </c>
      <c r="Q352" s="20">
        <v>0</v>
      </c>
      <c r="R352" s="20">
        <v>0</v>
      </c>
      <c r="S352" s="20">
        <v>0</v>
      </c>
      <c r="T352" s="20">
        <v>0</v>
      </c>
      <c r="U352" s="20">
        <v>100000</v>
      </c>
      <c r="V352" s="1">
        <f t="shared" si="125"/>
        <v>5500</v>
      </c>
    </row>
    <row r="353" spans="1:22" ht="23.1" customHeight="1" x14ac:dyDescent="0.25">
      <c r="A353" s="18" t="s">
        <v>1923</v>
      </c>
      <c r="B353" s="25" t="s">
        <v>17</v>
      </c>
      <c r="C353" s="12">
        <f t="shared" si="117"/>
        <v>14724680.439999999</v>
      </c>
      <c r="D353" s="20">
        <f t="shared" si="123"/>
        <v>4928655.0000000009</v>
      </c>
      <c r="E353" s="20">
        <f>350*2097.3</f>
        <v>734055.00000000012</v>
      </c>
      <c r="F353" s="20">
        <f>800*2097.3</f>
        <v>1677840.0000000002</v>
      </c>
      <c r="G353" s="20">
        <f>300*[1]Прилож!$H$32</f>
        <v>629190</v>
      </c>
      <c r="H353" s="20">
        <f>500*[1]Прилож!$H$32</f>
        <v>1048650</v>
      </c>
      <c r="I353" s="20">
        <f>400*[1]Прилож!$H$32</f>
        <v>838920.00000000012</v>
      </c>
      <c r="J353" s="20">
        <f>350*0</f>
        <v>0</v>
      </c>
      <c r="K353" s="21">
        <v>0</v>
      </c>
      <c r="L353" s="20">
        <v>0</v>
      </c>
      <c r="M353" s="20">
        <v>1315</v>
      </c>
      <c r="N353" s="20">
        <f>M353*3686</f>
        <v>4847090</v>
      </c>
      <c r="O353" s="20">
        <v>0</v>
      </c>
      <c r="P353" s="20">
        <v>0</v>
      </c>
      <c r="Q353" s="20">
        <v>1500</v>
      </c>
      <c r="R353" s="20">
        <f>Q353*3000</f>
        <v>4500000</v>
      </c>
      <c r="S353" s="20">
        <v>0</v>
      </c>
      <c r="T353" s="20">
        <v>0</v>
      </c>
      <c r="U353" s="20">
        <v>448935.44</v>
      </c>
      <c r="V353" s="1">
        <f t="shared" si="125"/>
        <v>3686</v>
      </c>
    </row>
    <row r="354" spans="1:22" ht="23.1" customHeight="1" x14ac:dyDescent="0.25">
      <c r="A354" s="18" t="s">
        <v>1924</v>
      </c>
      <c r="B354" s="25" t="s">
        <v>47</v>
      </c>
      <c r="C354" s="12">
        <f t="shared" si="117"/>
        <v>1609650</v>
      </c>
      <c r="D354" s="20">
        <f t="shared" si="123"/>
        <v>0</v>
      </c>
      <c r="E354" s="20">
        <v>0</v>
      </c>
      <c r="F354" s="20">
        <v>0</v>
      </c>
      <c r="G354" s="20">
        <v>0</v>
      </c>
      <c r="H354" s="20">
        <v>0</v>
      </c>
      <c r="I354" s="20">
        <v>0</v>
      </c>
      <c r="J354" s="20">
        <v>0</v>
      </c>
      <c r="K354" s="21">
        <v>0</v>
      </c>
      <c r="L354" s="20">
        <v>0</v>
      </c>
      <c r="M354" s="20">
        <v>256.3</v>
      </c>
      <c r="N354" s="20">
        <f t="shared" ref="N354:N358" si="126">M354*5500</f>
        <v>1409650</v>
      </c>
      <c r="O354" s="20">
        <v>0</v>
      </c>
      <c r="P354" s="20">
        <v>0</v>
      </c>
      <c r="Q354" s="20">
        <v>0</v>
      </c>
      <c r="R354" s="20">
        <v>0</v>
      </c>
      <c r="S354" s="20">
        <v>0</v>
      </c>
      <c r="T354" s="20">
        <v>0</v>
      </c>
      <c r="U354" s="20">
        <v>200000</v>
      </c>
      <c r="V354" s="1">
        <f t="shared" si="125"/>
        <v>5500</v>
      </c>
    </row>
    <row r="355" spans="1:22" ht="23.1" customHeight="1" x14ac:dyDescent="0.25">
      <c r="A355" s="18" t="s">
        <v>1925</v>
      </c>
      <c r="B355" s="25" t="s">
        <v>32</v>
      </c>
      <c r="C355" s="12">
        <f t="shared" si="117"/>
        <v>10227570</v>
      </c>
      <c r="D355" s="20">
        <f t="shared" si="123"/>
        <v>2341540</v>
      </c>
      <c r="E355" s="20">
        <f>350*[1]Прилож!$H$36</f>
        <v>348740</v>
      </c>
      <c r="F355" s="20">
        <f>800*[1]Прилож!$H$36</f>
        <v>797120</v>
      </c>
      <c r="G355" s="20">
        <f>300*[1]Прилож!$H$36</f>
        <v>298920</v>
      </c>
      <c r="H355" s="20">
        <f>500*[1]Прилож!$H$36</f>
        <v>498200</v>
      </c>
      <c r="I355" s="20">
        <f>400*[1]Прилож!$H$36</f>
        <v>398560</v>
      </c>
      <c r="J355" s="20">
        <f>350*0</f>
        <v>0</v>
      </c>
      <c r="K355" s="21">
        <v>0</v>
      </c>
      <c r="L355" s="20">
        <v>0</v>
      </c>
      <c r="M355" s="20">
        <v>774.3</v>
      </c>
      <c r="N355" s="20">
        <f t="shared" si="126"/>
        <v>4258650</v>
      </c>
      <c r="O355" s="20">
        <v>383.4</v>
      </c>
      <c r="P355" s="20">
        <v>1195680</v>
      </c>
      <c r="Q355" s="20">
        <v>743.9</v>
      </c>
      <c r="R355" s="20">
        <f>Q355*3000</f>
        <v>2231700</v>
      </c>
      <c r="S355" s="20">
        <v>0</v>
      </c>
      <c r="T355" s="20">
        <v>0</v>
      </c>
      <c r="U355" s="20">
        <v>200000</v>
      </c>
      <c r="V355" s="1">
        <f t="shared" si="125"/>
        <v>5500</v>
      </c>
    </row>
    <row r="356" spans="1:22" ht="23.1" customHeight="1" x14ac:dyDescent="0.25">
      <c r="A356" s="18" t="s">
        <v>1926</v>
      </c>
      <c r="B356" s="25" t="s">
        <v>51</v>
      </c>
      <c r="C356" s="12">
        <f t="shared" si="117"/>
        <v>6889100</v>
      </c>
      <c r="D356" s="20">
        <f t="shared" si="123"/>
        <v>0</v>
      </c>
      <c r="E356" s="20">
        <v>0</v>
      </c>
      <c r="F356" s="20">
        <v>0</v>
      </c>
      <c r="G356" s="20">
        <v>0</v>
      </c>
      <c r="H356" s="20">
        <v>0</v>
      </c>
      <c r="I356" s="20">
        <v>0</v>
      </c>
      <c r="J356" s="20">
        <v>0</v>
      </c>
      <c r="K356" s="21">
        <v>0</v>
      </c>
      <c r="L356" s="20">
        <v>0</v>
      </c>
      <c r="M356" s="20">
        <v>1216.2</v>
      </c>
      <c r="N356" s="20">
        <f t="shared" si="126"/>
        <v>6689100</v>
      </c>
      <c r="O356" s="20">
        <v>0</v>
      </c>
      <c r="P356" s="20">
        <v>0</v>
      </c>
      <c r="Q356" s="20">
        <v>0</v>
      </c>
      <c r="R356" s="20">
        <v>0</v>
      </c>
      <c r="S356" s="20">
        <v>0</v>
      </c>
      <c r="T356" s="20">
        <v>0</v>
      </c>
      <c r="U356" s="20">
        <v>200000</v>
      </c>
      <c r="V356" s="1">
        <f t="shared" si="125"/>
        <v>5500</v>
      </c>
    </row>
    <row r="357" spans="1:22" ht="23.1" customHeight="1" x14ac:dyDescent="0.25">
      <c r="A357" s="18" t="s">
        <v>843</v>
      </c>
      <c r="B357" s="25" t="s">
        <v>52</v>
      </c>
      <c r="C357" s="12">
        <f t="shared" si="117"/>
        <v>2333450</v>
      </c>
      <c r="D357" s="20">
        <f t="shared" si="123"/>
        <v>0</v>
      </c>
      <c r="E357" s="20">
        <v>0</v>
      </c>
      <c r="F357" s="20">
        <v>0</v>
      </c>
      <c r="G357" s="20">
        <v>0</v>
      </c>
      <c r="H357" s="20">
        <v>0</v>
      </c>
      <c r="I357" s="20">
        <v>0</v>
      </c>
      <c r="J357" s="20">
        <v>0</v>
      </c>
      <c r="K357" s="21">
        <v>0</v>
      </c>
      <c r="L357" s="20">
        <v>0</v>
      </c>
      <c r="M357" s="20">
        <v>387.9</v>
      </c>
      <c r="N357" s="20">
        <f t="shared" si="126"/>
        <v>2133450</v>
      </c>
      <c r="O357" s="20">
        <v>0</v>
      </c>
      <c r="P357" s="20">
        <v>0</v>
      </c>
      <c r="Q357" s="20">
        <v>0</v>
      </c>
      <c r="R357" s="20">
        <v>0</v>
      </c>
      <c r="S357" s="20">
        <v>0</v>
      </c>
      <c r="T357" s="20">
        <v>0</v>
      </c>
      <c r="U357" s="20">
        <v>200000</v>
      </c>
      <c r="V357" s="1">
        <f t="shared" si="125"/>
        <v>5500</v>
      </c>
    </row>
    <row r="358" spans="1:22" ht="23.1" customHeight="1" x14ac:dyDescent="0.25">
      <c r="A358" s="18" t="s">
        <v>844</v>
      </c>
      <c r="B358" s="23" t="s">
        <v>58</v>
      </c>
      <c r="C358" s="12">
        <f t="shared" si="117"/>
        <v>3545649.9999999995</v>
      </c>
      <c r="D358" s="20">
        <f t="shared" si="123"/>
        <v>0</v>
      </c>
      <c r="E358" s="20">
        <v>0</v>
      </c>
      <c r="F358" s="20">
        <v>0</v>
      </c>
      <c r="G358" s="20">
        <v>0</v>
      </c>
      <c r="H358" s="20">
        <v>0</v>
      </c>
      <c r="I358" s="20">
        <v>0</v>
      </c>
      <c r="J358" s="20">
        <v>0</v>
      </c>
      <c r="K358" s="21">
        <v>0</v>
      </c>
      <c r="L358" s="20">
        <v>0</v>
      </c>
      <c r="M358" s="20">
        <v>608.29999999999995</v>
      </c>
      <c r="N358" s="20">
        <f t="shared" si="126"/>
        <v>3345649.9999999995</v>
      </c>
      <c r="O358" s="20">
        <v>0</v>
      </c>
      <c r="P358" s="20">
        <v>0</v>
      </c>
      <c r="Q358" s="20">
        <v>0</v>
      </c>
      <c r="R358" s="20">
        <v>0</v>
      </c>
      <c r="S358" s="20">
        <v>0</v>
      </c>
      <c r="T358" s="20">
        <v>0</v>
      </c>
      <c r="U358" s="20">
        <v>200000</v>
      </c>
      <c r="V358" s="1">
        <f t="shared" si="125"/>
        <v>5500</v>
      </c>
    </row>
    <row r="359" spans="1:22" ht="23.1" customHeight="1" x14ac:dyDescent="0.25">
      <c r="A359" s="18" t="s">
        <v>845</v>
      </c>
      <c r="B359" s="25" t="s">
        <v>33</v>
      </c>
      <c r="C359" s="12">
        <f t="shared" si="117"/>
        <v>3584485.2</v>
      </c>
      <c r="D359" s="20">
        <f t="shared" si="123"/>
        <v>0</v>
      </c>
      <c r="E359" s="20">
        <v>0</v>
      </c>
      <c r="F359" s="20">
        <v>0</v>
      </c>
      <c r="G359" s="20">
        <v>0</v>
      </c>
      <c r="H359" s="20">
        <v>0</v>
      </c>
      <c r="I359" s="20">
        <v>0</v>
      </c>
      <c r="J359" s="20">
        <v>0</v>
      </c>
      <c r="K359" s="21">
        <v>0</v>
      </c>
      <c r="L359" s="20">
        <v>0</v>
      </c>
      <c r="M359" s="20">
        <v>918.2</v>
      </c>
      <c r="N359" s="20">
        <f t="shared" ref="N359:N360" si="127">M359*3686</f>
        <v>3384485.2</v>
      </c>
      <c r="O359" s="20">
        <v>0</v>
      </c>
      <c r="P359" s="20">
        <v>0</v>
      </c>
      <c r="Q359" s="20">
        <v>0</v>
      </c>
      <c r="R359" s="20">
        <v>0</v>
      </c>
      <c r="S359" s="20">
        <v>0</v>
      </c>
      <c r="T359" s="20">
        <v>0</v>
      </c>
      <c r="U359" s="20">
        <v>200000</v>
      </c>
      <c r="V359" s="1">
        <f t="shared" si="125"/>
        <v>3686</v>
      </c>
    </row>
    <row r="360" spans="1:22" ht="23.1" customHeight="1" x14ac:dyDescent="0.25">
      <c r="A360" s="18" t="s">
        <v>846</v>
      </c>
      <c r="B360" s="25" t="s">
        <v>34</v>
      </c>
      <c r="C360" s="12">
        <f t="shared" si="117"/>
        <v>1432229.8</v>
      </c>
      <c r="D360" s="20">
        <f t="shared" si="123"/>
        <v>0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1">
        <v>0</v>
      </c>
      <c r="L360" s="20">
        <v>0</v>
      </c>
      <c r="M360" s="20">
        <v>334.3</v>
      </c>
      <c r="N360" s="20">
        <f t="shared" si="127"/>
        <v>1232229.8</v>
      </c>
      <c r="O360" s="20">
        <v>0</v>
      </c>
      <c r="P360" s="20">
        <v>0</v>
      </c>
      <c r="Q360" s="20">
        <v>0</v>
      </c>
      <c r="R360" s="20">
        <v>0</v>
      </c>
      <c r="S360" s="20">
        <v>0</v>
      </c>
      <c r="T360" s="20">
        <v>0</v>
      </c>
      <c r="U360" s="20">
        <v>200000</v>
      </c>
      <c r="V360" s="1">
        <f t="shared" si="125"/>
        <v>3686</v>
      </c>
    </row>
    <row r="361" spans="1:22" ht="23.1" customHeight="1" x14ac:dyDescent="0.25">
      <c r="A361" s="18" t="s">
        <v>1927</v>
      </c>
      <c r="B361" s="25" t="s">
        <v>60</v>
      </c>
      <c r="C361" s="12">
        <f t="shared" si="117"/>
        <v>1905550.0000000002</v>
      </c>
      <c r="D361" s="20">
        <f t="shared" si="123"/>
        <v>0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1">
        <v>0</v>
      </c>
      <c r="L361" s="20">
        <v>0</v>
      </c>
      <c r="M361" s="20">
        <v>310.10000000000002</v>
      </c>
      <c r="N361" s="20">
        <f t="shared" ref="N361:N362" si="128">M361*5500</f>
        <v>1705550.0000000002</v>
      </c>
      <c r="O361" s="20">
        <v>0</v>
      </c>
      <c r="P361" s="20">
        <v>0</v>
      </c>
      <c r="Q361" s="20">
        <v>0</v>
      </c>
      <c r="R361" s="20">
        <v>0</v>
      </c>
      <c r="S361" s="20">
        <v>0</v>
      </c>
      <c r="T361" s="20">
        <v>0</v>
      </c>
      <c r="U361" s="20">
        <v>200000</v>
      </c>
      <c r="V361" s="1">
        <f t="shared" si="125"/>
        <v>5500</v>
      </c>
    </row>
    <row r="362" spans="1:22" ht="23.1" customHeight="1" x14ac:dyDescent="0.25">
      <c r="A362" s="18" t="s">
        <v>847</v>
      </c>
      <c r="B362" s="25" t="s">
        <v>61</v>
      </c>
      <c r="C362" s="12">
        <f t="shared" si="117"/>
        <v>5486600</v>
      </c>
      <c r="D362" s="20">
        <f t="shared" si="123"/>
        <v>0</v>
      </c>
      <c r="E362" s="20">
        <v>0</v>
      </c>
      <c r="F362" s="20">
        <v>0</v>
      </c>
      <c r="G362" s="20">
        <v>0</v>
      </c>
      <c r="H362" s="20">
        <v>0</v>
      </c>
      <c r="I362" s="20">
        <v>0</v>
      </c>
      <c r="J362" s="20">
        <v>0</v>
      </c>
      <c r="K362" s="21">
        <v>0</v>
      </c>
      <c r="L362" s="20">
        <v>0</v>
      </c>
      <c r="M362" s="20">
        <v>961.2</v>
      </c>
      <c r="N362" s="20">
        <f t="shared" si="128"/>
        <v>5286600</v>
      </c>
      <c r="O362" s="20">
        <v>0</v>
      </c>
      <c r="P362" s="20">
        <v>0</v>
      </c>
      <c r="Q362" s="20">
        <v>0</v>
      </c>
      <c r="R362" s="20">
        <v>0</v>
      </c>
      <c r="S362" s="20">
        <v>0</v>
      </c>
      <c r="T362" s="20">
        <v>0</v>
      </c>
      <c r="U362" s="20">
        <v>200000</v>
      </c>
      <c r="V362" s="1">
        <f t="shared" si="125"/>
        <v>5500</v>
      </c>
    </row>
    <row r="363" spans="1:22" ht="23.1" customHeight="1" x14ac:dyDescent="0.25">
      <c r="A363" s="18" t="s">
        <v>848</v>
      </c>
      <c r="B363" s="25" t="s">
        <v>64</v>
      </c>
      <c r="C363" s="12">
        <f t="shared" si="117"/>
        <v>13297316</v>
      </c>
      <c r="D363" s="20">
        <f t="shared" si="123"/>
        <v>0</v>
      </c>
      <c r="E363" s="20">
        <v>0</v>
      </c>
      <c r="F363" s="20">
        <v>0</v>
      </c>
      <c r="G363" s="20">
        <v>0</v>
      </c>
      <c r="H363" s="20">
        <v>0</v>
      </c>
      <c r="I363" s="20">
        <v>0</v>
      </c>
      <c r="J363" s="20">
        <v>0</v>
      </c>
      <c r="K363" s="21">
        <v>0</v>
      </c>
      <c r="L363" s="20">
        <v>0</v>
      </c>
      <c r="M363" s="20">
        <v>1206</v>
      </c>
      <c r="N363" s="20">
        <f t="shared" ref="N363:N365" si="129">M363*3686</f>
        <v>4445316</v>
      </c>
      <c r="O363" s="20">
        <v>0</v>
      </c>
      <c r="P363" s="20">
        <v>0</v>
      </c>
      <c r="Q363" s="20">
        <v>2884</v>
      </c>
      <c r="R363" s="20">
        <f t="shared" ref="R363:R364" si="130">Q363*3000</f>
        <v>8652000</v>
      </c>
      <c r="S363" s="20">
        <v>0</v>
      </c>
      <c r="T363" s="20">
        <v>0</v>
      </c>
      <c r="U363" s="20">
        <v>200000</v>
      </c>
      <c r="V363" s="1">
        <f t="shared" si="125"/>
        <v>3686</v>
      </c>
    </row>
    <row r="364" spans="1:22" ht="23.1" customHeight="1" x14ac:dyDescent="0.25">
      <c r="A364" s="18" t="s">
        <v>849</v>
      </c>
      <c r="B364" s="25" t="s">
        <v>1224</v>
      </c>
      <c r="C364" s="12">
        <f t="shared" si="117"/>
        <v>10151322.82</v>
      </c>
      <c r="D364" s="20">
        <f t="shared" si="123"/>
        <v>0</v>
      </c>
      <c r="E364" s="20">
        <v>0</v>
      </c>
      <c r="F364" s="20">
        <v>0</v>
      </c>
      <c r="G364" s="20">
        <v>0</v>
      </c>
      <c r="H364" s="20">
        <v>0</v>
      </c>
      <c r="I364" s="20">
        <v>0</v>
      </c>
      <c r="J364" s="20">
        <v>0</v>
      </c>
      <c r="K364" s="21">
        <v>0</v>
      </c>
      <c r="L364" s="20">
        <v>0</v>
      </c>
      <c r="M364" s="20">
        <v>1006.87</v>
      </c>
      <c r="N364" s="20">
        <f t="shared" si="129"/>
        <v>3711322.82</v>
      </c>
      <c r="O364" s="20">
        <v>0</v>
      </c>
      <c r="P364" s="20">
        <v>0</v>
      </c>
      <c r="Q364" s="20">
        <v>2080</v>
      </c>
      <c r="R364" s="20">
        <f t="shared" si="130"/>
        <v>6240000</v>
      </c>
      <c r="S364" s="20">
        <v>0</v>
      </c>
      <c r="T364" s="20">
        <v>0</v>
      </c>
      <c r="U364" s="20">
        <v>200000</v>
      </c>
      <c r="V364" s="1">
        <f t="shared" si="125"/>
        <v>3686</v>
      </c>
    </row>
    <row r="365" spans="1:22" ht="23.1" customHeight="1" x14ac:dyDescent="0.25">
      <c r="A365" s="18" t="s">
        <v>850</v>
      </c>
      <c r="B365" s="23" t="s">
        <v>36</v>
      </c>
      <c r="C365" s="12">
        <f t="shared" si="117"/>
        <v>4756264.5999999996</v>
      </c>
      <c r="D365" s="20">
        <f t="shared" si="123"/>
        <v>0</v>
      </c>
      <c r="E365" s="20">
        <v>0</v>
      </c>
      <c r="F365" s="20">
        <v>0</v>
      </c>
      <c r="G365" s="20">
        <v>0</v>
      </c>
      <c r="H365" s="20">
        <v>0</v>
      </c>
      <c r="I365" s="20">
        <v>0</v>
      </c>
      <c r="J365" s="20">
        <v>0</v>
      </c>
      <c r="K365" s="21">
        <v>0</v>
      </c>
      <c r="L365" s="20">
        <v>0</v>
      </c>
      <c r="M365" s="20">
        <v>1236.0999999999999</v>
      </c>
      <c r="N365" s="20">
        <f t="shared" si="129"/>
        <v>4556264.5999999996</v>
      </c>
      <c r="O365" s="20">
        <v>0</v>
      </c>
      <c r="P365" s="20">
        <v>0</v>
      </c>
      <c r="Q365" s="20">
        <v>0</v>
      </c>
      <c r="R365" s="20">
        <v>0</v>
      </c>
      <c r="S365" s="20">
        <v>0</v>
      </c>
      <c r="T365" s="20">
        <v>0</v>
      </c>
      <c r="U365" s="20">
        <v>200000</v>
      </c>
      <c r="V365" s="1">
        <f t="shared" si="125"/>
        <v>3686</v>
      </c>
    </row>
    <row r="366" spans="1:22" ht="23.1" customHeight="1" x14ac:dyDescent="0.25">
      <c r="A366" s="18" t="s">
        <v>851</v>
      </c>
      <c r="B366" s="25" t="s">
        <v>1396</v>
      </c>
      <c r="C366" s="12">
        <f t="shared" si="117"/>
        <v>8800000</v>
      </c>
      <c r="D366" s="20">
        <f t="shared" si="123"/>
        <v>0</v>
      </c>
      <c r="E366" s="20">
        <v>0</v>
      </c>
      <c r="F366" s="20">
        <v>0</v>
      </c>
      <c r="G366" s="20">
        <v>0</v>
      </c>
      <c r="H366" s="20">
        <v>0</v>
      </c>
      <c r="I366" s="20">
        <v>0</v>
      </c>
      <c r="J366" s="20">
        <v>0</v>
      </c>
      <c r="K366" s="21">
        <v>4</v>
      </c>
      <c r="L366" s="20">
        <f>K366*2150000</f>
        <v>8600000</v>
      </c>
      <c r="M366" s="20">
        <v>0</v>
      </c>
      <c r="N366" s="24">
        <v>0</v>
      </c>
      <c r="O366" s="20">
        <v>0</v>
      </c>
      <c r="P366" s="20">
        <v>0</v>
      </c>
      <c r="Q366" s="20">
        <v>0</v>
      </c>
      <c r="R366" s="20">
        <v>0</v>
      </c>
      <c r="S366" s="20">
        <v>0</v>
      </c>
      <c r="T366" s="20">
        <v>0</v>
      </c>
      <c r="U366" s="20">
        <v>200000</v>
      </c>
      <c r="V366" s="1" t="e">
        <f t="shared" si="125"/>
        <v>#DIV/0!</v>
      </c>
    </row>
    <row r="367" spans="1:22" ht="23.1" customHeight="1" x14ac:dyDescent="0.25">
      <c r="A367" s="18" t="s">
        <v>852</v>
      </c>
      <c r="B367" s="23" t="s">
        <v>37</v>
      </c>
      <c r="C367" s="12">
        <f t="shared" si="117"/>
        <v>15157400</v>
      </c>
      <c r="D367" s="20">
        <f t="shared" si="123"/>
        <v>0</v>
      </c>
      <c r="E367" s="20">
        <v>0</v>
      </c>
      <c r="F367" s="20">
        <v>0</v>
      </c>
      <c r="G367" s="20">
        <v>0</v>
      </c>
      <c r="H367" s="20">
        <v>0</v>
      </c>
      <c r="I367" s="20">
        <v>0</v>
      </c>
      <c r="J367" s="20">
        <v>0</v>
      </c>
      <c r="K367" s="21">
        <v>0</v>
      </c>
      <c r="L367" s="20">
        <v>0</v>
      </c>
      <c r="M367" s="20">
        <v>0</v>
      </c>
      <c r="N367" s="20">
        <v>0</v>
      </c>
      <c r="O367" s="20">
        <v>0</v>
      </c>
      <c r="P367" s="20">
        <v>0</v>
      </c>
      <c r="Q367" s="20">
        <v>4985.8</v>
      </c>
      <c r="R367" s="20">
        <f>Q367*3000</f>
        <v>14957400</v>
      </c>
      <c r="S367" s="20">
        <v>0</v>
      </c>
      <c r="T367" s="20">
        <v>0</v>
      </c>
      <c r="U367" s="20">
        <v>200000</v>
      </c>
      <c r="V367" s="1" t="e">
        <f t="shared" si="125"/>
        <v>#DIV/0!</v>
      </c>
    </row>
    <row r="368" spans="1:22" ht="23.1" customHeight="1" x14ac:dyDescent="0.25">
      <c r="A368" s="18" t="s">
        <v>853</v>
      </c>
      <c r="B368" s="23" t="s">
        <v>38</v>
      </c>
      <c r="C368" s="12">
        <f t="shared" si="117"/>
        <v>18468648.600000001</v>
      </c>
      <c r="D368" s="20">
        <f t="shared" si="123"/>
        <v>13531770</v>
      </c>
      <c r="E368" s="20">
        <f>350*[1]Прилож!$H$73</f>
        <v>2015370</v>
      </c>
      <c r="F368" s="20">
        <f>800*[1]Прилож!$H$73</f>
        <v>4606560</v>
      </c>
      <c r="G368" s="20">
        <f>300*[1]Прилож!$H$73</f>
        <v>1727460</v>
      </c>
      <c r="H368" s="20">
        <f>500*[1]Прилож!$H$73</f>
        <v>2879100</v>
      </c>
      <c r="I368" s="20">
        <f>400*[1]Прилож!$H$73</f>
        <v>2303280</v>
      </c>
      <c r="J368" s="20">
        <f>350*0</f>
        <v>0</v>
      </c>
      <c r="K368" s="21">
        <v>0</v>
      </c>
      <c r="L368" s="20">
        <v>0</v>
      </c>
      <c r="M368" s="20">
        <v>1285.0999999999999</v>
      </c>
      <c r="N368" s="20">
        <f>M368*3686</f>
        <v>4736878.5999999996</v>
      </c>
      <c r="O368" s="20">
        <v>0</v>
      </c>
      <c r="P368" s="20">
        <v>0</v>
      </c>
      <c r="Q368" s="20">
        <v>0</v>
      </c>
      <c r="R368" s="20">
        <v>0</v>
      </c>
      <c r="S368" s="20">
        <v>0</v>
      </c>
      <c r="T368" s="20">
        <v>0</v>
      </c>
      <c r="U368" s="20">
        <v>200000</v>
      </c>
      <c r="V368" s="1">
        <f t="shared" si="125"/>
        <v>3686</v>
      </c>
    </row>
    <row r="369" spans="1:258" ht="42.95" customHeight="1" x14ac:dyDescent="0.25">
      <c r="A369" s="63" t="s">
        <v>30</v>
      </c>
      <c r="B369" s="63"/>
      <c r="C369" s="12">
        <f t="shared" si="117"/>
        <v>2163500</v>
      </c>
      <c r="D369" s="12">
        <f t="shared" ref="D369:U369" si="131">SUM(D370)</f>
        <v>0</v>
      </c>
      <c r="E369" s="12">
        <f t="shared" si="131"/>
        <v>0</v>
      </c>
      <c r="F369" s="12">
        <f t="shared" si="131"/>
        <v>0</v>
      </c>
      <c r="G369" s="12">
        <f t="shared" si="131"/>
        <v>0</v>
      </c>
      <c r="H369" s="12">
        <f t="shared" si="131"/>
        <v>0</v>
      </c>
      <c r="I369" s="12">
        <f t="shared" si="131"/>
        <v>0</v>
      </c>
      <c r="J369" s="12">
        <f t="shared" si="131"/>
        <v>0</v>
      </c>
      <c r="K369" s="13">
        <f t="shared" si="131"/>
        <v>0</v>
      </c>
      <c r="L369" s="12">
        <f t="shared" si="131"/>
        <v>0</v>
      </c>
      <c r="M369" s="12">
        <f t="shared" si="131"/>
        <v>357</v>
      </c>
      <c r="N369" s="12">
        <f t="shared" si="131"/>
        <v>1963500</v>
      </c>
      <c r="O369" s="12">
        <f t="shared" si="131"/>
        <v>0</v>
      </c>
      <c r="P369" s="12">
        <f t="shared" si="131"/>
        <v>0</v>
      </c>
      <c r="Q369" s="12">
        <f t="shared" si="131"/>
        <v>0</v>
      </c>
      <c r="R369" s="12">
        <f t="shared" si="131"/>
        <v>0</v>
      </c>
      <c r="S369" s="12">
        <f t="shared" si="131"/>
        <v>0</v>
      </c>
      <c r="T369" s="12">
        <f t="shared" si="131"/>
        <v>0</v>
      </c>
      <c r="U369" s="12">
        <f t="shared" si="131"/>
        <v>200000</v>
      </c>
      <c r="V369" s="22">
        <f>C369</f>
        <v>2163500</v>
      </c>
    </row>
    <row r="370" spans="1:258" ht="21.95" customHeight="1" x14ac:dyDescent="0.25">
      <c r="A370" s="18" t="s">
        <v>854</v>
      </c>
      <c r="B370" s="25" t="s">
        <v>31</v>
      </c>
      <c r="C370" s="12">
        <f t="shared" si="117"/>
        <v>2163500</v>
      </c>
      <c r="D370" s="20">
        <f t="shared" ref="D370" si="132">SUM(E370:J370)</f>
        <v>0</v>
      </c>
      <c r="E370" s="20">
        <v>0</v>
      </c>
      <c r="F370" s="20">
        <v>0</v>
      </c>
      <c r="G370" s="20">
        <v>0</v>
      </c>
      <c r="H370" s="20">
        <v>0</v>
      </c>
      <c r="I370" s="20">
        <v>0</v>
      </c>
      <c r="J370" s="20">
        <v>0</v>
      </c>
      <c r="K370" s="21">
        <v>0</v>
      </c>
      <c r="L370" s="20">
        <v>0</v>
      </c>
      <c r="M370" s="20">
        <v>357</v>
      </c>
      <c r="N370" s="20">
        <f t="shared" ref="N370" si="133">M370*5500</f>
        <v>1963500</v>
      </c>
      <c r="O370" s="20">
        <v>0</v>
      </c>
      <c r="P370" s="20">
        <v>0</v>
      </c>
      <c r="Q370" s="20">
        <v>0</v>
      </c>
      <c r="R370" s="20">
        <v>0</v>
      </c>
      <c r="S370" s="20">
        <v>0</v>
      </c>
      <c r="T370" s="20">
        <v>0</v>
      </c>
      <c r="U370" s="20">
        <v>200000</v>
      </c>
      <c r="V370" s="1">
        <f>N370/M370</f>
        <v>5500</v>
      </c>
    </row>
    <row r="371" spans="1:258" ht="42.95" customHeight="1" x14ac:dyDescent="0.25">
      <c r="A371" s="63" t="s">
        <v>75</v>
      </c>
      <c r="B371" s="63"/>
      <c r="C371" s="12">
        <f t="shared" si="117"/>
        <v>8607922.5</v>
      </c>
      <c r="D371" s="12">
        <f t="shared" ref="D371:U371" si="134">SUM(D372:D375)</f>
        <v>502922.50000000006</v>
      </c>
      <c r="E371" s="12">
        <f t="shared" si="134"/>
        <v>95147.500000000015</v>
      </c>
      <c r="F371" s="12">
        <f t="shared" si="134"/>
        <v>217480.00000000003</v>
      </c>
      <c r="G371" s="12">
        <f t="shared" si="134"/>
        <v>81555</v>
      </c>
      <c r="H371" s="12">
        <f t="shared" si="134"/>
        <v>0</v>
      </c>
      <c r="I371" s="12">
        <f t="shared" si="134"/>
        <v>108740.00000000001</v>
      </c>
      <c r="J371" s="12">
        <f t="shared" si="134"/>
        <v>0</v>
      </c>
      <c r="K371" s="13">
        <f t="shared" si="134"/>
        <v>0</v>
      </c>
      <c r="L371" s="12">
        <f t="shared" si="134"/>
        <v>0</v>
      </c>
      <c r="M371" s="12">
        <f t="shared" si="134"/>
        <v>1310</v>
      </c>
      <c r="N371" s="12">
        <f t="shared" si="134"/>
        <v>7205000</v>
      </c>
      <c r="O371" s="12">
        <f t="shared" si="134"/>
        <v>0</v>
      </c>
      <c r="P371" s="12">
        <f t="shared" si="134"/>
        <v>0</v>
      </c>
      <c r="Q371" s="12">
        <f t="shared" si="134"/>
        <v>0</v>
      </c>
      <c r="R371" s="12">
        <f t="shared" si="134"/>
        <v>0</v>
      </c>
      <c r="S371" s="12">
        <f t="shared" si="134"/>
        <v>0</v>
      </c>
      <c r="T371" s="12">
        <f t="shared" si="134"/>
        <v>0</v>
      </c>
      <c r="U371" s="12">
        <f t="shared" si="134"/>
        <v>900000</v>
      </c>
    </row>
    <row r="372" spans="1:258" ht="23.1" customHeight="1" x14ac:dyDescent="0.25">
      <c r="A372" s="26" t="s">
        <v>855</v>
      </c>
      <c r="B372" s="25" t="s">
        <v>1219</v>
      </c>
      <c r="C372" s="12">
        <f t="shared" si="117"/>
        <v>300000</v>
      </c>
      <c r="D372" s="20">
        <f t="shared" ref="D372:D375" si="135">SUM(E372:J372)</f>
        <v>0</v>
      </c>
      <c r="E372" s="20">
        <v>0</v>
      </c>
      <c r="F372" s="20">
        <v>0</v>
      </c>
      <c r="G372" s="20">
        <v>0</v>
      </c>
      <c r="H372" s="20">
        <v>0</v>
      </c>
      <c r="I372" s="20">
        <v>0</v>
      </c>
      <c r="J372" s="20">
        <v>0</v>
      </c>
      <c r="K372" s="9">
        <v>0</v>
      </c>
      <c r="L372" s="8">
        <v>0</v>
      </c>
      <c r="M372" s="8">
        <v>0</v>
      </c>
      <c r="N372" s="8">
        <v>0</v>
      </c>
      <c r="O372" s="8">
        <v>0</v>
      </c>
      <c r="P372" s="8">
        <v>0</v>
      </c>
      <c r="Q372" s="8">
        <v>0</v>
      </c>
      <c r="R372" s="8">
        <v>0</v>
      </c>
      <c r="S372" s="8">
        <v>0</v>
      </c>
      <c r="T372" s="8">
        <v>0</v>
      </c>
      <c r="U372" s="8">
        <v>300000</v>
      </c>
      <c r="V372" s="1" t="e">
        <f t="shared" ref="V372:V375" si="136">N372/M372</f>
        <v>#DIV/0!</v>
      </c>
    </row>
    <row r="373" spans="1:258" ht="23.1" customHeight="1" x14ac:dyDescent="0.25">
      <c r="A373" s="26" t="s">
        <v>856</v>
      </c>
      <c r="B373" s="25" t="s">
        <v>73</v>
      </c>
      <c r="C373" s="12">
        <f t="shared" si="117"/>
        <v>702922.5</v>
      </c>
      <c r="D373" s="20">
        <f t="shared" si="135"/>
        <v>502922.50000000006</v>
      </c>
      <c r="E373" s="20">
        <f>350*271.85</f>
        <v>95147.500000000015</v>
      </c>
      <c r="F373" s="20">
        <f>800*271.85</f>
        <v>217480.00000000003</v>
      </c>
      <c r="G373" s="20">
        <f>300*271.85</f>
        <v>81555</v>
      </c>
      <c r="H373" s="20">
        <f>500*0</f>
        <v>0</v>
      </c>
      <c r="I373" s="20">
        <f>400*271.85</f>
        <v>108740.00000000001</v>
      </c>
      <c r="J373" s="20">
        <f>350*0</f>
        <v>0</v>
      </c>
      <c r="K373" s="21">
        <v>0</v>
      </c>
      <c r="L373" s="20">
        <v>0</v>
      </c>
      <c r="M373" s="20">
        <v>0</v>
      </c>
      <c r="N373" s="24">
        <v>0</v>
      </c>
      <c r="O373" s="20">
        <v>0</v>
      </c>
      <c r="P373" s="20">
        <v>0</v>
      </c>
      <c r="Q373" s="20">
        <v>0</v>
      </c>
      <c r="R373" s="20">
        <v>0</v>
      </c>
      <c r="S373" s="20">
        <v>0</v>
      </c>
      <c r="T373" s="8">
        <v>0</v>
      </c>
      <c r="U373" s="20">
        <v>200000</v>
      </c>
      <c r="V373" s="1" t="e">
        <f t="shared" si="136"/>
        <v>#DIV/0!</v>
      </c>
    </row>
    <row r="374" spans="1:258" ht="23.1" customHeight="1" x14ac:dyDescent="0.25">
      <c r="A374" s="26" t="s">
        <v>1928</v>
      </c>
      <c r="B374" s="25" t="s">
        <v>1220</v>
      </c>
      <c r="C374" s="12">
        <f t="shared" si="117"/>
        <v>4765000</v>
      </c>
      <c r="D374" s="20">
        <f t="shared" si="135"/>
        <v>0</v>
      </c>
      <c r="E374" s="20">
        <v>0</v>
      </c>
      <c r="F374" s="20">
        <v>0</v>
      </c>
      <c r="G374" s="20">
        <v>0</v>
      </c>
      <c r="H374" s="20">
        <v>0</v>
      </c>
      <c r="I374" s="20">
        <v>0</v>
      </c>
      <c r="J374" s="20">
        <v>0</v>
      </c>
      <c r="K374" s="21">
        <v>0</v>
      </c>
      <c r="L374" s="20">
        <v>0</v>
      </c>
      <c r="M374" s="20">
        <v>830</v>
      </c>
      <c r="N374" s="20">
        <f t="shared" ref="N374:N375" si="137">M374*5500</f>
        <v>4565000</v>
      </c>
      <c r="O374" s="20">
        <v>0</v>
      </c>
      <c r="P374" s="20">
        <v>0</v>
      </c>
      <c r="Q374" s="20">
        <v>0</v>
      </c>
      <c r="R374" s="20">
        <v>0</v>
      </c>
      <c r="S374" s="20">
        <v>0</v>
      </c>
      <c r="T374" s="8">
        <v>0</v>
      </c>
      <c r="U374" s="20">
        <v>200000</v>
      </c>
      <c r="V374" s="1">
        <f t="shared" si="136"/>
        <v>5500</v>
      </c>
    </row>
    <row r="375" spans="1:258" ht="23.1" customHeight="1" x14ac:dyDescent="0.25">
      <c r="A375" s="26" t="s">
        <v>857</v>
      </c>
      <c r="B375" s="25" t="s">
        <v>1221</v>
      </c>
      <c r="C375" s="12">
        <f t="shared" si="117"/>
        <v>2840000</v>
      </c>
      <c r="D375" s="20">
        <f t="shared" si="135"/>
        <v>0</v>
      </c>
      <c r="E375" s="20">
        <v>0</v>
      </c>
      <c r="F375" s="20">
        <v>0</v>
      </c>
      <c r="G375" s="20">
        <v>0</v>
      </c>
      <c r="H375" s="20">
        <v>0</v>
      </c>
      <c r="I375" s="20">
        <v>0</v>
      </c>
      <c r="J375" s="20">
        <v>0</v>
      </c>
      <c r="K375" s="21">
        <v>0</v>
      </c>
      <c r="L375" s="20">
        <v>0</v>
      </c>
      <c r="M375" s="20">
        <v>480</v>
      </c>
      <c r="N375" s="20">
        <f t="shared" si="137"/>
        <v>2640000</v>
      </c>
      <c r="O375" s="20">
        <v>0</v>
      </c>
      <c r="P375" s="20">
        <v>0</v>
      </c>
      <c r="Q375" s="20">
        <v>0</v>
      </c>
      <c r="R375" s="20">
        <v>0</v>
      </c>
      <c r="S375" s="20">
        <v>0</v>
      </c>
      <c r="T375" s="8">
        <v>0</v>
      </c>
      <c r="U375" s="20">
        <v>200000</v>
      </c>
      <c r="V375" s="1">
        <f t="shared" si="136"/>
        <v>5500</v>
      </c>
    </row>
    <row r="376" spans="1:258" ht="42.95" customHeight="1" x14ac:dyDescent="0.25">
      <c r="A376" s="63" t="s">
        <v>2</v>
      </c>
      <c r="B376" s="63"/>
      <c r="C376" s="12">
        <f t="shared" si="117"/>
        <v>10756065</v>
      </c>
      <c r="D376" s="12">
        <f t="shared" ref="D376:U376" si="138">SUM(D377:D379)</f>
        <v>847665</v>
      </c>
      <c r="E376" s="12">
        <f t="shared" si="138"/>
        <v>282555</v>
      </c>
      <c r="F376" s="12">
        <f t="shared" si="138"/>
        <v>0</v>
      </c>
      <c r="G376" s="12">
        <f t="shared" si="138"/>
        <v>242190</v>
      </c>
      <c r="H376" s="12">
        <f t="shared" si="138"/>
        <v>0</v>
      </c>
      <c r="I376" s="12">
        <f t="shared" si="138"/>
        <v>322920</v>
      </c>
      <c r="J376" s="12">
        <f t="shared" si="138"/>
        <v>0</v>
      </c>
      <c r="K376" s="13">
        <f t="shared" si="138"/>
        <v>0</v>
      </c>
      <c r="L376" s="12">
        <f t="shared" si="138"/>
        <v>0</v>
      </c>
      <c r="M376" s="12">
        <f t="shared" si="138"/>
        <v>1334.8</v>
      </c>
      <c r="N376" s="12">
        <f t="shared" si="138"/>
        <v>7341400</v>
      </c>
      <c r="O376" s="12">
        <f t="shared" si="138"/>
        <v>0</v>
      </c>
      <c r="P376" s="12">
        <f t="shared" si="138"/>
        <v>0</v>
      </c>
      <c r="Q376" s="12">
        <f t="shared" si="138"/>
        <v>626</v>
      </c>
      <c r="R376" s="12">
        <f t="shared" si="138"/>
        <v>1878000</v>
      </c>
      <c r="S376" s="12">
        <f t="shared" si="138"/>
        <v>189000</v>
      </c>
      <c r="T376" s="12">
        <f t="shared" si="138"/>
        <v>0</v>
      </c>
      <c r="U376" s="12">
        <f t="shared" si="138"/>
        <v>500000</v>
      </c>
    </row>
    <row r="377" spans="1:258" ht="23.1" customHeight="1" x14ac:dyDescent="0.25">
      <c r="A377" s="18" t="s">
        <v>858</v>
      </c>
      <c r="B377" s="25" t="s">
        <v>78</v>
      </c>
      <c r="C377" s="12">
        <f t="shared" si="117"/>
        <v>6215665</v>
      </c>
      <c r="D377" s="20">
        <f t="shared" ref="D377:D379" si="139">SUM(E377:J377)</f>
        <v>847665</v>
      </c>
      <c r="E377" s="20">
        <f>350*807.3</f>
        <v>282555</v>
      </c>
      <c r="F377" s="20">
        <f>800*0</f>
        <v>0</v>
      </c>
      <c r="G377" s="20">
        <f>300*807.3</f>
        <v>242190</v>
      </c>
      <c r="H377" s="20">
        <f>500*0</f>
        <v>0</v>
      </c>
      <c r="I377" s="20">
        <f>400*807.3</f>
        <v>322920</v>
      </c>
      <c r="J377" s="20">
        <f>350*0</f>
        <v>0</v>
      </c>
      <c r="K377" s="21">
        <v>0</v>
      </c>
      <c r="L377" s="20">
        <v>0</v>
      </c>
      <c r="M377" s="8">
        <v>582</v>
      </c>
      <c r="N377" s="20">
        <f t="shared" ref="N377:N379" si="140">M377*5500</f>
        <v>3201000</v>
      </c>
      <c r="O377" s="20">
        <v>0</v>
      </c>
      <c r="P377" s="20">
        <v>0</v>
      </c>
      <c r="Q377" s="20">
        <v>626</v>
      </c>
      <c r="R377" s="20">
        <f>Q377*3000</f>
        <v>1878000</v>
      </c>
      <c r="S377" s="8">
        <v>189000</v>
      </c>
      <c r="T377" s="20">
        <v>0</v>
      </c>
      <c r="U377" s="20">
        <v>100000</v>
      </c>
      <c r="V377" s="1">
        <f t="shared" ref="V377:V379" si="141">N377/M377</f>
        <v>5500</v>
      </c>
    </row>
    <row r="378" spans="1:258" ht="23.1" customHeight="1" x14ac:dyDescent="0.25">
      <c r="A378" s="18" t="s">
        <v>859</v>
      </c>
      <c r="B378" s="25" t="s">
        <v>80</v>
      </c>
      <c r="C378" s="12">
        <f t="shared" si="117"/>
        <v>2270200</v>
      </c>
      <c r="D378" s="20">
        <f t="shared" si="139"/>
        <v>0</v>
      </c>
      <c r="E378" s="20">
        <v>0</v>
      </c>
      <c r="F378" s="20">
        <v>0</v>
      </c>
      <c r="G378" s="20">
        <v>0</v>
      </c>
      <c r="H378" s="20">
        <v>0</v>
      </c>
      <c r="I378" s="20">
        <v>0</v>
      </c>
      <c r="J378" s="20">
        <v>0</v>
      </c>
      <c r="K378" s="21">
        <v>0</v>
      </c>
      <c r="L378" s="20">
        <v>0</v>
      </c>
      <c r="M378" s="8">
        <v>376.4</v>
      </c>
      <c r="N378" s="20">
        <f t="shared" si="140"/>
        <v>2070199.9999999998</v>
      </c>
      <c r="O378" s="20">
        <v>0</v>
      </c>
      <c r="P378" s="20">
        <v>0</v>
      </c>
      <c r="Q378" s="20">
        <v>0</v>
      </c>
      <c r="R378" s="20">
        <v>0</v>
      </c>
      <c r="S378" s="20">
        <v>0</v>
      </c>
      <c r="T378" s="20">
        <v>0</v>
      </c>
      <c r="U378" s="8">
        <v>200000</v>
      </c>
      <c r="V378" s="1">
        <f t="shared" si="141"/>
        <v>5500</v>
      </c>
    </row>
    <row r="379" spans="1:258" ht="23.1" customHeight="1" x14ac:dyDescent="0.25">
      <c r="A379" s="18" t="s">
        <v>860</v>
      </c>
      <c r="B379" s="25" t="s">
        <v>81</v>
      </c>
      <c r="C379" s="12">
        <f t="shared" si="117"/>
        <v>2270200</v>
      </c>
      <c r="D379" s="20">
        <f t="shared" si="139"/>
        <v>0</v>
      </c>
      <c r="E379" s="20">
        <v>0</v>
      </c>
      <c r="F379" s="20">
        <v>0</v>
      </c>
      <c r="G379" s="20">
        <v>0</v>
      </c>
      <c r="H379" s="20">
        <v>0</v>
      </c>
      <c r="I379" s="20">
        <v>0</v>
      </c>
      <c r="J379" s="20">
        <v>0</v>
      </c>
      <c r="K379" s="21">
        <v>0</v>
      </c>
      <c r="L379" s="20">
        <v>0</v>
      </c>
      <c r="M379" s="8">
        <v>376.4</v>
      </c>
      <c r="N379" s="20">
        <f t="shared" si="140"/>
        <v>2070199.9999999998</v>
      </c>
      <c r="O379" s="20">
        <v>0</v>
      </c>
      <c r="P379" s="20">
        <v>0</v>
      </c>
      <c r="Q379" s="20">
        <v>0</v>
      </c>
      <c r="R379" s="20">
        <v>0</v>
      </c>
      <c r="S379" s="20">
        <v>0</v>
      </c>
      <c r="T379" s="20">
        <v>0</v>
      </c>
      <c r="U379" s="8">
        <v>200000</v>
      </c>
      <c r="V379" s="1">
        <f t="shared" si="141"/>
        <v>5500</v>
      </c>
    </row>
    <row r="380" spans="1:258" ht="45" customHeight="1" x14ac:dyDescent="0.25">
      <c r="A380" s="63" t="s">
        <v>82</v>
      </c>
      <c r="B380" s="63"/>
      <c r="C380" s="12">
        <f t="shared" si="117"/>
        <v>1179962</v>
      </c>
      <c r="D380" s="12">
        <f t="shared" ref="D380:U380" si="142">SUM(D381)</f>
        <v>134442</v>
      </c>
      <c r="E380" s="12">
        <f t="shared" si="142"/>
        <v>134442</v>
      </c>
      <c r="F380" s="12">
        <f t="shared" si="142"/>
        <v>0</v>
      </c>
      <c r="G380" s="12">
        <f t="shared" si="142"/>
        <v>0</v>
      </c>
      <c r="H380" s="12">
        <f t="shared" si="142"/>
        <v>0</v>
      </c>
      <c r="I380" s="12">
        <f t="shared" si="142"/>
        <v>0</v>
      </c>
      <c r="J380" s="12">
        <f t="shared" si="142"/>
        <v>0</v>
      </c>
      <c r="K380" s="13">
        <f t="shared" si="142"/>
        <v>0</v>
      </c>
      <c r="L380" s="12">
        <f t="shared" si="142"/>
        <v>0</v>
      </c>
      <c r="M380" s="12">
        <f t="shared" si="142"/>
        <v>0</v>
      </c>
      <c r="N380" s="12">
        <f t="shared" si="142"/>
        <v>0</v>
      </c>
      <c r="O380" s="12">
        <f t="shared" si="142"/>
        <v>0</v>
      </c>
      <c r="P380" s="12">
        <f t="shared" si="142"/>
        <v>0</v>
      </c>
      <c r="Q380" s="12">
        <f t="shared" si="142"/>
        <v>225.84</v>
      </c>
      <c r="R380" s="12">
        <f t="shared" si="142"/>
        <v>677520</v>
      </c>
      <c r="S380" s="12">
        <f t="shared" si="142"/>
        <v>168000</v>
      </c>
      <c r="T380" s="12">
        <f t="shared" si="142"/>
        <v>0</v>
      </c>
      <c r="U380" s="12">
        <f t="shared" si="142"/>
        <v>200000</v>
      </c>
      <c r="V380" s="22">
        <f>C380+C797</f>
        <v>3640812</v>
      </c>
    </row>
    <row r="381" spans="1:258" ht="21.95" customHeight="1" x14ac:dyDescent="0.25">
      <c r="A381" s="26" t="s">
        <v>861</v>
      </c>
      <c r="B381" s="27" t="s">
        <v>85</v>
      </c>
      <c r="C381" s="12">
        <f t="shared" si="117"/>
        <v>1179962</v>
      </c>
      <c r="D381" s="20">
        <f t="shared" ref="D381" si="143">SUM(E381:J381)</f>
        <v>134442</v>
      </c>
      <c r="E381" s="20">
        <f>350*384.12</f>
        <v>134442</v>
      </c>
      <c r="F381" s="20">
        <v>0</v>
      </c>
      <c r="G381" s="20">
        <v>0</v>
      </c>
      <c r="H381" s="20">
        <v>0</v>
      </c>
      <c r="I381" s="20">
        <v>0</v>
      </c>
      <c r="J381" s="20">
        <f>350*0</f>
        <v>0</v>
      </c>
      <c r="K381" s="9">
        <v>0</v>
      </c>
      <c r="L381" s="8">
        <v>0</v>
      </c>
      <c r="M381" s="8">
        <v>0</v>
      </c>
      <c r="N381" s="8">
        <v>0</v>
      </c>
      <c r="O381" s="8">
        <v>0</v>
      </c>
      <c r="P381" s="8">
        <v>0</v>
      </c>
      <c r="Q381" s="8">
        <v>225.84</v>
      </c>
      <c r="R381" s="20">
        <f>Q381*3000</f>
        <v>677520</v>
      </c>
      <c r="S381" s="8">
        <v>168000</v>
      </c>
      <c r="T381" s="8">
        <v>0</v>
      </c>
      <c r="U381" s="8">
        <v>200000</v>
      </c>
      <c r="V381" s="1" t="e">
        <f>N381/M381</f>
        <v>#DIV/0!</v>
      </c>
    </row>
    <row r="382" spans="1:258" ht="45" customHeight="1" x14ac:dyDescent="0.25">
      <c r="A382" s="63" t="s">
        <v>836</v>
      </c>
      <c r="B382" s="63"/>
      <c r="C382" s="12">
        <f t="shared" si="117"/>
        <v>7956898.4000000004</v>
      </c>
      <c r="D382" s="12">
        <f t="shared" ref="D382:U382" si="144">SUM(D383:D384)</f>
        <v>0</v>
      </c>
      <c r="E382" s="12">
        <f t="shared" si="144"/>
        <v>0</v>
      </c>
      <c r="F382" s="12">
        <f t="shared" si="144"/>
        <v>0</v>
      </c>
      <c r="G382" s="12">
        <f t="shared" si="144"/>
        <v>0</v>
      </c>
      <c r="H382" s="12">
        <f t="shared" si="144"/>
        <v>0</v>
      </c>
      <c r="I382" s="12">
        <f t="shared" si="144"/>
        <v>0</v>
      </c>
      <c r="J382" s="12">
        <f t="shared" si="144"/>
        <v>0</v>
      </c>
      <c r="K382" s="13">
        <f t="shared" si="144"/>
        <v>0</v>
      </c>
      <c r="L382" s="12">
        <f t="shared" si="144"/>
        <v>0</v>
      </c>
      <c r="M382" s="12">
        <f t="shared" si="144"/>
        <v>1064.5</v>
      </c>
      <c r="N382" s="12">
        <f t="shared" si="144"/>
        <v>5202798.4000000004</v>
      </c>
      <c r="O382" s="12">
        <f t="shared" si="144"/>
        <v>0</v>
      </c>
      <c r="P382" s="12">
        <f t="shared" si="144"/>
        <v>0</v>
      </c>
      <c r="Q382" s="12">
        <f t="shared" si="144"/>
        <v>784.7</v>
      </c>
      <c r="R382" s="12">
        <f t="shared" si="144"/>
        <v>2354100</v>
      </c>
      <c r="S382" s="12">
        <f t="shared" si="144"/>
        <v>0</v>
      </c>
      <c r="T382" s="12">
        <f t="shared" si="144"/>
        <v>0</v>
      </c>
      <c r="U382" s="12">
        <f t="shared" si="144"/>
        <v>400000</v>
      </c>
    </row>
    <row r="383" spans="1:258" ht="21.95" customHeight="1" x14ac:dyDescent="0.25">
      <c r="A383" s="18" t="s">
        <v>862</v>
      </c>
      <c r="B383" s="25" t="s">
        <v>90</v>
      </c>
      <c r="C383" s="12">
        <f t="shared" si="117"/>
        <v>4078050</v>
      </c>
      <c r="D383" s="20">
        <f t="shared" ref="D383:D384" si="145">SUM(E383:J383)</f>
        <v>0</v>
      </c>
      <c r="E383" s="20">
        <v>0</v>
      </c>
      <c r="F383" s="20">
        <v>0</v>
      </c>
      <c r="G383" s="20">
        <v>0</v>
      </c>
      <c r="H383" s="20">
        <v>0</v>
      </c>
      <c r="I383" s="20">
        <v>0</v>
      </c>
      <c r="J383" s="20">
        <v>0</v>
      </c>
      <c r="K383" s="21">
        <v>0</v>
      </c>
      <c r="L383" s="20">
        <v>0</v>
      </c>
      <c r="M383" s="20">
        <v>705.1</v>
      </c>
      <c r="N383" s="20">
        <f t="shared" ref="N383" si="146">M383*5500</f>
        <v>3878050</v>
      </c>
      <c r="O383" s="20">
        <v>0</v>
      </c>
      <c r="P383" s="20">
        <v>0</v>
      </c>
      <c r="Q383" s="20">
        <v>0</v>
      </c>
      <c r="R383" s="20">
        <v>0</v>
      </c>
      <c r="S383" s="20">
        <v>0</v>
      </c>
      <c r="T383" s="20">
        <v>0</v>
      </c>
      <c r="U383" s="20">
        <v>200000</v>
      </c>
      <c r="V383" s="1">
        <f t="shared" ref="V383:V384" si="147">N383/M383</f>
        <v>5500</v>
      </c>
    </row>
    <row r="384" spans="1:258" ht="21.95" customHeight="1" x14ac:dyDescent="0.25">
      <c r="A384" s="26" t="s">
        <v>863</v>
      </c>
      <c r="B384" s="25" t="s">
        <v>91</v>
      </c>
      <c r="C384" s="12">
        <f t="shared" si="117"/>
        <v>3878848.4</v>
      </c>
      <c r="D384" s="20">
        <f t="shared" si="145"/>
        <v>0</v>
      </c>
      <c r="E384" s="20">
        <v>0</v>
      </c>
      <c r="F384" s="20">
        <v>0</v>
      </c>
      <c r="G384" s="20">
        <v>0</v>
      </c>
      <c r="H384" s="20">
        <v>0</v>
      </c>
      <c r="I384" s="20">
        <v>0</v>
      </c>
      <c r="J384" s="20">
        <v>0</v>
      </c>
      <c r="K384" s="9">
        <v>0</v>
      </c>
      <c r="L384" s="8">
        <v>0</v>
      </c>
      <c r="M384" s="8">
        <v>359.4</v>
      </c>
      <c r="N384" s="8">
        <f>M384*3686</f>
        <v>1324748.3999999999</v>
      </c>
      <c r="O384" s="8">
        <v>0</v>
      </c>
      <c r="P384" s="8">
        <v>0</v>
      </c>
      <c r="Q384" s="8">
        <v>784.7</v>
      </c>
      <c r="R384" s="20">
        <f>Q384*3000</f>
        <v>2354100</v>
      </c>
      <c r="S384" s="8">
        <v>0</v>
      </c>
      <c r="T384" s="8">
        <v>0</v>
      </c>
      <c r="U384" s="8">
        <v>200000</v>
      </c>
      <c r="V384" s="1">
        <f t="shared" si="147"/>
        <v>3686</v>
      </c>
      <c r="IX384" s="37"/>
    </row>
    <row r="385" spans="1:22" ht="45" customHeight="1" x14ac:dyDescent="0.25">
      <c r="A385" s="63" t="s">
        <v>93</v>
      </c>
      <c r="B385" s="63"/>
      <c r="C385" s="12">
        <f t="shared" si="117"/>
        <v>1983000</v>
      </c>
      <c r="D385" s="12">
        <f t="shared" ref="D385:U385" si="148">SUM(D386)</f>
        <v>133000</v>
      </c>
      <c r="E385" s="12">
        <f t="shared" si="148"/>
        <v>133000</v>
      </c>
      <c r="F385" s="12">
        <f t="shared" si="148"/>
        <v>0</v>
      </c>
      <c r="G385" s="12">
        <f t="shared" si="148"/>
        <v>0</v>
      </c>
      <c r="H385" s="12">
        <f t="shared" si="148"/>
        <v>0</v>
      </c>
      <c r="I385" s="12">
        <f t="shared" si="148"/>
        <v>0</v>
      </c>
      <c r="J385" s="12">
        <f t="shared" si="148"/>
        <v>0</v>
      </c>
      <c r="K385" s="13">
        <f t="shared" si="148"/>
        <v>0</v>
      </c>
      <c r="L385" s="12">
        <f t="shared" si="148"/>
        <v>0</v>
      </c>
      <c r="M385" s="12">
        <f t="shared" si="148"/>
        <v>300</v>
      </c>
      <c r="N385" s="12">
        <f t="shared" si="148"/>
        <v>1650000</v>
      </c>
      <c r="O385" s="12">
        <f t="shared" si="148"/>
        <v>0</v>
      </c>
      <c r="P385" s="12">
        <f t="shared" si="148"/>
        <v>0</v>
      </c>
      <c r="Q385" s="12">
        <f t="shared" si="148"/>
        <v>0</v>
      </c>
      <c r="R385" s="12">
        <f t="shared" si="148"/>
        <v>0</v>
      </c>
      <c r="S385" s="12">
        <f t="shared" si="148"/>
        <v>0</v>
      </c>
      <c r="T385" s="12">
        <f t="shared" si="148"/>
        <v>0</v>
      </c>
      <c r="U385" s="12">
        <f t="shared" si="148"/>
        <v>200000</v>
      </c>
      <c r="V385" s="22">
        <f>C385</f>
        <v>1983000</v>
      </c>
    </row>
    <row r="386" spans="1:22" ht="21.95" customHeight="1" x14ac:dyDescent="0.25">
      <c r="A386" s="18" t="s">
        <v>864</v>
      </c>
      <c r="B386" s="27" t="s">
        <v>92</v>
      </c>
      <c r="C386" s="12">
        <f t="shared" si="117"/>
        <v>1983000</v>
      </c>
      <c r="D386" s="20">
        <f t="shared" ref="D386" si="149">SUM(E386:J386)</f>
        <v>133000</v>
      </c>
      <c r="E386" s="20">
        <f>350*380</f>
        <v>133000</v>
      </c>
      <c r="F386" s="20">
        <v>0</v>
      </c>
      <c r="G386" s="20">
        <v>0</v>
      </c>
      <c r="H386" s="20">
        <f>500*0</f>
        <v>0</v>
      </c>
      <c r="I386" s="20">
        <v>0</v>
      </c>
      <c r="J386" s="20">
        <f>350*0</f>
        <v>0</v>
      </c>
      <c r="K386" s="21">
        <v>0</v>
      </c>
      <c r="L386" s="20">
        <v>0</v>
      </c>
      <c r="M386" s="8">
        <v>300</v>
      </c>
      <c r="N386" s="20">
        <f t="shared" ref="N386" si="150">M386*5500</f>
        <v>1650000</v>
      </c>
      <c r="O386" s="20">
        <v>0</v>
      </c>
      <c r="P386" s="20">
        <v>0</v>
      </c>
      <c r="Q386" s="20">
        <v>0</v>
      </c>
      <c r="R386" s="20">
        <v>0</v>
      </c>
      <c r="S386" s="20">
        <v>0</v>
      </c>
      <c r="T386" s="20">
        <v>0</v>
      </c>
      <c r="U386" s="20">
        <v>200000</v>
      </c>
      <c r="V386" s="1">
        <f>N386/M386</f>
        <v>5500</v>
      </c>
    </row>
    <row r="387" spans="1:22" ht="45" customHeight="1" x14ac:dyDescent="0.25">
      <c r="A387" s="63" t="s">
        <v>94</v>
      </c>
      <c r="B387" s="63"/>
      <c r="C387" s="12">
        <f t="shared" si="117"/>
        <v>14382371.199999999</v>
      </c>
      <c r="D387" s="12">
        <f t="shared" ref="D387:U387" si="151">SUM(D388:D390)</f>
        <v>0</v>
      </c>
      <c r="E387" s="12">
        <f t="shared" si="151"/>
        <v>0</v>
      </c>
      <c r="F387" s="12">
        <f t="shared" si="151"/>
        <v>0</v>
      </c>
      <c r="G387" s="12">
        <f t="shared" si="151"/>
        <v>0</v>
      </c>
      <c r="H387" s="12">
        <f t="shared" si="151"/>
        <v>0</v>
      </c>
      <c r="I387" s="12">
        <f t="shared" si="151"/>
        <v>0</v>
      </c>
      <c r="J387" s="12">
        <f t="shared" si="151"/>
        <v>0</v>
      </c>
      <c r="K387" s="13">
        <f t="shared" si="151"/>
        <v>5</v>
      </c>
      <c r="L387" s="12">
        <f t="shared" si="151"/>
        <v>11500000</v>
      </c>
      <c r="M387" s="12">
        <f t="shared" si="151"/>
        <v>619.20000000000005</v>
      </c>
      <c r="N387" s="12">
        <f t="shared" si="151"/>
        <v>2282371.2000000002</v>
      </c>
      <c r="O387" s="12">
        <f t="shared" si="151"/>
        <v>0</v>
      </c>
      <c r="P387" s="12">
        <f t="shared" si="151"/>
        <v>0</v>
      </c>
      <c r="Q387" s="12">
        <f t="shared" si="151"/>
        <v>0</v>
      </c>
      <c r="R387" s="12">
        <f t="shared" si="151"/>
        <v>0</v>
      </c>
      <c r="S387" s="12">
        <f t="shared" si="151"/>
        <v>0</v>
      </c>
      <c r="T387" s="12">
        <f t="shared" si="151"/>
        <v>0</v>
      </c>
      <c r="U387" s="12">
        <f t="shared" si="151"/>
        <v>600000</v>
      </c>
    </row>
    <row r="388" spans="1:22" s="38" customFormat="1" ht="21.95" customHeight="1" x14ac:dyDescent="0.25">
      <c r="A388" s="18" t="s">
        <v>865</v>
      </c>
      <c r="B388" s="25" t="s">
        <v>95</v>
      </c>
      <c r="C388" s="12">
        <f t="shared" si="117"/>
        <v>2482371.2000000002</v>
      </c>
      <c r="D388" s="20">
        <f t="shared" ref="D388:D390" si="152">SUM(E388:J388)</f>
        <v>0</v>
      </c>
      <c r="E388" s="20">
        <v>0</v>
      </c>
      <c r="F388" s="20">
        <v>0</v>
      </c>
      <c r="G388" s="20">
        <v>0</v>
      </c>
      <c r="H388" s="20">
        <v>0</v>
      </c>
      <c r="I388" s="20">
        <v>0</v>
      </c>
      <c r="J388" s="20">
        <v>0</v>
      </c>
      <c r="K388" s="21">
        <v>0</v>
      </c>
      <c r="L388" s="20">
        <v>0</v>
      </c>
      <c r="M388" s="8">
        <v>619.20000000000005</v>
      </c>
      <c r="N388" s="20">
        <f>M388*3686</f>
        <v>2282371.2000000002</v>
      </c>
      <c r="O388" s="20">
        <v>0</v>
      </c>
      <c r="P388" s="20">
        <v>0</v>
      </c>
      <c r="Q388" s="20">
        <v>0</v>
      </c>
      <c r="R388" s="20">
        <v>0</v>
      </c>
      <c r="S388" s="20">
        <v>0</v>
      </c>
      <c r="T388" s="20">
        <v>0</v>
      </c>
      <c r="U388" s="20">
        <v>200000</v>
      </c>
      <c r="V388" s="1">
        <f t="shared" ref="V388:V390" si="153">N388/M388</f>
        <v>3686</v>
      </c>
    </row>
    <row r="389" spans="1:22" s="1" customFormat="1" ht="21.95" customHeight="1" x14ac:dyDescent="0.25">
      <c r="A389" s="18" t="s">
        <v>866</v>
      </c>
      <c r="B389" s="25" t="s">
        <v>99</v>
      </c>
      <c r="C389" s="12">
        <f t="shared" si="117"/>
        <v>4800000</v>
      </c>
      <c r="D389" s="20">
        <f t="shared" si="152"/>
        <v>0</v>
      </c>
      <c r="E389" s="20">
        <v>0</v>
      </c>
      <c r="F389" s="20">
        <v>0</v>
      </c>
      <c r="G389" s="20">
        <v>0</v>
      </c>
      <c r="H389" s="20">
        <v>0</v>
      </c>
      <c r="I389" s="20">
        <v>0</v>
      </c>
      <c r="J389" s="20">
        <v>0</v>
      </c>
      <c r="K389" s="9">
        <v>2</v>
      </c>
      <c r="L389" s="8">
        <v>4600000</v>
      </c>
      <c r="M389" s="8">
        <v>0</v>
      </c>
      <c r="N389" s="8">
        <v>0</v>
      </c>
      <c r="O389" s="8">
        <v>0</v>
      </c>
      <c r="P389" s="8">
        <v>0</v>
      </c>
      <c r="Q389" s="8">
        <v>0</v>
      </c>
      <c r="R389" s="8">
        <v>0</v>
      </c>
      <c r="S389" s="8">
        <v>0</v>
      </c>
      <c r="T389" s="8">
        <v>0</v>
      </c>
      <c r="U389" s="8">
        <v>200000</v>
      </c>
      <c r="V389" s="1" t="e">
        <f t="shared" si="153"/>
        <v>#DIV/0!</v>
      </c>
    </row>
    <row r="390" spans="1:22" ht="21.95" customHeight="1" x14ac:dyDescent="0.25">
      <c r="A390" s="18" t="s">
        <v>867</v>
      </c>
      <c r="B390" s="25" t="s">
        <v>101</v>
      </c>
      <c r="C390" s="12">
        <f t="shared" si="117"/>
        <v>7100000</v>
      </c>
      <c r="D390" s="20">
        <f t="shared" si="152"/>
        <v>0</v>
      </c>
      <c r="E390" s="20">
        <v>0</v>
      </c>
      <c r="F390" s="20">
        <v>0</v>
      </c>
      <c r="G390" s="20">
        <v>0</v>
      </c>
      <c r="H390" s="20">
        <v>0</v>
      </c>
      <c r="I390" s="20">
        <v>0</v>
      </c>
      <c r="J390" s="20">
        <v>0</v>
      </c>
      <c r="K390" s="21">
        <v>3</v>
      </c>
      <c r="L390" s="20">
        <v>6900000</v>
      </c>
      <c r="M390" s="8">
        <v>0</v>
      </c>
      <c r="N390" s="8">
        <v>0</v>
      </c>
      <c r="O390" s="20">
        <v>0</v>
      </c>
      <c r="P390" s="20">
        <v>0</v>
      </c>
      <c r="Q390" s="20">
        <v>0</v>
      </c>
      <c r="R390" s="20">
        <v>0</v>
      </c>
      <c r="S390" s="20">
        <v>0</v>
      </c>
      <c r="T390" s="20">
        <v>0</v>
      </c>
      <c r="U390" s="20">
        <v>200000</v>
      </c>
      <c r="V390" s="1" t="e">
        <f t="shared" si="153"/>
        <v>#DIV/0!</v>
      </c>
    </row>
    <row r="391" spans="1:22" ht="50.25" customHeight="1" x14ac:dyDescent="0.25">
      <c r="A391" s="63" t="s">
        <v>103</v>
      </c>
      <c r="B391" s="63"/>
      <c r="C391" s="12">
        <f t="shared" si="117"/>
        <v>22847884.600000001</v>
      </c>
      <c r="D391" s="12">
        <f t="shared" ref="D391:U391" si="154">SUM(D392:D398)</f>
        <v>2197440</v>
      </c>
      <c r="E391" s="12">
        <f t="shared" si="154"/>
        <v>320460</v>
      </c>
      <c r="F391" s="12">
        <f t="shared" si="154"/>
        <v>732480</v>
      </c>
      <c r="G391" s="12">
        <f t="shared" si="154"/>
        <v>320460</v>
      </c>
      <c r="H391" s="12">
        <f t="shared" si="154"/>
        <v>457800</v>
      </c>
      <c r="I391" s="12">
        <f t="shared" si="154"/>
        <v>366240</v>
      </c>
      <c r="J391" s="12">
        <f t="shared" si="154"/>
        <v>0</v>
      </c>
      <c r="K391" s="13">
        <f t="shared" si="154"/>
        <v>0</v>
      </c>
      <c r="L391" s="12">
        <f t="shared" si="154"/>
        <v>0</v>
      </c>
      <c r="M391" s="12">
        <f t="shared" si="154"/>
        <v>3290.1</v>
      </c>
      <c r="N391" s="12">
        <f t="shared" si="154"/>
        <v>16524444.6</v>
      </c>
      <c r="O391" s="12">
        <f t="shared" si="154"/>
        <v>0</v>
      </c>
      <c r="P391" s="12">
        <f t="shared" si="154"/>
        <v>0</v>
      </c>
      <c r="Q391" s="12">
        <f t="shared" si="154"/>
        <v>942</v>
      </c>
      <c r="R391" s="12">
        <f t="shared" si="154"/>
        <v>2826000</v>
      </c>
      <c r="S391" s="12">
        <f t="shared" si="154"/>
        <v>0</v>
      </c>
      <c r="T391" s="12">
        <f t="shared" si="154"/>
        <v>0</v>
      </c>
      <c r="U391" s="12">
        <f t="shared" si="154"/>
        <v>1300000</v>
      </c>
    </row>
    <row r="392" spans="1:22" s="17" customFormat="1" ht="21.95" customHeight="1" x14ac:dyDescent="0.25">
      <c r="A392" s="18" t="s">
        <v>868</v>
      </c>
      <c r="B392" s="25" t="s">
        <v>104</v>
      </c>
      <c r="C392" s="12">
        <f t="shared" si="117"/>
        <v>2752000</v>
      </c>
      <c r="D392" s="20">
        <f t="shared" ref="D392:D398" si="155">SUM(E392:J392)</f>
        <v>0</v>
      </c>
      <c r="E392" s="20">
        <v>0</v>
      </c>
      <c r="F392" s="20">
        <v>0</v>
      </c>
      <c r="G392" s="20">
        <v>0</v>
      </c>
      <c r="H392" s="20">
        <v>0</v>
      </c>
      <c r="I392" s="20">
        <v>0</v>
      </c>
      <c r="J392" s="20">
        <v>0</v>
      </c>
      <c r="K392" s="21">
        <v>0</v>
      </c>
      <c r="L392" s="20">
        <v>0</v>
      </c>
      <c r="M392" s="8">
        <v>464</v>
      </c>
      <c r="N392" s="20">
        <f t="shared" ref="N392:N393" si="156">M392*5500</f>
        <v>2552000</v>
      </c>
      <c r="O392" s="20">
        <v>0</v>
      </c>
      <c r="P392" s="20">
        <v>0</v>
      </c>
      <c r="Q392" s="20">
        <v>0</v>
      </c>
      <c r="R392" s="20">
        <v>0</v>
      </c>
      <c r="S392" s="20">
        <v>0</v>
      </c>
      <c r="T392" s="20">
        <v>0</v>
      </c>
      <c r="U392" s="20">
        <v>200000</v>
      </c>
      <c r="V392" s="1">
        <f t="shared" ref="V392:V398" si="157">N392/M392</f>
        <v>5500</v>
      </c>
    </row>
    <row r="393" spans="1:22" ht="21.95" customHeight="1" x14ac:dyDescent="0.25">
      <c r="A393" s="18" t="s">
        <v>869</v>
      </c>
      <c r="B393" s="25" t="s">
        <v>106</v>
      </c>
      <c r="C393" s="12">
        <f t="shared" si="117"/>
        <v>2664000</v>
      </c>
      <c r="D393" s="20">
        <f t="shared" si="155"/>
        <v>0</v>
      </c>
      <c r="E393" s="20">
        <v>0</v>
      </c>
      <c r="F393" s="20">
        <v>0</v>
      </c>
      <c r="G393" s="20">
        <v>0</v>
      </c>
      <c r="H393" s="20">
        <v>0</v>
      </c>
      <c r="I393" s="20">
        <v>0</v>
      </c>
      <c r="J393" s="20">
        <v>0</v>
      </c>
      <c r="K393" s="21">
        <v>0</v>
      </c>
      <c r="L393" s="20">
        <v>0</v>
      </c>
      <c r="M393" s="8">
        <v>448</v>
      </c>
      <c r="N393" s="20">
        <f t="shared" si="156"/>
        <v>2464000</v>
      </c>
      <c r="O393" s="20">
        <v>0</v>
      </c>
      <c r="P393" s="20">
        <v>0</v>
      </c>
      <c r="Q393" s="20">
        <v>0</v>
      </c>
      <c r="R393" s="20">
        <v>0</v>
      </c>
      <c r="S393" s="20">
        <v>0</v>
      </c>
      <c r="T393" s="20">
        <v>0</v>
      </c>
      <c r="U393" s="20">
        <v>200000</v>
      </c>
      <c r="V393" s="1">
        <f t="shared" si="157"/>
        <v>5500</v>
      </c>
    </row>
    <row r="394" spans="1:22" ht="21.95" customHeight="1" x14ac:dyDescent="0.25">
      <c r="A394" s="18" t="s">
        <v>870</v>
      </c>
      <c r="B394" s="25" t="s">
        <v>1603</v>
      </c>
      <c r="C394" s="12">
        <f t="shared" si="117"/>
        <v>3292444.6</v>
      </c>
      <c r="D394" s="20">
        <f t="shared" si="155"/>
        <v>0</v>
      </c>
      <c r="E394" s="20">
        <f>350*0</f>
        <v>0</v>
      </c>
      <c r="F394" s="20">
        <f>800*0</f>
        <v>0</v>
      </c>
      <c r="G394" s="20">
        <f>350*0</f>
        <v>0</v>
      </c>
      <c r="H394" s="20">
        <f>500*0</f>
        <v>0</v>
      </c>
      <c r="I394" s="20">
        <f>400*0</f>
        <v>0</v>
      </c>
      <c r="J394" s="20">
        <v>0</v>
      </c>
      <c r="K394" s="9">
        <v>0</v>
      </c>
      <c r="L394" s="8">
        <v>0</v>
      </c>
      <c r="M394" s="8">
        <v>866.1</v>
      </c>
      <c r="N394" s="8">
        <f>M394*3686</f>
        <v>3192444.6</v>
      </c>
      <c r="O394" s="8">
        <v>0</v>
      </c>
      <c r="P394" s="8">
        <v>0</v>
      </c>
      <c r="Q394" s="8">
        <v>0</v>
      </c>
      <c r="R394" s="8">
        <f>Q394*3000</f>
        <v>0</v>
      </c>
      <c r="S394" s="8">
        <v>0</v>
      </c>
      <c r="T394" s="8">
        <v>0</v>
      </c>
      <c r="U394" s="8">
        <v>100000</v>
      </c>
      <c r="V394" s="1">
        <f t="shared" si="157"/>
        <v>3686</v>
      </c>
    </row>
    <row r="395" spans="1:22" ht="21" customHeight="1" x14ac:dyDescent="0.25">
      <c r="A395" s="18" t="s">
        <v>871</v>
      </c>
      <c r="B395" s="25" t="s">
        <v>109</v>
      </c>
      <c r="C395" s="12">
        <f t="shared" si="117"/>
        <v>5223440</v>
      </c>
      <c r="D395" s="20">
        <f t="shared" si="155"/>
        <v>2197440</v>
      </c>
      <c r="E395" s="20">
        <f>350*915.6</f>
        <v>320460</v>
      </c>
      <c r="F395" s="20">
        <f>800*915.6</f>
        <v>732480</v>
      </c>
      <c r="G395" s="20">
        <f>350*915.6</f>
        <v>320460</v>
      </c>
      <c r="H395" s="20">
        <f>500*915.6</f>
        <v>457800</v>
      </c>
      <c r="I395" s="20">
        <f>400*915.6</f>
        <v>366240</v>
      </c>
      <c r="J395" s="20">
        <v>0</v>
      </c>
      <c r="K395" s="21">
        <v>0</v>
      </c>
      <c r="L395" s="20">
        <v>0</v>
      </c>
      <c r="M395" s="8">
        <v>0</v>
      </c>
      <c r="N395" s="8">
        <v>0</v>
      </c>
      <c r="O395" s="20">
        <v>0</v>
      </c>
      <c r="P395" s="20">
        <v>0</v>
      </c>
      <c r="Q395" s="20">
        <v>942</v>
      </c>
      <c r="R395" s="20">
        <f>Q395*3000</f>
        <v>2826000</v>
      </c>
      <c r="S395" s="20">
        <v>0</v>
      </c>
      <c r="T395" s="20">
        <v>0</v>
      </c>
      <c r="U395" s="20">
        <v>200000</v>
      </c>
      <c r="V395" s="1" t="e">
        <f t="shared" si="157"/>
        <v>#DIV/0!</v>
      </c>
    </row>
    <row r="396" spans="1:22" ht="21.95" customHeight="1" x14ac:dyDescent="0.25">
      <c r="A396" s="18" t="s">
        <v>872</v>
      </c>
      <c r="B396" s="25" t="s">
        <v>114</v>
      </c>
      <c r="C396" s="12">
        <f t="shared" si="117"/>
        <v>2664000</v>
      </c>
      <c r="D396" s="20">
        <f t="shared" si="155"/>
        <v>0</v>
      </c>
      <c r="E396" s="20">
        <v>0</v>
      </c>
      <c r="F396" s="20">
        <v>0</v>
      </c>
      <c r="G396" s="20">
        <v>0</v>
      </c>
      <c r="H396" s="20">
        <v>0</v>
      </c>
      <c r="I396" s="20">
        <v>0</v>
      </c>
      <c r="J396" s="20">
        <v>0</v>
      </c>
      <c r="K396" s="21">
        <v>0</v>
      </c>
      <c r="L396" s="20">
        <v>0</v>
      </c>
      <c r="M396" s="8">
        <v>448</v>
      </c>
      <c r="N396" s="20">
        <f t="shared" ref="N396:N398" si="158">M396*5500</f>
        <v>2464000</v>
      </c>
      <c r="O396" s="20">
        <v>0</v>
      </c>
      <c r="P396" s="20">
        <v>0</v>
      </c>
      <c r="Q396" s="20">
        <v>0</v>
      </c>
      <c r="R396" s="20">
        <v>0</v>
      </c>
      <c r="S396" s="20">
        <v>0</v>
      </c>
      <c r="T396" s="20">
        <v>0</v>
      </c>
      <c r="U396" s="20">
        <v>200000</v>
      </c>
      <c r="V396" s="1">
        <f t="shared" si="157"/>
        <v>5500</v>
      </c>
    </row>
    <row r="397" spans="1:22" ht="21.95" customHeight="1" x14ac:dyDescent="0.25">
      <c r="A397" s="18" t="s">
        <v>1610</v>
      </c>
      <c r="B397" s="25" t="s">
        <v>115</v>
      </c>
      <c r="C397" s="12">
        <f t="shared" si="117"/>
        <v>3395500</v>
      </c>
      <c r="D397" s="20">
        <f t="shared" si="155"/>
        <v>0</v>
      </c>
      <c r="E397" s="20">
        <v>0</v>
      </c>
      <c r="F397" s="20">
        <v>0</v>
      </c>
      <c r="G397" s="20">
        <v>0</v>
      </c>
      <c r="H397" s="20">
        <v>0</v>
      </c>
      <c r="I397" s="20">
        <v>0</v>
      </c>
      <c r="J397" s="20">
        <v>0</v>
      </c>
      <c r="K397" s="21">
        <v>0</v>
      </c>
      <c r="L397" s="20">
        <v>0</v>
      </c>
      <c r="M397" s="8">
        <v>581</v>
      </c>
      <c r="N397" s="20">
        <f t="shared" si="158"/>
        <v>3195500</v>
      </c>
      <c r="O397" s="20">
        <v>0</v>
      </c>
      <c r="P397" s="20">
        <v>0</v>
      </c>
      <c r="Q397" s="20">
        <v>0</v>
      </c>
      <c r="R397" s="20">
        <v>0</v>
      </c>
      <c r="S397" s="20">
        <v>0</v>
      </c>
      <c r="T397" s="20">
        <v>0</v>
      </c>
      <c r="U397" s="20">
        <v>200000</v>
      </c>
      <c r="V397" s="1">
        <f t="shared" si="157"/>
        <v>5500</v>
      </c>
    </row>
    <row r="398" spans="1:22" ht="21.95" customHeight="1" x14ac:dyDescent="0.25">
      <c r="A398" s="18" t="s">
        <v>873</v>
      </c>
      <c r="B398" s="25" t="s">
        <v>116</v>
      </c>
      <c r="C398" s="12">
        <f t="shared" si="117"/>
        <v>2856500</v>
      </c>
      <c r="D398" s="20">
        <f t="shared" si="155"/>
        <v>0</v>
      </c>
      <c r="E398" s="20">
        <v>0</v>
      </c>
      <c r="F398" s="20">
        <v>0</v>
      </c>
      <c r="G398" s="20">
        <v>0</v>
      </c>
      <c r="H398" s="20">
        <v>0</v>
      </c>
      <c r="I398" s="20">
        <v>0</v>
      </c>
      <c r="J398" s="20">
        <v>0</v>
      </c>
      <c r="K398" s="21">
        <v>0</v>
      </c>
      <c r="L398" s="20">
        <v>0</v>
      </c>
      <c r="M398" s="8">
        <v>483</v>
      </c>
      <c r="N398" s="20">
        <f t="shared" si="158"/>
        <v>2656500</v>
      </c>
      <c r="O398" s="20">
        <v>0</v>
      </c>
      <c r="P398" s="20">
        <v>0</v>
      </c>
      <c r="Q398" s="20">
        <v>0</v>
      </c>
      <c r="R398" s="20">
        <v>0</v>
      </c>
      <c r="S398" s="20">
        <v>0</v>
      </c>
      <c r="T398" s="20">
        <v>0</v>
      </c>
      <c r="U398" s="20">
        <v>200000</v>
      </c>
      <c r="V398" s="1">
        <f t="shared" si="157"/>
        <v>5500</v>
      </c>
    </row>
    <row r="399" spans="1:22" ht="45" customHeight="1" x14ac:dyDescent="0.25">
      <c r="A399" s="63" t="s">
        <v>117</v>
      </c>
      <c r="B399" s="63"/>
      <c r="C399" s="12">
        <f t="shared" si="117"/>
        <v>1575000</v>
      </c>
      <c r="D399" s="12">
        <f t="shared" ref="D399:U399" si="159">SUM(D400)</f>
        <v>0</v>
      </c>
      <c r="E399" s="12">
        <f t="shared" si="159"/>
        <v>0</v>
      </c>
      <c r="F399" s="12">
        <f t="shared" si="159"/>
        <v>0</v>
      </c>
      <c r="G399" s="12">
        <f t="shared" si="159"/>
        <v>0</v>
      </c>
      <c r="H399" s="12">
        <f t="shared" si="159"/>
        <v>0</v>
      </c>
      <c r="I399" s="12">
        <f t="shared" si="159"/>
        <v>0</v>
      </c>
      <c r="J399" s="12">
        <f t="shared" si="159"/>
        <v>0</v>
      </c>
      <c r="K399" s="13">
        <f t="shared" si="159"/>
        <v>0</v>
      </c>
      <c r="L399" s="12">
        <f t="shared" si="159"/>
        <v>0</v>
      </c>
      <c r="M399" s="12">
        <f t="shared" si="159"/>
        <v>250</v>
      </c>
      <c r="N399" s="12">
        <f t="shared" si="159"/>
        <v>1375000</v>
      </c>
      <c r="O399" s="12">
        <f t="shared" si="159"/>
        <v>0</v>
      </c>
      <c r="P399" s="12">
        <f t="shared" si="159"/>
        <v>0</v>
      </c>
      <c r="Q399" s="12">
        <f t="shared" si="159"/>
        <v>0</v>
      </c>
      <c r="R399" s="12">
        <f t="shared" si="159"/>
        <v>0</v>
      </c>
      <c r="S399" s="12">
        <f t="shared" si="159"/>
        <v>0</v>
      </c>
      <c r="T399" s="12">
        <f t="shared" si="159"/>
        <v>0</v>
      </c>
      <c r="U399" s="12">
        <f t="shared" si="159"/>
        <v>200000</v>
      </c>
      <c r="V399" s="22"/>
    </row>
    <row r="400" spans="1:22" ht="21.95" customHeight="1" x14ac:dyDescent="0.25">
      <c r="A400" s="18" t="s">
        <v>874</v>
      </c>
      <c r="B400" s="25" t="s">
        <v>119</v>
      </c>
      <c r="C400" s="12">
        <f t="shared" si="117"/>
        <v>1575000</v>
      </c>
      <c r="D400" s="20">
        <f t="shared" ref="D400" si="160">SUM(E400:J400)</f>
        <v>0</v>
      </c>
      <c r="E400" s="20">
        <v>0</v>
      </c>
      <c r="F400" s="20">
        <v>0</v>
      </c>
      <c r="G400" s="20">
        <v>0</v>
      </c>
      <c r="H400" s="20">
        <v>0</v>
      </c>
      <c r="I400" s="20">
        <v>0</v>
      </c>
      <c r="J400" s="20">
        <v>0</v>
      </c>
      <c r="K400" s="21">
        <v>0</v>
      </c>
      <c r="L400" s="20">
        <v>0</v>
      </c>
      <c r="M400" s="8">
        <v>250</v>
      </c>
      <c r="N400" s="20">
        <f t="shared" ref="N400" si="161">M400*5500</f>
        <v>1375000</v>
      </c>
      <c r="O400" s="8">
        <v>0</v>
      </c>
      <c r="P400" s="8">
        <v>0</v>
      </c>
      <c r="Q400" s="8">
        <v>0</v>
      </c>
      <c r="R400" s="8">
        <v>0</v>
      </c>
      <c r="S400" s="8">
        <v>0</v>
      </c>
      <c r="T400" s="8">
        <v>0</v>
      </c>
      <c r="U400" s="8">
        <v>200000</v>
      </c>
      <c r="V400" s="1">
        <f>N400/M400</f>
        <v>5500</v>
      </c>
    </row>
    <row r="401" spans="1:22" ht="45" customHeight="1" x14ac:dyDescent="0.25">
      <c r="A401" s="63" t="s">
        <v>1589</v>
      </c>
      <c r="B401" s="63"/>
      <c r="C401" s="12">
        <f>SUM(C402)</f>
        <v>200000</v>
      </c>
      <c r="D401" s="12">
        <f t="shared" ref="D401:U401" si="162">SUM(D402)</f>
        <v>0</v>
      </c>
      <c r="E401" s="12">
        <f t="shared" si="162"/>
        <v>0</v>
      </c>
      <c r="F401" s="12">
        <f t="shared" si="162"/>
        <v>0</v>
      </c>
      <c r="G401" s="12">
        <f t="shared" si="162"/>
        <v>0</v>
      </c>
      <c r="H401" s="12">
        <f t="shared" si="162"/>
        <v>0</v>
      </c>
      <c r="I401" s="12">
        <f t="shared" si="162"/>
        <v>0</v>
      </c>
      <c r="J401" s="12">
        <f t="shared" si="162"/>
        <v>0</v>
      </c>
      <c r="K401" s="12">
        <f t="shared" si="162"/>
        <v>0</v>
      </c>
      <c r="L401" s="12">
        <f t="shared" si="162"/>
        <v>0</v>
      </c>
      <c r="M401" s="12">
        <f t="shared" si="162"/>
        <v>0</v>
      </c>
      <c r="N401" s="12">
        <f t="shared" si="162"/>
        <v>0</v>
      </c>
      <c r="O401" s="12">
        <f t="shared" si="162"/>
        <v>0</v>
      </c>
      <c r="P401" s="12">
        <f t="shared" si="162"/>
        <v>0</v>
      </c>
      <c r="Q401" s="12">
        <f t="shared" si="162"/>
        <v>0</v>
      </c>
      <c r="R401" s="12">
        <f t="shared" si="162"/>
        <v>0</v>
      </c>
      <c r="S401" s="12">
        <f t="shared" si="162"/>
        <v>0</v>
      </c>
      <c r="T401" s="12">
        <f t="shared" si="162"/>
        <v>0</v>
      </c>
      <c r="U401" s="12">
        <f t="shared" si="162"/>
        <v>200000</v>
      </c>
      <c r="V401" s="22"/>
    </row>
    <row r="402" spans="1:22" ht="21.95" customHeight="1" x14ac:dyDescent="0.25">
      <c r="A402" s="18" t="s">
        <v>875</v>
      </c>
      <c r="B402" s="25" t="s">
        <v>1590</v>
      </c>
      <c r="C402" s="12">
        <f>D402+L402+N402+P402+R402+S402+T402+U402</f>
        <v>200000</v>
      </c>
      <c r="D402" s="20">
        <f t="shared" ref="D402" si="163">SUM(E402:J402)</f>
        <v>0</v>
      </c>
      <c r="E402" s="20">
        <v>0</v>
      </c>
      <c r="F402" s="20">
        <v>0</v>
      </c>
      <c r="G402" s="20">
        <v>0</v>
      </c>
      <c r="H402" s="20">
        <v>0</v>
      </c>
      <c r="I402" s="20">
        <v>0</v>
      </c>
      <c r="J402" s="20">
        <v>0</v>
      </c>
      <c r="K402" s="21">
        <v>0</v>
      </c>
      <c r="L402" s="20">
        <v>0</v>
      </c>
      <c r="M402" s="8">
        <v>0</v>
      </c>
      <c r="N402" s="8">
        <v>0</v>
      </c>
      <c r="O402" s="8">
        <v>0</v>
      </c>
      <c r="P402" s="8">
        <v>0</v>
      </c>
      <c r="Q402" s="8">
        <v>0</v>
      </c>
      <c r="R402" s="8">
        <v>0</v>
      </c>
      <c r="S402" s="8">
        <v>0</v>
      </c>
      <c r="T402" s="8">
        <v>0</v>
      </c>
      <c r="U402" s="8">
        <v>200000</v>
      </c>
      <c r="V402" s="1" t="e">
        <f t="shared" ref="V402" si="164">N402/M402</f>
        <v>#DIV/0!</v>
      </c>
    </row>
    <row r="403" spans="1:22" ht="45" customHeight="1" x14ac:dyDescent="0.25">
      <c r="A403" s="63" t="s">
        <v>125</v>
      </c>
      <c r="B403" s="63"/>
      <c r="C403" s="12">
        <f t="shared" si="117"/>
        <v>3021300</v>
      </c>
      <c r="D403" s="12">
        <f t="shared" ref="D403:U403" si="165">SUM(D404:D405)</f>
        <v>0</v>
      </c>
      <c r="E403" s="12">
        <f t="shared" si="165"/>
        <v>0</v>
      </c>
      <c r="F403" s="12">
        <f t="shared" si="165"/>
        <v>0</v>
      </c>
      <c r="G403" s="12">
        <f t="shared" si="165"/>
        <v>0</v>
      </c>
      <c r="H403" s="12">
        <f t="shared" si="165"/>
        <v>0</v>
      </c>
      <c r="I403" s="12">
        <f t="shared" si="165"/>
        <v>0</v>
      </c>
      <c r="J403" s="12">
        <f t="shared" si="165"/>
        <v>0</v>
      </c>
      <c r="K403" s="13">
        <f t="shared" si="165"/>
        <v>0</v>
      </c>
      <c r="L403" s="12">
        <f t="shared" si="165"/>
        <v>0</v>
      </c>
      <c r="M403" s="12">
        <f t="shared" si="165"/>
        <v>476.6</v>
      </c>
      <c r="N403" s="12">
        <f t="shared" si="165"/>
        <v>2621300</v>
      </c>
      <c r="O403" s="12">
        <f t="shared" si="165"/>
        <v>0</v>
      </c>
      <c r="P403" s="12">
        <f t="shared" si="165"/>
        <v>0</v>
      </c>
      <c r="Q403" s="12">
        <f t="shared" si="165"/>
        <v>0</v>
      </c>
      <c r="R403" s="12">
        <f t="shared" si="165"/>
        <v>0</v>
      </c>
      <c r="S403" s="12">
        <f t="shared" si="165"/>
        <v>0</v>
      </c>
      <c r="T403" s="12">
        <f t="shared" si="165"/>
        <v>0</v>
      </c>
      <c r="U403" s="12">
        <f t="shared" si="165"/>
        <v>400000</v>
      </c>
    </row>
    <row r="404" spans="1:22" ht="21.95" customHeight="1" x14ac:dyDescent="0.25">
      <c r="A404" s="18" t="s">
        <v>876</v>
      </c>
      <c r="B404" s="27" t="s">
        <v>122</v>
      </c>
      <c r="C404" s="12">
        <f t="shared" si="117"/>
        <v>902900</v>
      </c>
      <c r="D404" s="20">
        <f t="shared" ref="D404:D405" si="166">SUM(E404:J404)</f>
        <v>0</v>
      </c>
      <c r="E404" s="20">
        <v>0</v>
      </c>
      <c r="F404" s="20">
        <v>0</v>
      </c>
      <c r="G404" s="20">
        <v>0</v>
      </c>
      <c r="H404" s="20">
        <v>0</v>
      </c>
      <c r="I404" s="20">
        <v>0</v>
      </c>
      <c r="J404" s="20">
        <v>0</v>
      </c>
      <c r="K404" s="21">
        <v>0</v>
      </c>
      <c r="L404" s="20">
        <v>0</v>
      </c>
      <c r="M404" s="20">
        <v>127.8</v>
      </c>
      <c r="N404" s="20">
        <f t="shared" ref="N404:N405" si="167">M404*5500</f>
        <v>702900</v>
      </c>
      <c r="O404" s="20">
        <v>0</v>
      </c>
      <c r="P404" s="20">
        <v>0</v>
      </c>
      <c r="Q404" s="20">
        <v>0</v>
      </c>
      <c r="R404" s="20">
        <v>0</v>
      </c>
      <c r="S404" s="20">
        <v>0</v>
      </c>
      <c r="T404" s="20">
        <v>0</v>
      </c>
      <c r="U404" s="20">
        <v>200000</v>
      </c>
      <c r="V404" s="1">
        <f t="shared" ref="V404:V405" si="168">N404/M404</f>
        <v>5500</v>
      </c>
    </row>
    <row r="405" spans="1:22" ht="21.95" customHeight="1" x14ac:dyDescent="0.25">
      <c r="A405" s="26" t="s">
        <v>1461</v>
      </c>
      <c r="B405" s="27" t="s">
        <v>124</v>
      </c>
      <c r="C405" s="12">
        <f t="shared" si="117"/>
        <v>2118400</v>
      </c>
      <c r="D405" s="20">
        <f t="shared" si="166"/>
        <v>0</v>
      </c>
      <c r="E405" s="20">
        <v>0</v>
      </c>
      <c r="F405" s="20">
        <v>0</v>
      </c>
      <c r="G405" s="20">
        <v>0</v>
      </c>
      <c r="H405" s="20">
        <v>0</v>
      </c>
      <c r="I405" s="20">
        <v>0</v>
      </c>
      <c r="J405" s="20">
        <v>0</v>
      </c>
      <c r="K405" s="9">
        <v>0</v>
      </c>
      <c r="L405" s="8">
        <v>0</v>
      </c>
      <c r="M405" s="8">
        <v>348.8</v>
      </c>
      <c r="N405" s="20">
        <f t="shared" si="167"/>
        <v>1918400</v>
      </c>
      <c r="O405" s="8">
        <v>0</v>
      </c>
      <c r="P405" s="8">
        <v>0</v>
      </c>
      <c r="Q405" s="8">
        <v>0</v>
      </c>
      <c r="R405" s="8">
        <v>0</v>
      </c>
      <c r="S405" s="8">
        <v>0</v>
      </c>
      <c r="T405" s="8">
        <v>0</v>
      </c>
      <c r="U405" s="8">
        <v>200000</v>
      </c>
      <c r="V405" s="1">
        <f t="shared" si="168"/>
        <v>5500</v>
      </c>
    </row>
    <row r="406" spans="1:22" ht="45" customHeight="1" x14ac:dyDescent="0.25">
      <c r="A406" s="63" t="s">
        <v>128</v>
      </c>
      <c r="B406" s="63"/>
      <c r="C406" s="12">
        <f t="shared" si="117"/>
        <v>2474300</v>
      </c>
      <c r="D406" s="12">
        <f t="shared" ref="D406:U406" si="169">SUM(D407)</f>
        <v>109200</v>
      </c>
      <c r="E406" s="12">
        <f t="shared" si="169"/>
        <v>109200</v>
      </c>
      <c r="F406" s="12">
        <f t="shared" si="169"/>
        <v>0</v>
      </c>
      <c r="G406" s="12">
        <f t="shared" si="169"/>
        <v>0</v>
      </c>
      <c r="H406" s="12">
        <f t="shared" si="169"/>
        <v>0</v>
      </c>
      <c r="I406" s="12">
        <f t="shared" si="169"/>
        <v>0</v>
      </c>
      <c r="J406" s="12">
        <f t="shared" si="169"/>
        <v>0</v>
      </c>
      <c r="K406" s="13">
        <f t="shared" si="169"/>
        <v>0</v>
      </c>
      <c r="L406" s="12">
        <f t="shared" si="169"/>
        <v>0</v>
      </c>
      <c r="M406" s="12">
        <f t="shared" si="169"/>
        <v>282</v>
      </c>
      <c r="N406" s="12">
        <f t="shared" si="169"/>
        <v>1551000</v>
      </c>
      <c r="O406" s="12">
        <f t="shared" si="169"/>
        <v>0</v>
      </c>
      <c r="P406" s="12">
        <f t="shared" si="169"/>
        <v>0</v>
      </c>
      <c r="Q406" s="12">
        <f t="shared" si="169"/>
        <v>155.69999999999999</v>
      </c>
      <c r="R406" s="12">
        <f t="shared" si="169"/>
        <v>467099.99999999994</v>
      </c>
      <c r="S406" s="12">
        <f t="shared" si="169"/>
        <v>147000</v>
      </c>
      <c r="T406" s="12">
        <f t="shared" si="169"/>
        <v>0</v>
      </c>
      <c r="U406" s="12">
        <f t="shared" si="169"/>
        <v>200000</v>
      </c>
      <c r="V406" s="22"/>
    </row>
    <row r="407" spans="1:22" ht="21.95" customHeight="1" x14ac:dyDescent="0.25">
      <c r="A407" s="26" t="s">
        <v>877</v>
      </c>
      <c r="B407" s="25" t="s">
        <v>126</v>
      </c>
      <c r="C407" s="12">
        <f t="shared" si="117"/>
        <v>2474300</v>
      </c>
      <c r="D407" s="20">
        <f t="shared" ref="D407" si="170">SUM(E407:J407)</f>
        <v>109200</v>
      </c>
      <c r="E407" s="20">
        <f>350*[1]Прилож!$H$183</f>
        <v>109200</v>
      </c>
      <c r="F407" s="20">
        <f>800*0</f>
        <v>0</v>
      </c>
      <c r="G407" s="20">
        <f>350*0</f>
        <v>0</v>
      </c>
      <c r="H407" s="20">
        <f>500*0</f>
        <v>0</v>
      </c>
      <c r="I407" s="20">
        <f>400*0</f>
        <v>0</v>
      </c>
      <c r="J407" s="20">
        <v>0</v>
      </c>
      <c r="K407" s="9">
        <v>0</v>
      </c>
      <c r="L407" s="8">
        <v>0</v>
      </c>
      <c r="M407" s="8">
        <v>282</v>
      </c>
      <c r="N407" s="20">
        <f t="shared" ref="N407" si="171">M407*5500</f>
        <v>1551000</v>
      </c>
      <c r="O407" s="8">
        <v>0</v>
      </c>
      <c r="P407" s="8">
        <v>0</v>
      </c>
      <c r="Q407" s="8">
        <v>155.69999999999999</v>
      </c>
      <c r="R407" s="20">
        <f>Q407*3000</f>
        <v>467099.99999999994</v>
      </c>
      <c r="S407" s="8">
        <v>147000</v>
      </c>
      <c r="T407" s="8">
        <v>0</v>
      </c>
      <c r="U407" s="8">
        <v>200000</v>
      </c>
      <c r="V407" s="1">
        <f t="shared" ref="V407" si="172">N407/M407</f>
        <v>5500</v>
      </c>
    </row>
    <row r="408" spans="1:22" ht="45" customHeight="1" x14ac:dyDescent="0.25">
      <c r="A408" s="63" t="s">
        <v>133</v>
      </c>
      <c r="B408" s="63"/>
      <c r="C408" s="12">
        <f t="shared" ref="C408:C470" si="173">D408+L408+N408+P408+R408+S408+T408+U408</f>
        <v>11119730</v>
      </c>
      <c r="D408" s="12">
        <f t="shared" ref="D408:U408" si="174">SUM(D409:D410)</f>
        <v>0</v>
      </c>
      <c r="E408" s="12">
        <f t="shared" si="174"/>
        <v>0</v>
      </c>
      <c r="F408" s="12">
        <f t="shared" si="174"/>
        <v>0</v>
      </c>
      <c r="G408" s="12">
        <f t="shared" si="174"/>
        <v>0</v>
      </c>
      <c r="H408" s="12">
        <f t="shared" si="174"/>
        <v>0</v>
      </c>
      <c r="I408" s="12">
        <f t="shared" si="174"/>
        <v>0</v>
      </c>
      <c r="J408" s="12">
        <f t="shared" si="174"/>
        <v>0</v>
      </c>
      <c r="K408" s="13">
        <f t="shared" si="174"/>
        <v>0</v>
      </c>
      <c r="L408" s="12">
        <f t="shared" si="174"/>
        <v>0</v>
      </c>
      <c r="M408" s="12">
        <f t="shared" si="174"/>
        <v>2460.2600000000002</v>
      </c>
      <c r="N408" s="12">
        <f t="shared" si="174"/>
        <v>10719730</v>
      </c>
      <c r="O408" s="12">
        <f t="shared" si="174"/>
        <v>0</v>
      </c>
      <c r="P408" s="12">
        <f t="shared" si="174"/>
        <v>0</v>
      </c>
      <c r="Q408" s="12">
        <f t="shared" si="174"/>
        <v>0</v>
      </c>
      <c r="R408" s="12">
        <f t="shared" si="174"/>
        <v>0</v>
      </c>
      <c r="S408" s="12">
        <f t="shared" si="174"/>
        <v>0</v>
      </c>
      <c r="T408" s="12">
        <f t="shared" si="174"/>
        <v>0</v>
      </c>
      <c r="U408" s="12">
        <f t="shared" si="174"/>
        <v>400000</v>
      </c>
    </row>
    <row r="409" spans="1:22" ht="21.95" customHeight="1" x14ac:dyDescent="0.25">
      <c r="A409" s="18" t="s">
        <v>878</v>
      </c>
      <c r="B409" s="25" t="s">
        <v>1595</v>
      </c>
      <c r="C409" s="12">
        <f t="shared" si="173"/>
        <v>5913300</v>
      </c>
      <c r="D409" s="20">
        <f t="shared" ref="D409:D410" si="175">SUM(E409:J409)</f>
        <v>0</v>
      </c>
      <c r="E409" s="20">
        <v>0</v>
      </c>
      <c r="F409" s="20">
        <v>0</v>
      </c>
      <c r="G409" s="20">
        <v>0</v>
      </c>
      <c r="H409" s="20">
        <v>0</v>
      </c>
      <c r="I409" s="20">
        <v>0</v>
      </c>
      <c r="J409" s="20">
        <v>0</v>
      </c>
      <c r="K409" s="21">
        <v>0</v>
      </c>
      <c r="L409" s="20">
        <v>0</v>
      </c>
      <c r="M409" s="20">
        <v>1550</v>
      </c>
      <c r="N409" s="20">
        <f>M409*3686</f>
        <v>5713300</v>
      </c>
      <c r="O409" s="20">
        <v>0</v>
      </c>
      <c r="P409" s="20">
        <v>0</v>
      </c>
      <c r="Q409" s="20">
        <v>0</v>
      </c>
      <c r="R409" s="8">
        <v>0</v>
      </c>
      <c r="S409" s="20">
        <v>0</v>
      </c>
      <c r="T409" s="20">
        <v>0</v>
      </c>
      <c r="U409" s="20">
        <v>200000</v>
      </c>
      <c r="V409" s="1">
        <f t="shared" ref="V409:V410" si="176">N409/M409</f>
        <v>3686</v>
      </c>
    </row>
    <row r="410" spans="1:22" ht="21.95" customHeight="1" x14ac:dyDescent="0.25">
      <c r="A410" s="18" t="s">
        <v>879</v>
      </c>
      <c r="B410" s="25" t="s">
        <v>129</v>
      </c>
      <c r="C410" s="12">
        <f t="shared" si="173"/>
        <v>5206430</v>
      </c>
      <c r="D410" s="20">
        <f t="shared" si="175"/>
        <v>0</v>
      </c>
      <c r="E410" s="20">
        <v>0</v>
      </c>
      <c r="F410" s="20">
        <v>0</v>
      </c>
      <c r="G410" s="20">
        <v>0</v>
      </c>
      <c r="H410" s="20">
        <v>0</v>
      </c>
      <c r="I410" s="20">
        <v>0</v>
      </c>
      <c r="J410" s="20">
        <v>0</v>
      </c>
      <c r="K410" s="21">
        <v>0</v>
      </c>
      <c r="L410" s="20">
        <v>0</v>
      </c>
      <c r="M410" s="20">
        <v>910.26</v>
      </c>
      <c r="N410" s="20">
        <f t="shared" ref="N410" si="177">M410*5500</f>
        <v>5006430</v>
      </c>
      <c r="O410" s="20">
        <v>0</v>
      </c>
      <c r="P410" s="20">
        <v>0</v>
      </c>
      <c r="Q410" s="20">
        <v>0</v>
      </c>
      <c r="R410" s="8">
        <v>0</v>
      </c>
      <c r="S410" s="20">
        <v>0</v>
      </c>
      <c r="T410" s="20">
        <v>0</v>
      </c>
      <c r="U410" s="20">
        <v>200000</v>
      </c>
      <c r="V410" s="1">
        <f t="shared" si="176"/>
        <v>5500</v>
      </c>
    </row>
    <row r="411" spans="1:22" ht="45" customHeight="1" x14ac:dyDescent="0.25">
      <c r="A411" s="63" t="s">
        <v>1599</v>
      </c>
      <c r="B411" s="63"/>
      <c r="C411" s="12">
        <f t="shared" si="173"/>
        <v>5626650</v>
      </c>
      <c r="D411" s="12">
        <f t="shared" ref="D411:U411" si="178">SUM(D412:D413)</f>
        <v>0</v>
      </c>
      <c r="E411" s="12">
        <f t="shared" si="178"/>
        <v>0</v>
      </c>
      <c r="F411" s="12">
        <f t="shared" si="178"/>
        <v>0</v>
      </c>
      <c r="G411" s="12">
        <f t="shared" si="178"/>
        <v>0</v>
      </c>
      <c r="H411" s="12">
        <f t="shared" si="178"/>
        <v>0</v>
      </c>
      <c r="I411" s="12">
        <f t="shared" si="178"/>
        <v>0</v>
      </c>
      <c r="J411" s="12">
        <f t="shared" si="178"/>
        <v>0</v>
      </c>
      <c r="K411" s="13">
        <f t="shared" si="178"/>
        <v>0</v>
      </c>
      <c r="L411" s="12">
        <f t="shared" si="178"/>
        <v>0</v>
      </c>
      <c r="M411" s="12">
        <f t="shared" si="178"/>
        <v>950.3</v>
      </c>
      <c r="N411" s="12">
        <f t="shared" si="178"/>
        <v>5226650</v>
      </c>
      <c r="O411" s="12">
        <f t="shared" si="178"/>
        <v>0</v>
      </c>
      <c r="P411" s="12">
        <f t="shared" si="178"/>
        <v>0</v>
      </c>
      <c r="Q411" s="12">
        <f t="shared" si="178"/>
        <v>0</v>
      </c>
      <c r="R411" s="12">
        <f t="shared" si="178"/>
        <v>0</v>
      </c>
      <c r="S411" s="12">
        <f t="shared" si="178"/>
        <v>0</v>
      </c>
      <c r="T411" s="12">
        <f t="shared" si="178"/>
        <v>0</v>
      </c>
      <c r="U411" s="12">
        <f t="shared" si="178"/>
        <v>400000</v>
      </c>
      <c r="V411" s="22">
        <f>C411</f>
        <v>5626650</v>
      </c>
    </row>
    <row r="412" spans="1:22" ht="21.95" customHeight="1" x14ac:dyDescent="0.25">
      <c r="A412" s="18" t="s">
        <v>880</v>
      </c>
      <c r="B412" s="25" t="s">
        <v>130</v>
      </c>
      <c r="C412" s="12">
        <f t="shared" si="173"/>
        <v>3262345</v>
      </c>
      <c r="D412" s="20">
        <f t="shared" ref="D412:D413" si="179">SUM(E412:J412)</f>
        <v>0</v>
      </c>
      <c r="E412" s="20">
        <v>0</v>
      </c>
      <c r="F412" s="20">
        <v>0</v>
      </c>
      <c r="G412" s="20">
        <v>0</v>
      </c>
      <c r="H412" s="20">
        <v>0</v>
      </c>
      <c r="I412" s="20">
        <v>0</v>
      </c>
      <c r="J412" s="20">
        <v>0</v>
      </c>
      <c r="K412" s="21">
        <v>0</v>
      </c>
      <c r="L412" s="20">
        <v>0</v>
      </c>
      <c r="M412" s="20">
        <v>556.79</v>
      </c>
      <c r="N412" s="20">
        <f t="shared" ref="N412:N413" si="180">M412*5500</f>
        <v>3062345</v>
      </c>
      <c r="O412" s="20">
        <v>0</v>
      </c>
      <c r="P412" s="20">
        <v>0</v>
      </c>
      <c r="Q412" s="20">
        <v>0</v>
      </c>
      <c r="R412" s="20">
        <v>0</v>
      </c>
      <c r="S412" s="20">
        <v>0</v>
      </c>
      <c r="T412" s="20">
        <v>0</v>
      </c>
      <c r="U412" s="20">
        <v>200000</v>
      </c>
      <c r="V412" s="1">
        <f t="shared" ref="V412:V413" si="181">N412/M412</f>
        <v>5500</v>
      </c>
    </row>
    <row r="413" spans="1:22" ht="21.95" customHeight="1" x14ac:dyDescent="0.25">
      <c r="A413" s="18" t="s">
        <v>881</v>
      </c>
      <c r="B413" s="25" t="s">
        <v>131</v>
      </c>
      <c r="C413" s="12">
        <f t="shared" si="173"/>
        <v>2364305</v>
      </c>
      <c r="D413" s="20">
        <f t="shared" si="179"/>
        <v>0</v>
      </c>
      <c r="E413" s="20">
        <v>0</v>
      </c>
      <c r="F413" s="20">
        <v>0</v>
      </c>
      <c r="G413" s="20">
        <v>0</v>
      </c>
      <c r="H413" s="20">
        <v>0</v>
      </c>
      <c r="I413" s="20">
        <v>0</v>
      </c>
      <c r="J413" s="20">
        <v>0</v>
      </c>
      <c r="K413" s="21">
        <v>0</v>
      </c>
      <c r="L413" s="20">
        <v>0</v>
      </c>
      <c r="M413" s="20">
        <v>393.51</v>
      </c>
      <c r="N413" s="20">
        <f t="shared" si="180"/>
        <v>2164305</v>
      </c>
      <c r="O413" s="20">
        <v>0</v>
      </c>
      <c r="P413" s="20">
        <v>0</v>
      </c>
      <c r="Q413" s="20">
        <v>0</v>
      </c>
      <c r="R413" s="8">
        <v>0</v>
      </c>
      <c r="S413" s="20">
        <v>0</v>
      </c>
      <c r="T413" s="20">
        <v>0</v>
      </c>
      <c r="U413" s="20">
        <v>200000</v>
      </c>
      <c r="V413" s="1">
        <f t="shared" si="181"/>
        <v>5500</v>
      </c>
    </row>
    <row r="414" spans="1:22" ht="45" customHeight="1" x14ac:dyDescent="0.25">
      <c r="A414" s="63" t="s">
        <v>135</v>
      </c>
      <c r="B414" s="63"/>
      <c r="C414" s="12">
        <f t="shared" si="173"/>
        <v>3364500</v>
      </c>
      <c r="D414" s="12">
        <f t="shared" ref="D414:U414" si="182">SUM(D415:D417)</f>
        <v>0</v>
      </c>
      <c r="E414" s="12">
        <f t="shared" si="182"/>
        <v>0</v>
      </c>
      <c r="F414" s="12">
        <f t="shared" si="182"/>
        <v>0</v>
      </c>
      <c r="G414" s="12">
        <f t="shared" si="182"/>
        <v>0</v>
      </c>
      <c r="H414" s="12">
        <f t="shared" si="182"/>
        <v>0</v>
      </c>
      <c r="I414" s="12">
        <f t="shared" si="182"/>
        <v>0</v>
      </c>
      <c r="J414" s="12">
        <f t="shared" si="182"/>
        <v>0</v>
      </c>
      <c r="K414" s="13">
        <f t="shared" si="182"/>
        <v>0</v>
      </c>
      <c r="L414" s="12">
        <f t="shared" si="182"/>
        <v>0</v>
      </c>
      <c r="M414" s="12">
        <f t="shared" si="182"/>
        <v>750</v>
      </c>
      <c r="N414" s="12">
        <f t="shared" si="182"/>
        <v>2764500</v>
      </c>
      <c r="O414" s="12">
        <f t="shared" si="182"/>
        <v>0</v>
      </c>
      <c r="P414" s="12">
        <f t="shared" si="182"/>
        <v>0</v>
      </c>
      <c r="Q414" s="12">
        <f t="shared" si="182"/>
        <v>0</v>
      </c>
      <c r="R414" s="12">
        <f t="shared" si="182"/>
        <v>0</v>
      </c>
      <c r="S414" s="12">
        <f t="shared" si="182"/>
        <v>0</v>
      </c>
      <c r="T414" s="12">
        <f t="shared" si="182"/>
        <v>0</v>
      </c>
      <c r="U414" s="12">
        <f t="shared" si="182"/>
        <v>600000</v>
      </c>
    </row>
    <row r="415" spans="1:22" ht="21.95" customHeight="1" x14ac:dyDescent="0.25">
      <c r="A415" s="26" t="s">
        <v>882</v>
      </c>
      <c r="B415" s="25" t="s">
        <v>1401</v>
      </c>
      <c r="C415" s="12">
        <f t="shared" si="173"/>
        <v>1121500</v>
      </c>
      <c r="D415" s="20">
        <f t="shared" ref="D415:D417" si="183">SUM(E415:J415)</f>
        <v>0</v>
      </c>
      <c r="E415" s="20">
        <v>0</v>
      </c>
      <c r="F415" s="20">
        <v>0</v>
      </c>
      <c r="G415" s="20">
        <v>0</v>
      </c>
      <c r="H415" s="20">
        <v>0</v>
      </c>
      <c r="I415" s="20">
        <v>0</v>
      </c>
      <c r="J415" s="20">
        <v>0</v>
      </c>
      <c r="K415" s="9">
        <v>0</v>
      </c>
      <c r="L415" s="8">
        <v>0</v>
      </c>
      <c r="M415" s="8">
        <v>250</v>
      </c>
      <c r="N415" s="20">
        <f t="shared" ref="N415:N417" si="184">M415*3686</f>
        <v>921500</v>
      </c>
      <c r="O415" s="8">
        <v>0</v>
      </c>
      <c r="P415" s="8">
        <v>0</v>
      </c>
      <c r="Q415" s="8">
        <v>0</v>
      </c>
      <c r="R415" s="8">
        <v>0</v>
      </c>
      <c r="S415" s="8">
        <v>0</v>
      </c>
      <c r="T415" s="8">
        <v>0</v>
      </c>
      <c r="U415" s="8">
        <v>200000</v>
      </c>
      <c r="V415" s="1">
        <f t="shared" ref="V415:V417" si="185">N415/M415</f>
        <v>3686</v>
      </c>
    </row>
    <row r="416" spans="1:22" ht="21.95" customHeight="1" x14ac:dyDescent="0.25">
      <c r="A416" s="26" t="s">
        <v>883</v>
      </c>
      <c r="B416" s="25" t="s">
        <v>139</v>
      </c>
      <c r="C416" s="12">
        <f t="shared" si="173"/>
        <v>1121500</v>
      </c>
      <c r="D416" s="20">
        <f t="shared" si="183"/>
        <v>0</v>
      </c>
      <c r="E416" s="20">
        <v>0</v>
      </c>
      <c r="F416" s="20">
        <v>0</v>
      </c>
      <c r="G416" s="20">
        <v>0</v>
      </c>
      <c r="H416" s="20">
        <v>0</v>
      </c>
      <c r="I416" s="20">
        <v>0</v>
      </c>
      <c r="J416" s="20">
        <v>0</v>
      </c>
      <c r="K416" s="21">
        <v>0</v>
      </c>
      <c r="L416" s="20">
        <v>0</v>
      </c>
      <c r="M416" s="20">
        <v>250</v>
      </c>
      <c r="N416" s="20">
        <f t="shared" si="184"/>
        <v>921500</v>
      </c>
      <c r="O416" s="20">
        <v>0</v>
      </c>
      <c r="P416" s="20">
        <v>0</v>
      </c>
      <c r="Q416" s="20">
        <v>0</v>
      </c>
      <c r="R416" s="20">
        <v>0</v>
      </c>
      <c r="S416" s="20">
        <v>0</v>
      </c>
      <c r="T416" s="20">
        <v>0</v>
      </c>
      <c r="U416" s="20">
        <v>200000</v>
      </c>
      <c r="V416" s="1">
        <f t="shared" si="185"/>
        <v>3686</v>
      </c>
    </row>
    <row r="417" spans="1:22" ht="21.95" customHeight="1" x14ac:dyDescent="0.25">
      <c r="A417" s="26" t="s">
        <v>884</v>
      </c>
      <c r="B417" s="25" t="s">
        <v>140</v>
      </c>
      <c r="C417" s="12">
        <f t="shared" si="173"/>
        <v>1121500</v>
      </c>
      <c r="D417" s="20">
        <f t="shared" si="183"/>
        <v>0</v>
      </c>
      <c r="E417" s="20">
        <v>0</v>
      </c>
      <c r="F417" s="20">
        <v>0</v>
      </c>
      <c r="G417" s="20">
        <v>0</v>
      </c>
      <c r="H417" s="20">
        <v>0</v>
      </c>
      <c r="I417" s="20">
        <v>0</v>
      </c>
      <c r="J417" s="20">
        <v>0</v>
      </c>
      <c r="K417" s="21">
        <v>0</v>
      </c>
      <c r="L417" s="20">
        <v>0</v>
      </c>
      <c r="M417" s="20">
        <v>250</v>
      </c>
      <c r="N417" s="20">
        <f t="shared" si="184"/>
        <v>921500</v>
      </c>
      <c r="O417" s="20">
        <v>0</v>
      </c>
      <c r="P417" s="20">
        <v>0</v>
      </c>
      <c r="Q417" s="20">
        <v>0</v>
      </c>
      <c r="R417" s="20">
        <v>0</v>
      </c>
      <c r="S417" s="20">
        <v>0</v>
      </c>
      <c r="T417" s="20">
        <v>0</v>
      </c>
      <c r="U417" s="20">
        <v>200000</v>
      </c>
      <c r="V417" s="1">
        <f t="shared" si="185"/>
        <v>3686</v>
      </c>
    </row>
    <row r="418" spans="1:22" ht="45" customHeight="1" x14ac:dyDescent="0.25">
      <c r="A418" s="63" t="s">
        <v>141</v>
      </c>
      <c r="B418" s="63"/>
      <c r="C418" s="12">
        <f t="shared" si="173"/>
        <v>3916645</v>
      </c>
      <c r="D418" s="12">
        <f t="shared" ref="D418:U418" si="186">SUM(D419:D420)</f>
        <v>0</v>
      </c>
      <c r="E418" s="12">
        <f t="shared" si="186"/>
        <v>0</v>
      </c>
      <c r="F418" s="12">
        <f t="shared" si="186"/>
        <v>0</v>
      </c>
      <c r="G418" s="12">
        <f t="shared" si="186"/>
        <v>0</v>
      </c>
      <c r="H418" s="12">
        <f t="shared" si="186"/>
        <v>0</v>
      </c>
      <c r="I418" s="12">
        <f t="shared" si="186"/>
        <v>0</v>
      </c>
      <c r="J418" s="12">
        <f t="shared" si="186"/>
        <v>0</v>
      </c>
      <c r="K418" s="13">
        <f t="shared" si="186"/>
        <v>0</v>
      </c>
      <c r="L418" s="12">
        <f t="shared" si="186"/>
        <v>0</v>
      </c>
      <c r="M418" s="12">
        <f t="shared" si="186"/>
        <v>639.39</v>
      </c>
      <c r="N418" s="12">
        <f t="shared" si="186"/>
        <v>3516645</v>
      </c>
      <c r="O418" s="12">
        <f t="shared" si="186"/>
        <v>0</v>
      </c>
      <c r="P418" s="12">
        <f t="shared" si="186"/>
        <v>0</v>
      </c>
      <c r="Q418" s="12">
        <f t="shared" si="186"/>
        <v>0</v>
      </c>
      <c r="R418" s="12">
        <f t="shared" si="186"/>
        <v>0</v>
      </c>
      <c r="S418" s="12">
        <f t="shared" si="186"/>
        <v>0</v>
      </c>
      <c r="T418" s="12">
        <f t="shared" si="186"/>
        <v>0</v>
      </c>
      <c r="U418" s="12">
        <f t="shared" si="186"/>
        <v>400000</v>
      </c>
    </row>
    <row r="419" spans="1:22" ht="21.95" customHeight="1" x14ac:dyDescent="0.25">
      <c r="A419" s="18" t="s">
        <v>885</v>
      </c>
      <c r="B419" s="25" t="s">
        <v>142</v>
      </c>
      <c r="C419" s="12">
        <f t="shared" si="173"/>
        <v>2144360</v>
      </c>
      <c r="D419" s="20">
        <f t="shared" ref="D419:D420" si="187">SUM(E419:J419)</f>
        <v>0</v>
      </c>
      <c r="E419" s="20">
        <v>0</v>
      </c>
      <c r="F419" s="20">
        <v>0</v>
      </c>
      <c r="G419" s="20">
        <v>0</v>
      </c>
      <c r="H419" s="20">
        <v>0</v>
      </c>
      <c r="I419" s="20">
        <v>0</v>
      </c>
      <c r="J419" s="20">
        <v>0</v>
      </c>
      <c r="K419" s="21">
        <v>0</v>
      </c>
      <c r="L419" s="20">
        <v>0</v>
      </c>
      <c r="M419" s="20">
        <v>353.52</v>
      </c>
      <c r="N419" s="20">
        <f t="shared" ref="N419:N420" si="188">M419*5500</f>
        <v>1944360</v>
      </c>
      <c r="O419" s="20">
        <v>0</v>
      </c>
      <c r="P419" s="20">
        <v>0</v>
      </c>
      <c r="Q419" s="20">
        <v>0</v>
      </c>
      <c r="R419" s="20">
        <v>0</v>
      </c>
      <c r="S419" s="20">
        <v>0</v>
      </c>
      <c r="T419" s="20">
        <v>0</v>
      </c>
      <c r="U419" s="20">
        <v>200000</v>
      </c>
      <c r="V419" s="1">
        <f t="shared" ref="V419:V420" si="189">N419/M419</f>
        <v>5500</v>
      </c>
    </row>
    <row r="420" spans="1:22" ht="21.95" customHeight="1" x14ac:dyDescent="0.25">
      <c r="A420" s="18" t="s">
        <v>886</v>
      </c>
      <c r="B420" s="25" t="s">
        <v>1392</v>
      </c>
      <c r="C420" s="12">
        <f t="shared" si="173"/>
        <v>1772285</v>
      </c>
      <c r="D420" s="20">
        <f t="shared" si="187"/>
        <v>0</v>
      </c>
      <c r="E420" s="20">
        <v>0</v>
      </c>
      <c r="F420" s="20">
        <v>0</v>
      </c>
      <c r="G420" s="20">
        <v>0</v>
      </c>
      <c r="H420" s="20">
        <v>0</v>
      </c>
      <c r="I420" s="20">
        <v>0</v>
      </c>
      <c r="J420" s="20">
        <v>0</v>
      </c>
      <c r="K420" s="21">
        <v>0</v>
      </c>
      <c r="L420" s="20">
        <v>0</v>
      </c>
      <c r="M420" s="20">
        <v>285.87</v>
      </c>
      <c r="N420" s="20">
        <f t="shared" si="188"/>
        <v>1572285</v>
      </c>
      <c r="O420" s="20">
        <v>0</v>
      </c>
      <c r="P420" s="20">
        <v>0</v>
      </c>
      <c r="Q420" s="20">
        <v>0</v>
      </c>
      <c r="R420" s="20">
        <v>0</v>
      </c>
      <c r="S420" s="20">
        <v>0</v>
      </c>
      <c r="T420" s="20">
        <v>0</v>
      </c>
      <c r="U420" s="20">
        <v>200000</v>
      </c>
      <c r="V420" s="1">
        <f t="shared" si="189"/>
        <v>5500</v>
      </c>
    </row>
    <row r="421" spans="1:22" ht="45" customHeight="1" x14ac:dyDescent="0.25">
      <c r="A421" s="63" t="s">
        <v>144</v>
      </c>
      <c r="B421" s="63"/>
      <c r="C421" s="12">
        <f t="shared" si="173"/>
        <v>2248000</v>
      </c>
      <c r="D421" s="12">
        <f t="shared" ref="D421:U421" si="190">SUM(D422:D423)</f>
        <v>0</v>
      </c>
      <c r="E421" s="12">
        <f t="shared" si="190"/>
        <v>0</v>
      </c>
      <c r="F421" s="12">
        <f t="shared" si="190"/>
        <v>0</v>
      </c>
      <c r="G421" s="12">
        <f t="shared" si="190"/>
        <v>0</v>
      </c>
      <c r="H421" s="12">
        <f t="shared" si="190"/>
        <v>0</v>
      </c>
      <c r="I421" s="12">
        <f t="shared" si="190"/>
        <v>0</v>
      </c>
      <c r="J421" s="12">
        <f t="shared" si="190"/>
        <v>0</v>
      </c>
      <c r="K421" s="13">
        <f t="shared" si="190"/>
        <v>0</v>
      </c>
      <c r="L421" s="12">
        <f t="shared" si="190"/>
        <v>0</v>
      </c>
      <c r="M421" s="12">
        <f t="shared" si="190"/>
        <v>336</v>
      </c>
      <c r="N421" s="12">
        <f t="shared" si="190"/>
        <v>1848000</v>
      </c>
      <c r="O421" s="12">
        <f t="shared" si="190"/>
        <v>0</v>
      </c>
      <c r="P421" s="12">
        <f t="shared" si="190"/>
        <v>0</v>
      </c>
      <c r="Q421" s="12">
        <f t="shared" si="190"/>
        <v>0</v>
      </c>
      <c r="R421" s="12">
        <f t="shared" si="190"/>
        <v>0</v>
      </c>
      <c r="S421" s="12">
        <f t="shared" si="190"/>
        <v>0</v>
      </c>
      <c r="T421" s="12">
        <f t="shared" si="190"/>
        <v>0</v>
      </c>
      <c r="U421" s="12">
        <f t="shared" si="190"/>
        <v>400000</v>
      </c>
      <c r="V421" s="22">
        <f>C421</f>
        <v>2248000</v>
      </c>
    </row>
    <row r="422" spans="1:22" ht="21.95" customHeight="1" x14ac:dyDescent="0.25">
      <c r="A422" s="18" t="s">
        <v>887</v>
      </c>
      <c r="B422" s="25" t="s">
        <v>145</v>
      </c>
      <c r="C422" s="12">
        <f t="shared" si="173"/>
        <v>1025000</v>
      </c>
      <c r="D422" s="20">
        <f t="shared" ref="D422:D423" si="191">SUM(E422:J422)</f>
        <v>0</v>
      </c>
      <c r="E422" s="20">
        <v>0</v>
      </c>
      <c r="F422" s="20">
        <v>0</v>
      </c>
      <c r="G422" s="20">
        <v>0</v>
      </c>
      <c r="H422" s="20">
        <v>0</v>
      </c>
      <c r="I422" s="20">
        <v>0</v>
      </c>
      <c r="J422" s="20">
        <v>0</v>
      </c>
      <c r="K422" s="21">
        <v>0</v>
      </c>
      <c r="L422" s="20">
        <v>0</v>
      </c>
      <c r="M422" s="20">
        <v>150</v>
      </c>
      <c r="N422" s="20">
        <f t="shared" ref="N422:N423" si="192">M422*5500</f>
        <v>825000</v>
      </c>
      <c r="O422" s="20">
        <v>0</v>
      </c>
      <c r="P422" s="20">
        <v>0</v>
      </c>
      <c r="Q422" s="20">
        <v>0</v>
      </c>
      <c r="R422" s="20">
        <v>0</v>
      </c>
      <c r="S422" s="20">
        <v>0</v>
      </c>
      <c r="T422" s="20">
        <v>0</v>
      </c>
      <c r="U422" s="20">
        <v>200000</v>
      </c>
      <c r="V422" s="1">
        <f t="shared" ref="V422:V423" si="193">N422/M422</f>
        <v>5500</v>
      </c>
    </row>
    <row r="423" spans="1:22" ht="21.95" customHeight="1" x14ac:dyDescent="0.25">
      <c r="A423" s="18" t="s">
        <v>888</v>
      </c>
      <c r="B423" s="25" t="s">
        <v>146</v>
      </c>
      <c r="C423" s="12">
        <f t="shared" si="173"/>
        <v>1223000</v>
      </c>
      <c r="D423" s="20">
        <f t="shared" si="191"/>
        <v>0</v>
      </c>
      <c r="E423" s="20">
        <v>0</v>
      </c>
      <c r="F423" s="20">
        <v>0</v>
      </c>
      <c r="G423" s="20">
        <v>0</v>
      </c>
      <c r="H423" s="20">
        <v>0</v>
      </c>
      <c r="I423" s="20">
        <v>0</v>
      </c>
      <c r="J423" s="20">
        <v>0</v>
      </c>
      <c r="K423" s="21">
        <v>0</v>
      </c>
      <c r="L423" s="20">
        <v>0</v>
      </c>
      <c r="M423" s="20">
        <v>186</v>
      </c>
      <c r="N423" s="20">
        <f t="shared" si="192"/>
        <v>1023000</v>
      </c>
      <c r="O423" s="20">
        <v>0</v>
      </c>
      <c r="P423" s="20">
        <v>0</v>
      </c>
      <c r="Q423" s="20">
        <v>0</v>
      </c>
      <c r="R423" s="20">
        <v>0</v>
      </c>
      <c r="S423" s="20">
        <v>0</v>
      </c>
      <c r="T423" s="20">
        <v>0</v>
      </c>
      <c r="U423" s="20">
        <v>200000</v>
      </c>
      <c r="V423" s="1">
        <f t="shared" si="193"/>
        <v>5500</v>
      </c>
    </row>
    <row r="424" spans="1:22" ht="45" customHeight="1" x14ac:dyDescent="0.25">
      <c r="A424" s="63" t="s">
        <v>150</v>
      </c>
      <c r="B424" s="63"/>
      <c r="C424" s="12">
        <f t="shared" si="173"/>
        <v>18311370</v>
      </c>
      <c r="D424" s="12">
        <f t="shared" ref="D424:U424" si="194">SUM(D425:D430)</f>
        <v>0</v>
      </c>
      <c r="E424" s="12">
        <f t="shared" si="194"/>
        <v>0</v>
      </c>
      <c r="F424" s="12">
        <f t="shared" si="194"/>
        <v>0</v>
      </c>
      <c r="G424" s="12">
        <f t="shared" si="194"/>
        <v>0</v>
      </c>
      <c r="H424" s="12">
        <f t="shared" si="194"/>
        <v>0</v>
      </c>
      <c r="I424" s="12">
        <f t="shared" si="194"/>
        <v>0</v>
      </c>
      <c r="J424" s="12">
        <f t="shared" si="194"/>
        <v>0</v>
      </c>
      <c r="K424" s="13">
        <f t="shared" si="194"/>
        <v>0</v>
      </c>
      <c r="L424" s="12">
        <f t="shared" si="194"/>
        <v>0</v>
      </c>
      <c r="M424" s="12">
        <f t="shared" si="194"/>
        <v>1838</v>
      </c>
      <c r="N424" s="12">
        <f t="shared" si="194"/>
        <v>10109000</v>
      </c>
      <c r="O424" s="12">
        <f t="shared" si="194"/>
        <v>0</v>
      </c>
      <c r="P424" s="12">
        <f t="shared" si="194"/>
        <v>0</v>
      </c>
      <c r="Q424" s="12">
        <f t="shared" si="194"/>
        <v>2300.79</v>
      </c>
      <c r="R424" s="12">
        <f t="shared" si="194"/>
        <v>6902370</v>
      </c>
      <c r="S424" s="12">
        <f t="shared" si="194"/>
        <v>0</v>
      </c>
      <c r="T424" s="12">
        <f t="shared" si="194"/>
        <v>0</v>
      </c>
      <c r="U424" s="12">
        <f t="shared" si="194"/>
        <v>1300000</v>
      </c>
    </row>
    <row r="425" spans="1:22" ht="21.95" customHeight="1" x14ac:dyDescent="0.25">
      <c r="A425" s="18" t="s">
        <v>889</v>
      </c>
      <c r="B425" s="25" t="s">
        <v>151</v>
      </c>
      <c r="C425" s="12">
        <f t="shared" si="173"/>
        <v>2587000</v>
      </c>
      <c r="D425" s="20">
        <f t="shared" ref="D425:D430" si="195">SUM(E425:J425)</f>
        <v>0</v>
      </c>
      <c r="E425" s="20">
        <v>0</v>
      </c>
      <c r="F425" s="20">
        <v>0</v>
      </c>
      <c r="G425" s="20">
        <v>0</v>
      </c>
      <c r="H425" s="20">
        <v>0</v>
      </c>
      <c r="I425" s="20">
        <v>0</v>
      </c>
      <c r="J425" s="20">
        <v>0</v>
      </c>
      <c r="K425" s="21">
        <v>0</v>
      </c>
      <c r="L425" s="20">
        <v>0</v>
      </c>
      <c r="M425" s="20">
        <v>434</v>
      </c>
      <c r="N425" s="20">
        <f t="shared" ref="N425:N427" si="196">M425*5500</f>
        <v>2387000</v>
      </c>
      <c r="O425" s="20">
        <v>0</v>
      </c>
      <c r="P425" s="20">
        <v>0</v>
      </c>
      <c r="Q425" s="20">
        <v>0</v>
      </c>
      <c r="R425" s="20">
        <v>0</v>
      </c>
      <c r="S425" s="20">
        <v>0</v>
      </c>
      <c r="T425" s="20">
        <v>0</v>
      </c>
      <c r="U425" s="20">
        <v>200000</v>
      </c>
      <c r="V425" s="1">
        <f t="shared" ref="V425:V430" si="197">N425/M425</f>
        <v>5500</v>
      </c>
    </row>
    <row r="426" spans="1:22" ht="21.95" customHeight="1" x14ac:dyDescent="0.25">
      <c r="A426" s="18" t="s">
        <v>890</v>
      </c>
      <c r="B426" s="25" t="s">
        <v>152</v>
      </c>
      <c r="C426" s="12">
        <f t="shared" si="173"/>
        <v>2587000</v>
      </c>
      <c r="D426" s="20">
        <f t="shared" si="195"/>
        <v>0</v>
      </c>
      <c r="E426" s="20">
        <v>0</v>
      </c>
      <c r="F426" s="20">
        <v>0</v>
      </c>
      <c r="G426" s="20">
        <v>0</v>
      </c>
      <c r="H426" s="20">
        <v>0</v>
      </c>
      <c r="I426" s="20">
        <v>0</v>
      </c>
      <c r="J426" s="20">
        <v>0</v>
      </c>
      <c r="K426" s="21">
        <v>0</v>
      </c>
      <c r="L426" s="20">
        <v>0</v>
      </c>
      <c r="M426" s="20">
        <v>434</v>
      </c>
      <c r="N426" s="20">
        <f t="shared" si="196"/>
        <v>2387000</v>
      </c>
      <c r="O426" s="20">
        <v>0</v>
      </c>
      <c r="P426" s="20">
        <v>0</v>
      </c>
      <c r="Q426" s="20">
        <v>0</v>
      </c>
      <c r="R426" s="20">
        <v>0</v>
      </c>
      <c r="S426" s="20">
        <v>0</v>
      </c>
      <c r="T426" s="20">
        <v>0</v>
      </c>
      <c r="U426" s="20">
        <v>200000</v>
      </c>
      <c r="V426" s="1">
        <f t="shared" si="197"/>
        <v>5500</v>
      </c>
    </row>
    <row r="427" spans="1:22" ht="21.95" customHeight="1" x14ac:dyDescent="0.25">
      <c r="A427" s="18" t="s">
        <v>891</v>
      </c>
      <c r="B427" s="25" t="s">
        <v>153</v>
      </c>
      <c r="C427" s="12">
        <f t="shared" si="173"/>
        <v>2235000</v>
      </c>
      <c r="D427" s="20">
        <f t="shared" si="195"/>
        <v>0</v>
      </c>
      <c r="E427" s="20">
        <v>0</v>
      </c>
      <c r="F427" s="20">
        <v>0</v>
      </c>
      <c r="G427" s="20">
        <v>0</v>
      </c>
      <c r="H427" s="20">
        <v>0</v>
      </c>
      <c r="I427" s="20">
        <v>0</v>
      </c>
      <c r="J427" s="20">
        <v>0</v>
      </c>
      <c r="K427" s="21">
        <v>0</v>
      </c>
      <c r="L427" s="20">
        <v>0</v>
      </c>
      <c r="M427" s="20">
        <v>370</v>
      </c>
      <c r="N427" s="20">
        <f t="shared" si="196"/>
        <v>2035000</v>
      </c>
      <c r="O427" s="20">
        <v>0</v>
      </c>
      <c r="P427" s="20">
        <v>0</v>
      </c>
      <c r="Q427" s="20">
        <v>0</v>
      </c>
      <c r="R427" s="20">
        <v>0</v>
      </c>
      <c r="S427" s="20">
        <v>0</v>
      </c>
      <c r="T427" s="20">
        <v>0</v>
      </c>
      <c r="U427" s="20">
        <v>200000</v>
      </c>
      <c r="V427" s="1">
        <f t="shared" si="197"/>
        <v>5500</v>
      </c>
    </row>
    <row r="428" spans="1:22" ht="21.95" customHeight="1" x14ac:dyDescent="0.25">
      <c r="A428" s="18" t="s">
        <v>892</v>
      </c>
      <c r="B428" s="25" t="s">
        <v>154</v>
      </c>
      <c r="C428" s="12">
        <f t="shared" si="173"/>
        <v>300000</v>
      </c>
      <c r="D428" s="20">
        <f t="shared" si="195"/>
        <v>0</v>
      </c>
      <c r="E428" s="20">
        <v>0</v>
      </c>
      <c r="F428" s="20">
        <v>0</v>
      </c>
      <c r="G428" s="20">
        <v>0</v>
      </c>
      <c r="H428" s="20">
        <v>0</v>
      </c>
      <c r="I428" s="20">
        <v>0</v>
      </c>
      <c r="J428" s="20">
        <v>0</v>
      </c>
      <c r="K428" s="21">
        <v>0</v>
      </c>
      <c r="L428" s="20">
        <v>0</v>
      </c>
      <c r="M428" s="20">
        <v>0</v>
      </c>
      <c r="N428" s="20">
        <v>0</v>
      </c>
      <c r="O428" s="20">
        <v>0</v>
      </c>
      <c r="P428" s="20">
        <v>0</v>
      </c>
      <c r="Q428" s="20">
        <v>0</v>
      </c>
      <c r="R428" s="20">
        <v>0</v>
      </c>
      <c r="S428" s="20">
        <v>0</v>
      </c>
      <c r="T428" s="20">
        <v>0</v>
      </c>
      <c r="U428" s="20">
        <v>300000</v>
      </c>
      <c r="V428" s="1" t="e">
        <f t="shared" si="197"/>
        <v>#DIV/0!</v>
      </c>
    </row>
    <row r="429" spans="1:22" ht="21.95" customHeight="1" x14ac:dyDescent="0.25">
      <c r="A429" s="18" t="s">
        <v>893</v>
      </c>
      <c r="B429" s="25" t="s">
        <v>1217</v>
      </c>
      <c r="C429" s="12">
        <f t="shared" si="173"/>
        <v>3500000</v>
      </c>
      <c r="D429" s="20">
        <f t="shared" si="195"/>
        <v>0</v>
      </c>
      <c r="E429" s="20">
        <v>0</v>
      </c>
      <c r="F429" s="20">
        <v>0</v>
      </c>
      <c r="G429" s="20">
        <v>0</v>
      </c>
      <c r="H429" s="20">
        <v>0</v>
      </c>
      <c r="I429" s="20">
        <v>0</v>
      </c>
      <c r="J429" s="20">
        <v>0</v>
      </c>
      <c r="K429" s="21">
        <v>0</v>
      </c>
      <c r="L429" s="20">
        <v>0</v>
      </c>
      <c r="M429" s="20">
        <v>600</v>
      </c>
      <c r="N429" s="20">
        <f t="shared" ref="N429" si="198">M429*5500</f>
        <v>3300000</v>
      </c>
      <c r="O429" s="20">
        <v>0</v>
      </c>
      <c r="P429" s="20">
        <v>0</v>
      </c>
      <c r="Q429" s="20">
        <v>0</v>
      </c>
      <c r="R429" s="20">
        <v>0</v>
      </c>
      <c r="S429" s="20">
        <v>0</v>
      </c>
      <c r="T429" s="20">
        <v>0</v>
      </c>
      <c r="U429" s="20">
        <v>200000</v>
      </c>
      <c r="V429" s="1">
        <f t="shared" si="197"/>
        <v>5500</v>
      </c>
    </row>
    <row r="430" spans="1:22" ht="21.95" customHeight="1" x14ac:dyDescent="0.25">
      <c r="A430" s="18" t="s">
        <v>894</v>
      </c>
      <c r="B430" s="25" t="s">
        <v>1218</v>
      </c>
      <c r="C430" s="12">
        <f t="shared" si="173"/>
        <v>7102370</v>
      </c>
      <c r="D430" s="20">
        <f t="shared" si="195"/>
        <v>0</v>
      </c>
      <c r="E430" s="20">
        <v>0</v>
      </c>
      <c r="F430" s="20">
        <v>0</v>
      </c>
      <c r="G430" s="20">
        <v>0</v>
      </c>
      <c r="H430" s="20">
        <v>0</v>
      </c>
      <c r="I430" s="20">
        <v>0</v>
      </c>
      <c r="J430" s="20">
        <v>0</v>
      </c>
      <c r="K430" s="21">
        <v>0</v>
      </c>
      <c r="L430" s="20">
        <v>0</v>
      </c>
      <c r="M430" s="20">
        <v>0</v>
      </c>
      <c r="N430" s="20">
        <v>0</v>
      </c>
      <c r="O430" s="20">
        <v>0</v>
      </c>
      <c r="P430" s="20">
        <v>0</v>
      </c>
      <c r="Q430" s="20">
        <v>2300.79</v>
      </c>
      <c r="R430" s="20">
        <f>Q430*3000</f>
        <v>6902370</v>
      </c>
      <c r="S430" s="20">
        <v>0</v>
      </c>
      <c r="T430" s="20">
        <v>0</v>
      </c>
      <c r="U430" s="20">
        <v>200000</v>
      </c>
      <c r="V430" s="1" t="e">
        <f t="shared" si="197"/>
        <v>#DIV/0!</v>
      </c>
    </row>
    <row r="431" spans="1:22" ht="45" customHeight="1" x14ac:dyDescent="0.25">
      <c r="A431" s="63" t="s">
        <v>1615</v>
      </c>
      <c r="B431" s="63"/>
      <c r="C431" s="12">
        <f t="shared" si="173"/>
        <v>1515270</v>
      </c>
      <c r="D431" s="12">
        <f t="shared" ref="D431:U431" si="199">SUM(D432)</f>
        <v>0</v>
      </c>
      <c r="E431" s="12">
        <f t="shared" si="199"/>
        <v>0</v>
      </c>
      <c r="F431" s="12">
        <f t="shared" si="199"/>
        <v>0</v>
      </c>
      <c r="G431" s="12">
        <f t="shared" si="199"/>
        <v>0</v>
      </c>
      <c r="H431" s="12">
        <f t="shared" si="199"/>
        <v>0</v>
      </c>
      <c r="I431" s="12">
        <f t="shared" si="199"/>
        <v>0</v>
      </c>
      <c r="J431" s="12">
        <f t="shared" si="199"/>
        <v>0</v>
      </c>
      <c r="K431" s="13">
        <f t="shared" si="199"/>
        <v>0</v>
      </c>
      <c r="L431" s="12">
        <f t="shared" si="199"/>
        <v>0</v>
      </c>
      <c r="M431" s="12">
        <f t="shared" si="199"/>
        <v>239.14</v>
      </c>
      <c r="N431" s="12">
        <f t="shared" si="199"/>
        <v>1315270</v>
      </c>
      <c r="O431" s="12">
        <f t="shared" si="199"/>
        <v>0</v>
      </c>
      <c r="P431" s="12">
        <f t="shared" si="199"/>
        <v>0</v>
      </c>
      <c r="Q431" s="12">
        <f t="shared" si="199"/>
        <v>0</v>
      </c>
      <c r="R431" s="12">
        <f t="shared" si="199"/>
        <v>0</v>
      </c>
      <c r="S431" s="12">
        <f t="shared" si="199"/>
        <v>0</v>
      </c>
      <c r="T431" s="12">
        <f t="shared" si="199"/>
        <v>0</v>
      </c>
      <c r="U431" s="12">
        <f t="shared" si="199"/>
        <v>200000</v>
      </c>
    </row>
    <row r="432" spans="1:22" ht="21.95" customHeight="1" x14ac:dyDescent="0.25">
      <c r="A432" s="18" t="s">
        <v>895</v>
      </c>
      <c r="B432" s="25" t="s">
        <v>161</v>
      </c>
      <c r="C432" s="12">
        <f t="shared" si="173"/>
        <v>1515270</v>
      </c>
      <c r="D432" s="20">
        <f t="shared" ref="D432" si="200">SUM(E432:J432)</f>
        <v>0</v>
      </c>
      <c r="E432" s="20">
        <v>0</v>
      </c>
      <c r="F432" s="20">
        <v>0</v>
      </c>
      <c r="G432" s="20">
        <v>0</v>
      </c>
      <c r="H432" s="20">
        <v>0</v>
      </c>
      <c r="I432" s="20">
        <v>0</v>
      </c>
      <c r="J432" s="20">
        <v>0</v>
      </c>
      <c r="K432" s="21">
        <v>0</v>
      </c>
      <c r="L432" s="20">
        <v>0</v>
      </c>
      <c r="M432" s="20">
        <v>239.14</v>
      </c>
      <c r="N432" s="20">
        <f t="shared" ref="N432" si="201">M432*5500</f>
        <v>1315270</v>
      </c>
      <c r="O432" s="20">
        <v>0</v>
      </c>
      <c r="P432" s="20">
        <v>0</v>
      </c>
      <c r="Q432" s="20">
        <v>0</v>
      </c>
      <c r="R432" s="8">
        <v>0</v>
      </c>
      <c r="S432" s="20">
        <v>0</v>
      </c>
      <c r="T432" s="20">
        <v>0</v>
      </c>
      <c r="U432" s="20">
        <v>200000</v>
      </c>
      <c r="V432" s="1">
        <f t="shared" ref="V432" si="202">N432/M432</f>
        <v>5500</v>
      </c>
    </row>
    <row r="433" spans="1:22" ht="45" customHeight="1" x14ac:dyDescent="0.25">
      <c r="A433" s="63" t="s">
        <v>165</v>
      </c>
      <c r="B433" s="63"/>
      <c r="C433" s="12">
        <f t="shared" si="173"/>
        <v>125213361</v>
      </c>
      <c r="D433" s="12">
        <f t="shared" ref="D433:U433" si="203">SUM(D434:D452)</f>
        <v>18796535</v>
      </c>
      <c r="E433" s="12">
        <f t="shared" si="203"/>
        <v>3858505</v>
      </c>
      <c r="F433" s="12">
        <f t="shared" si="203"/>
        <v>6647680</v>
      </c>
      <c r="G433" s="12">
        <f t="shared" si="203"/>
        <v>3197250</v>
      </c>
      <c r="H433" s="12">
        <f t="shared" si="203"/>
        <v>830100</v>
      </c>
      <c r="I433" s="12">
        <f t="shared" si="203"/>
        <v>4263000</v>
      </c>
      <c r="J433" s="12">
        <f t="shared" si="203"/>
        <v>0</v>
      </c>
      <c r="K433" s="13">
        <f t="shared" si="203"/>
        <v>4</v>
      </c>
      <c r="L433" s="12">
        <f t="shared" si="203"/>
        <v>8600000</v>
      </c>
      <c r="M433" s="12">
        <f t="shared" si="203"/>
        <v>8040.6000000000013</v>
      </c>
      <c r="N433" s="12">
        <f t="shared" si="203"/>
        <v>41609326</v>
      </c>
      <c r="O433" s="12">
        <f t="shared" si="203"/>
        <v>0</v>
      </c>
      <c r="P433" s="12">
        <f t="shared" si="203"/>
        <v>0</v>
      </c>
      <c r="Q433" s="12">
        <f t="shared" si="203"/>
        <v>17602.5</v>
      </c>
      <c r="R433" s="12">
        <f t="shared" si="203"/>
        <v>52807500</v>
      </c>
      <c r="S433" s="12">
        <f t="shared" si="203"/>
        <v>0</v>
      </c>
      <c r="T433" s="12">
        <f t="shared" si="203"/>
        <v>0</v>
      </c>
      <c r="U433" s="12">
        <f t="shared" si="203"/>
        <v>3400000</v>
      </c>
    </row>
    <row r="434" spans="1:22" ht="21.95" customHeight="1" x14ac:dyDescent="0.25">
      <c r="A434" s="18" t="s">
        <v>896</v>
      </c>
      <c r="B434" s="29" t="s">
        <v>170</v>
      </c>
      <c r="C434" s="12">
        <f t="shared" si="173"/>
        <v>16494526</v>
      </c>
      <c r="D434" s="20">
        <f t="shared" ref="D434:D452" si="204">SUM(E434:J434)</f>
        <v>0</v>
      </c>
      <c r="E434" s="20">
        <v>0</v>
      </c>
      <c r="F434" s="20">
        <v>0</v>
      </c>
      <c r="G434" s="20">
        <v>0</v>
      </c>
      <c r="H434" s="20">
        <v>0</v>
      </c>
      <c r="I434" s="20">
        <v>0</v>
      </c>
      <c r="J434" s="20">
        <v>0</v>
      </c>
      <c r="K434" s="21">
        <v>0</v>
      </c>
      <c r="L434" s="20">
        <v>0</v>
      </c>
      <c r="M434" s="20">
        <v>1441</v>
      </c>
      <c r="N434" s="20">
        <f>M434*3686</f>
        <v>5311526</v>
      </c>
      <c r="O434" s="20">
        <v>0</v>
      </c>
      <c r="P434" s="20">
        <v>0</v>
      </c>
      <c r="Q434" s="8">
        <v>3661</v>
      </c>
      <c r="R434" s="20">
        <f t="shared" ref="R434:R436" si="205">Q434*3000</f>
        <v>10983000</v>
      </c>
      <c r="S434" s="20">
        <v>0</v>
      </c>
      <c r="T434" s="20">
        <v>0</v>
      </c>
      <c r="U434" s="20">
        <v>200000</v>
      </c>
      <c r="V434" s="1">
        <f t="shared" ref="V434:V452" si="206">N434/M434</f>
        <v>3686</v>
      </c>
    </row>
    <row r="435" spans="1:22" ht="21.95" customHeight="1" x14ac:dyDescent="0.25">
      <c r="A435" s="18" t="s">
        <v>897</v>
      </c>
      <c r="B435" s="29" t="s">
        <v>166</v>
      </c>
      <c r="C435" s="12">
        <f t="shared" si="173"/>
        <v>29471200</v>
      </c>
      <c r="D435" s="20">
        <f t="shared" si="204"/>
        <v>0</v>
      </c>
      <c r="E435" s="20">
        <v>0</v>
      </c>
      <c r="F435" s="20">
        <v>0</v>
      </c>
      <c r="G435" s="20">
        <v>0</v>
      </c>
      <c r="H435" s="20">
        <v>0</v>
      </c>
      <c r="I435" s="20">
        <v>0</v>
      </c>
      <c r="J435" s="20">
        <v>0</v>
      </c>
      <c r="K435" s="21">
        <v>4</v>
      </c>
      <c r="L435" s="20">
        <v>8600000</v>
      </c>
      <c r="M435" s="20">
        <v>0</v>
      </c>
      <c r="N435" s="20">
        <v>0</v>
      </c>
      <c r="O435" s="20">
        <v>0</v>
      </c>
      <c r="P435" s="20">
        <v>0</v>
      </c>
      <c r="Q435" s="8">
        <v>6890.4</v>
      </c>
      <c r="R435" s="20">
        <f t="shared" si="205"/>
        <v>20671200</v>
      </c>
      <c r="S435" s="20">
        <v>0</v>
      </c>
      <c r="T435" s="20">
        <v>0</v>
      </c>
      <c r="U435" s="20">
        <v>200000</v>
      </c>
      <c r="V435" s="1" t="e">
        <f t="shared" si="206"/>
        <v>#DIV/0!</v>
      </c>
    </row>
    <row r="436" spans="1:22" ht="21.95" customHeight="1" x14ac:dyDescent="0.25">
      <c r="A436" s="18" t="s">
        <v>898</v>
      </c>
      <c r="B436" s="27" t="s">
        <v>840</v>
      </c>
      <c r="C436" s="12">
        <f t="shared" si="173"/>
        <v>4424075</v>
      </c>
      <c r="D436" s="20">
        <f t="shared" si="204"/>
        <v>779625</v>
      </c>
      <c r="E436" s="20">
        <f>350*742.5</f>
        <v>259875</v>
      </c>
      <c r="F436" s="20">
        <f>800*0</f>
        <v>0</v>
      </c>
      <c r="G436" s="20">
        <f>300*742.5</f>
        <v>222750</v>
      </c>
      <c r="H436" s="20">
        <f>500*0</f>
        <v>0</v>
      </c>
      <c r="I436" s="20">
        <f>400*742.5</f>
        <v>297000</v>
      </c>
      <c r="J436" s="20">
        <f t="shared" ref="J436:J448" si="207">350*0</f>
        <v>0</v>
      </c>
      <c r="K436" s="21">
        <v>0</v>
      </c>
      <c r="L436" s="20">
        <v>0</v>
      </c>
      <c r="M436" s="20">
        <v>382.9</v>
      </c>
      <c r="N436" s="20">
        <f t="shared" ref="N436:N442" si="208">M436*5500</f>
        <v>2105950</v>
      </c>
      <c r="O436" s="20">
        <v>0</v>
      </c>
      <c r="P436" s="20">
        <f>O436*410</f>
        <v>0</v>
      </c>
      <c r="Q436" s="20">
        <v>479.5</v>
      </c>
      <c r="R436" s="20">
        <f t="shared" si="205"/>
        <v>1438500</v>
      </c>
      <c r="S436" s="20">
        <v>0</v>
      </c>
      <c r="T436" s="20">
        <v>0</v>
      </c>
      <c r="U436" s="20">
        <v>100000</v>
      </c>
      <c r="V436" s="1">
        <f t="shared" si="206"/>
        <v>5500</v>
      </c>
    </row>
    <row r="437" spans="1:22" s="60" customFormat="1" ht="21.95" customHeight="1" x14ac:dyDescent="0.25">
      <c r="A437" s="53" t="s">
        <v>899</v>
      </c>
      <c r="B437" s="54" t="s">
        <v>185</v>
      </c>
      <c r="C437" s="55">
        <f>D437+L437+N437+P437+R437+S437+T437+U437</f>
        <v>2827870</v>
      </c>
      <c r="D437" s="56">
        <f t="shared" si="204"/>
        <v>1224820.0000000002</v>
      </c>
      <c r="E437" s="56">
        <f>350*521.2</f>
        <v>182420.00000000003</v>
      </c>
      <c r="F437" s="56">
        <f>800*521.2</f>
        <v>416960.00000000006</v>
      </c>
      <c r="G437" s="56">
        <f>300*521.2</f>
        <v>156360</v>
      </c>
      <c r="H437" s="56">
        <f>500*521.2</f>
        <v>260600.00000000003</v>
      </c>
      <c r="I437" s="56">
        <f>400*521.2</f>
        <v>208480.00000000003</v>
      </c>
      <c r="J437" s="56">
        <f t="shared" si="207"/>
        <v>0</v>
      </c>
      <c r="K437" s="57">
        <v>0</v>
      </c>
      <c r="L437" s="56">
        <v>0</v>
      </c>
      <c r="M437" s="56">
        <v>255.1</v>
      </c>
      <c r="N437" s="56">
        <f>M437*5500</f>
        <v>1403050</v>
      </c>
      <c r="O437" s="56">
        <v>0</v>
      </c>
      <c r="P437" s="56">
        <f>O437*410</f>
        <v>0</v>
      </c>
      <c r="Q437" s="58">
        <v>0</v>
      </c>
      <c r="R437" s="56">
        <v>0</v>
      </c>
      <c r="S437" s="56">
        <f>S107</f>
        <v>0</v>
      </c>
      <c r="T437" s="56">
        <v>0</v>
      </c>
      <c r="U437" s="56">
        <v>200000</v>
      </c>
      <c r="V437" s="59">
        <f t="shared" si="206"/>
        <v>5500</v>
      </c>
    </row>
    <row r="438" spans="1:22" ht="21.95" customHeight="1" x14ac:dyDescent="0.25">
      <c r="A438" s="18" t="s">
        <v>900</v>
      </c>
      <c r="B438" s="27" t="s">
        <v>177</v>
      </c>
      <c r="C438" s="12">
        <f t="shared" si="173"/>
        <v>8052120</v>
      </c>
      <c r="D438" s="20">
        <f t="shared" si="204"/>
        <v>1685670</v>
      </c>
      <c r="E438" s="20">
        <f>350*1605.4</f>
        <v>561890</v>
      </c>
      <c r="F438" s="20">
        <f>800*0</f>
        <v>0</v>
      </c>
      <c r="G438" s="20">
        <f>300*1605.4</f>
        <v>481620</v>
      </c>
      <c r="H438" s="20">
        <f>500*0</f>
        <v>0</v>
      </c>
      <c r="I438" s="20">
        <f>400*1605.4</f>
        <v>642160</v>
      </c>
      <c r="J438" s="20">
        <f t="shared" si="207"/>
        <v>0</v>
      </c>
      <c r="K438" s="21">
        <v>0</v>
      </c>
      <c r="L438" s="20">
        <v>0</v>
      </c>
      <c r="M438" s="20">
        <v>784.7</v>
      </c>
      <c r="N438" s="20">
        <f t="shared" si="208"/>
        <v>4315850</v>
      </c>
      <c r="O438" s="20">
        <v>0</v>
      </c>
      <c r="P438" s="20">
        <f>O438*410</f>
        <v>0</v>
      </c>
      <c r="Q438" s="20">
        <v>650.20000000000005</v>
      </c>
      <c r="R438" s="20">
        <f t="shared" ref="R438:R442" si="209">Q438*3000</f>
        <v>1950600.0000000002</v>
      </c>
      <c r="S438" s="20">
        <v>0</v>
      </c>
      <c r="T438" s="20">
        <v>0</v>
      </c>
      <c r="U438" s="20">
        <v>100000</v>
      </c>
      <c r="V438" s="1">
        <f t="shared" si="206"/>
        <v>5500</v>
      </c>
    </row>
    <row r="439" spans="1:22" ht="21.95" customHeight="1" x14ac:dyDescent="0.25">
      <c r="A439" s="18" t="s">
        <v>901</v>
      </c>
      <c r="B439" s="29" t="s">
        <v>180</v>
      </c>
      <c r="C439" s="12">
        <f t="shared" si="173"/>
        <v>6410750</v>
      </c>
      <c r="D439" s="20">
        <f t="shared" si="204"/>
        <v>1324600</v>
      </c>
      <c r="E439" s="20">
        <f>350*716</f>
        <v>250600</v>
      </c>
      <c r="F439" s="20">
        <f>800*716</f>
        <v>572800</v>
      </c>
      <c r="G439" s="20">
        <f>300*716</f>
        <v>214800</v>
      </c>
      <c r="H439" s="20">
        <f>500*0</f>
        <v>0</v>
      </c>
      <c r="I439" s="20">
        <f>400*716</f>
        <v>286400</v>
      </c>
      <c r="J439" s="20">
        <f t="shared" si="207"/>
        <v>0</v>
      </c>
      <c r="K439" s="21">
        <v>0</v>
      </c>
      <c r="L439" s="20">
        <v>0</v>
      </c>
      <c r="M439" s="20">
        <v>579.29999999999995</v>
      </c>
      <c r="N439" s="20">
        <f t="shared" si="208"/>
        <v>3186149.9999999995</v>
      </c>
      <c r="O439" s="20">
        <v>0</v>
      </c>
      <c r="P439" s="20">
        <v>0</v>
      </c>
      <c r="Q439" s="20">
        <v>600</v>
      </c>
      <c r="R439" s="20">
        <f t="shared" si="209"/>
        <v>1800000</v>
      </c>
      <c r="S439" s="20">
        <f>S1237</f>
        <v>0</v>
      </c>
      <c r="T439" s="20">
        <v>0</v>
      </c>
      <c r="U439" s="20">
        <v>100000</v>
      </c>
      <c r="V439" s="1">
        <f t="shared" si="206"/>
        <v>5500</v>
      </c>
    </row>
    <row r="440" spans="1:22" ht="21.95" customHeight="1" x14ac:dyDescent="0.25">
      <c r="A440" s="18" t="s">
        <v>902</v>
      </c>
      <c r="B440" s="29" t="s">
        <v>181</v>
      </c>
      <c r="C440" s="12">
        <f t="shared" si="173"/>
        <v>4904215</v>
      </c>
      <c r="D440" s="20">
        <f t="shared" si="204"/>
        <v>1302215</v>
      </c>
      <c r="E440" s="20">
        <f>350*703.9</f>
        <v>246365</v>
      </c>
      <c r="F440" s="20">
        <f>800*703.9</f>
        <v>563120</v>
      </c>
      <c r="G440" s="20">
        <f>300*703.9</f>
        <v>211170</v>
      </c>
      <c r="H440" s="20">
        <f>500*0</f>
        <v>0</v>
      </c>
      <c r="I440" s="20">
        <f>400*703.9</f>
        <v>281560</v>
      </c>
      <c r="J440" s="20">
        <f t="shared" si="207"/>
        <v>0</v>
      </c>
      <c r="K440" s="21">
        <v>0</v>
      </c>
      <c r="L440" s="20">
        <v>0</v>
      </c>
      <c r="M440" s="20">
        <v>364</v>
      </c>
      <c r="N440" s="20">
        <f t="shared" si="208"/>
        <v>2002000</v>
      </c>
      <c r="O440" s="20">
        <v>0</v>
      </c>
      <c r="P440" s="20">
        <v>0</v>
      </c>
      <c r="Q440" s="20">
        <v>500</v>
      </c>
      <c r="R440" s="20">
        <f t="shared" si="209"/>
        <v>1500000</v>
      </c>
      <c r="S440" s="20">
        <f>S1238</f>
        <v>0</v>
      </c>
      <c r="T440" s="20">
        <v>0</v>
      </c>
      <c r="U440" s="20">
        <v>100000</v>
      </c>
      <c r="V440" s="1">
        <f t="shared" si="206"/>
        <v>5500</v>
      </c>
    </row>
    <row r="441" spans="1:22" ht="21.95" customHeight="1" x14ac:dyDescent="0.25">
      <c r="A441" s="18" t="s">
        <v>903</v>
      </c>
      <c r="B441" s="27" t="s">
        <v>184</v>
      </c>
      <c r="C441" s="12">
        <f t="shared" si="173"/>
        <v>2957815</v>
      </c>
      <c r="D441" s="20">
        <f t="shared" si="204"/>
        <v>812865</v>
      </c>
      <c r="E441" s="20">
        <f>350*345.9</f>
        <v>121064.99999999999</v>
      </c>
      <c r="F441" s="20">
        <f>800*345.9</f>
        <v>276720</v>
      </c>
      <c r="G441" s="20">
        <f>300*345.9</f>
        <v>103770</v>
      </c>
      <c r="H441" s="20">
        <f>500*345.9</f>
        <v>172950</v>
      </c>
      <c r="I441" s="20">
        <f>400*345.9</f>
        <v>138360</v>
      </c>
      <c r="J441" s="20">
        <f t="shared" si="207"/>
        <v>0</v>
      </c>
      <c r="K441" s="21">
        <v>0</v>
      </c>
      <c r="L441" s="20">
        <v>0</v>
      </c>
      <c r="M441" s="20">
        <v>197.3</v>
      </c>
      <c r="N441" s="20">
        <f t="shared" si="208"/>
        <v>1085150</v>
      </c>
      <c r="O441" s="20">
        <v>0</v>
      </c>
      <c r="P441" s="20">
        <v>0</v>
      </c>
      <c r="Q441" s="20">
        <v>286.60000000000002</v>
      </c>
      <c r="R441" s="20">
        <f t="shared" si="209"/>
        <v>859800.00000000012</v>
      </c>
      <c r="S441" s="20">
        <f>S881</f>
        <v>0</v>
      </c>
      <c r="T441" s="20">
        <v>0</v>
      </c>
      <c r="U441" s="20">
        <v>200000</v>
      </c>
      <c r="V441" s="1">
        <f t="shared" si="206"/>
        <v>5500</v>
      </c>
    </row>
    <row r="442" spans="1:22" ht="21.95" customHeight="1" x14ac:dyDescent="0.25">
      <c r="A442" s="18" t="s">
        <v>904</v>
      </c>
      <c r="B442" s="27" t="s">
        <v>182</v>
      </c>
      <c r="C442" s="12">
        <f t="shared" si="173"/>
        <v>3190910</v>
      </c>
      <c r="D442" s="20">
        <f t="shared" si="204"/>
        <v>931660</v>
      </c>
      <c r="E442" s="20">
        <f>350*503.6</f>
        <v>176260</v>
      </c>
      <c r="F442" s="20">
        <f>800*503.6</f>
        <v>402880</v>
      </c>
      <c r="G442" s="20">
        <f>300*503.6</f>
        <v>151080</v>
      </c>
      <c r="H442" s="20">
        <f>500*0</f>
        <v>0</v>
      </c>
      <c r="I442" s="20">
        <f>400*503.6</f>
        <v>201440</v>
      </c>
      <c r="J442" s="20">
        <f t="shared" si="207"/>
        <v>0</v>
      </c>
      <c r="K442" s="21">
        <v>0</v>
      </c>
      <c r="L442" s="20">
        <v>0</v>
      </c>
      <c r="M442" s="20">
        <v>266.3</v>
      </c>
      <c r="N442" s="20">
        <f t="shared" si="208"/>
        <v>1464650</v>
      </c>
      <c r="O442" s="20">
        <v>0</v>
      </c>
      <c r="P442" s="20">
        <v>0</v>
      </c>
      <c r="Q442" s="20">
        <v>198.2</v>
      </c>
      <c r="R442" s="20">
        <f t="shared" si="209"/>
        <v>594600</v>
      </c>
      <c r="S442" s="20">
        <v>0</v>
      </c>
      <c r="T442" s="20">
        <v>0</v>
      </c>
      <c r="U442" s="20">
        <v>200000</v>
      </c>
      <c r="V442" s="1">
        <f t="shared" si="206"/>
        <v>5500</v>
      </c>
    </row>
    <row r="443" spans="1:22" ht="21.95" customHeight="1" x14ac:dyDescent="0.25">
      <c r="A443" s="18" t="s">
        <v>905</v>
      </c>
      <c r="B443" s="29" t="s">
        <v>183</v>
      </c>
      <c r="C443" s="12">
        <f t="shared" si="173"/>
        <v>1748265</v>
      </c>
      <c r="D443" s="20">
        <f t="shared" si="204"/>
        <v>1548265</v>
      </c>
      <c r="E443" s="20">
        <f>350*836.9</f>
        <v>292915</v>
      </c>
      <c r="F443" s="20">
        <f>800*836.9</f>
        <v>669520</v>
      </c>
      <c r="G443" s="20">
        <f>300*836.9</f>
        <v>251070</v>
      </c>
      <c r="H443" s="20">
        <f>500*0</f>
        <v>0</v>
      </c>
      <c r="I443" s="20">
        <f>400*836.9</f>
        <v>334760</v>
      </c>
      <c r="J443" s="20">
        <f t="shared" si="207"/>
        <v>0</v>
      </c>
      <c r="K443" s="21">
        <v>0</v>
      </c>
      <c r="L443" s="20">
        <v>0</v>
      </c>
      <c r="M443" s="20">
        <v>0</v>
      </c>
      <c r="N443" s="20">
        <f t="shared" ref="N443:N445" si="210">M443*5300</f>
        <v>0</v>
      </c>
      <c r="O443" s="20">
        <v>0</v>
      </c>
      <c r="P443" s="20">
        <v>0</v>
      </c>
      <c r="Q443" s="20">
        <v>0</v>
      </c>
      <c r="R443" s="20">
        <f t="shared" ref="R443" si="211">Q443*2605</f>
        <v>0</v>
      </c>
      <c r="S443" s="20">
        <v>0</v>
      </c>
      <c r="T443" s="20">
        <v>0</v>
      </c>
      <c r="U443" s="20">
        <v>200000</v>
      </c>
      <c r="V443" s="1" t="e">
        <f t="shared" si="206"/>
        <v>#DIV/0!</v>
      </c>
    </row>
    <row r="444" spans="1:22" ht="21.95" customHeight="1" x14ac:dyDescent="0.25">
      <c r="A444" s="18" t="s">
        <v>906</v>
      </c>
      <c r="B444" s="27" t="s">
        <v>189</v>
      </c>
      <c r="C444" s="12">
        <f t="shared" si="173"/>
        <v>5478385</v>
      </c>
      <c r="D444" s="20">
        <f t="shared" si="204"/>
        <v>1863785</v>
      </c>
      <c r="E444" s="20">
        <f>350*793.1</f>
        <v>277585</v>
      </c>
      <c r="F444" s="20">
        <f>800*793.1</f>
        <v>634480</v>
      </c>
      <c r="G444" s="20">
        <f>300*793.1</f>
        <v>237930</v>
      </c>
      <c r="H444" s="20">
        <f>500*793.1</f>
        <v>396550</v>
      </c>
      <c r="I444" s="20">
        <f>400*793.1</f>
        <v>317240</v>
      </c>
      <c r="J444" s="20">
        <f t="shared" si="207"/>
        <v>0</v>
      </c>
      <c r="K444" s="21">
        <v>0</v>
      </c>
      <c r="L444" s="20">
        <v>0</v>
      </c>
      <c r="M444" s="20">
        <v>346.8</v>
      </c>
      <c r="N444" s="20">
        <f t="shared" ref="N444" si="212">M444*5500</f>
        <v>1907400</v>
      </c>
      <c r="O444" s="20">
        <v>0</v>
      </c>
      <c r="P444" s="20">
        <f>O444*410</f>
        <v>0</v>
      </c>
      <c r="Q444" s="20">
        <v>502.4</v>
      </c>
      <c r="R444" s="20">
        <f t="shared" ref="R444:R452" si="213">Q444*3000</f>
        <v>1507200</v>
      </c>
      <c r="S444" s="20">
        <v>0</v>
      </c>
      <c r="T444" s="20">
        <v>0</v>
      </c>
      <c r="U444" s="20">
        <v>200000</v>
      </c>
      <c r="V444" s="1">
        <f t="shared" si="206"/>
        <v>5500</v>
      </c>
    </row>
    <row r="445" spans="1:22" ht="21.95" customHeight="1" x14ac:dyDescent="0.25">
      <c r="A445" s="18" t="s">
        <v>1232</v>
      </c>
      <c r="B445" s="29" t="s">
        <v>188</v>
      </c>
      <c r="C445" s="12">
        <f t="shared" si="173"/>
        <v>7694890</v>
      </c>
      <c r="D445" s="20">
        <f t="shared" si="204"/>
        <v>3569390</v>
      </c>
      <c r="E445" s="20">
        <f>350*1929.4</f>
        <v>675290</v>
      </c>
      <c r="F445" s="20">
        <f>800*1929.4</f>
        <v>1543520</v>
      </c>
      <c r="G445" s="20">
        <f>300*1929.4</f>
        <v>578820</v>
      </c>
      <c r="H445" s="20">
        <f>500*0</f>
        <v>0</v>
      </c>
      <c r="I445" s="20">
        <f>400*1929.4</f>
        <v>771760</v>
      </c>
      <c r="J445" s="20">
        <f t="shared" si="207"/>
        <v>0</v>
      </c>
      <c r="K445" s="21">
        <v>0</v>
      </c>
      <c r="L445" s="20">
        <v>0</v>
      </c>
      <c r="M445" s="20">
        <v>0</v>
      </c>
      <c r="N445" s="20">
        <f t="shared" si="210"/>
        <v>0</v>
      </c>
      <c r="O445" s="20">
        <v>0</v>
      </c>
      <c r="P445" s="20">
        <v>0</v>
      </c>
      <c r="Q445" s="20">
        <v>1308.5</v>
      </c>
      <c r="R445" s="20">
        <f t="shared" si="213"/>
        <v>3925500</v>
      </c>
      <c r="S445" s="20">
        <v>0</v>
      </c>
      <c r="T445" s="20">
        <v>0</v>
      </c>
      <c r="U445" s="20">
        <v>200000</v>
      </c>
      <c r="V445" s="1" t="e">
        <f t="shared" si="206"/>
        <v>#DIV/0!</v>
      </c>
    </row>
    <row r="446" spans="1:22" ht="21.95" customHeight="1" x14ac:dyDescent="0.25">
      <c r="A446" s="18" t="s">
        <v>1233</v>
      </c>
      <c r="B446" s="27" t="s">
        <v>186</v>
      </c>
      <c r="C446" s="12">
        <f t="shared" si="173"/>
        <v>5410645</v>
      </c>
      <c r="D446" s="20">
        <f t="shared" si="204"/>
        <v>1214895</v>
      </c>
      <c r="E446" s="20">
        <f>350*656.7</f>
        <v>229845.00000000003</v>
      </c>
      <c r="F446" s="20">
        <f>800*656.7</f>
        <v>525360</v>
      </c>
      <c r="G446" s="20">
        <f>300*656.7</f>
        <v>197010</v>
      </c>
      <c r="H446" s="20">
        <f>500*0</f>
        <v>0</v>
      </c>
      <c r="I446" s="20">
        <f>400*656.7</f>
        <v>262680</v>
      </c>
      <c r="J446" s="20">
        <f t="shared" si="207"/>
        <v>0</v>
      </c>
      <c r="K446" s="21">
        <v>0</v>
      </c>
      <c r="L446" s="20">
        <v>0</v>
      </c>
      <c r="M446" s="20">
        <v>368.3</v>
      </c>
      <c r="N446" s="20">
        <f t="shared" ref="N446:N452" si="214">M446*5500</f>
        <v>2025650</v>
      </c>
      <c r="O446" s="20">
        <v>0</v>
      </c>
      <c r="P446" s="20">
        <v>0</v>
      </c>
      <c r="Q446" s="8">
        <v>656.7</v>
      </c>
      <c r="R446" s="20">
        <f t="shared" si="213"/>
        <v>1970100.0000000002</v>
      </c>
      <c r="S446" s="20">
        <f>S1073</f>
        <v>0</v>
      </c>
      <c r="T446" s="20">
        <v>0</v>
      </c>
      <c r="U446" s="20">
        <v>200000</v>
      </c>
      <c r="V446" s="1">
        <f t="shared" si="206"/>
        <v>5500</v>
      </c>
    </row>
    <row r="447" spans="1:22" ht="21.95" customHeight="1" x14ac:dyDescent="0.25">
      <c r="A447" s="18" t="s">
        <v>1234</v>
      </c>
      <c r="B447" s="27" t="s">
        <v>187</v>
      </c>
      <c r="C447" s="12">
        <f t="shared" si="173"/>
        <v>5827540</v>
      </c>
      <c r="D447" s="20">
        <f t="shared" si="204"/>
        <v>1514040</v>
      </c>
      <c r="E447" s="20">
        <f>350*818.4</f>
        <v>286440</v>
      </c>
      <c r="F447" s="20">
        <f>800*818.4</f>
        <v>654720</v>
      </c>
      <c r="G447" s="20">
        <f>300*818.4</f>
        <v>245520</v>
      </c>
      <c r="H447" s="20">
        <f>500*0</f>
        <v>0</v>
      </c>
      <c r="I447" s="20">
        <f>400*818.4</f>
        <v>327360</v>
      </c>
      <c r="J447" s="20">
        <f t="shared" si="207"/>
        <v>0</v>
      </c>
      <c r="K447" s="21">
        <v>0</v>
      </c>
      <c r="L447" s="20">
        <v>0</v>
      </c>
      <c r="M447" s="20">
        <v>428</v>
      </c>
      <c r="N447" s="20">
        <f t="shared" si="214"/>
        <v>2354000</v>
      </c>
      <c r="O447" s="20">
        <v>0</v>
      </c>
      <c r="P447" s="20">
        <v>0</v>
      </c>
      <c r="Q447" s="20">
        <v>586.5</v>
      </c>
      <c r="R447" s="20">
        <f t="shared" si="213"/>
        <v>1759500</v>
      </c>
      <c r="S447" s="20">
        <v>0</v>
      </c>
      <c r="T447" s="20">
        <v>0</v>
      </c>
      <c r="U447" s="20">
        <v>200000</v>
      </c>
      <c r="V447" s="1">
        <f t="shared" si="206"/>
        <v>5500</v>
      </c>
    </row>
    <row r="448" spans="1:22" ht="21.95" customHeight="1" x14ac:dyDescent="0.25">
      <c r="A448" s="18" t="s">
        <v>1235</v>
      </c>
      <c r="B448" s="27" t="s">
        <v>190</v>
      </c>
      <c r="C448" s="12">
        <f t="shared" si="173"/>
        <v>2044380</v>
      </c>
      <c r="D448" s="20">
        <f t="shared" si="204"/>
        <v>128380</v>
      </c>
      <c r="E448" s="20">
        <f>350*366.8</f>
        <v>128380</v>
      </c>
      <c r="F448" s="20">
        <f>800*0</f>
        <v>0</v>
      </c>
      <c r="G448" s="20">
        <f>300*0</f>
        <v>0</v>
      </c>
      <c r="H448" s="20">
        <f>500*0</f>
        <v>0</v>
      </c>
      <c r="I448" s="20">
        <f>400*0</f>
        <v>0</v>
      </c>
      <c r="J448" s="20">
        <f t="shared" si="207"/>
        <v>0</v>
      </c>
      <c r="K448" s="21">
        <v>0</v>
      </c>
      <c r="L448" s="20">
        <v>0</v>
      </c>
      <c r="M448" s="20">
        <v>163.19999999999999</v>
      </c>
      <c r="N448" s="20">
        <f t="shared" si="214"/>
        <v>897599.99999999988</v>
      </c>
      <c r="O448" s="20">
        <v>0</v>
      </c>
      <c r="P448" s="20">
        <f>O448*410</f>
        <v>0</v>
      </c>
      <c r="Q448" s="20">
        <v>272.8</v>
      </c>
      <c r="R448" s="20">
        <f t="shared" si="213"/>
        <v>818400</v>
      </c>
      <c r="S448" s="20">
        <v>0</v>
      </c>
      <c r="T448" s="20">
        <v>0</v>
      </c>
      <c r="U448" s="20">
        <v>200000</v>
      </c>
      <c r="V448" s="1">
        <f t="shared" si="206"/>
        <v>5500</v>
      </c>
    </row>
    <row r="449" spans="1:22" ht="21.95" customHeight="1" x14ac:dyDescent="0.25">
      <c r="A449" s="18" t="s">
        <v>1236</v>
      </c>
      <c r="B449" s="29" t="s">
        <v>191</v>
      </c>
      <c r="C449" s="12">
        <f t="shared" si="173"/>
        <v>5464500</v>
      </c>
      <c r="D449" s="20">
        <f t="shared" si="204"/>
        <v>0</v>
      </c>
      <c r="E449" s="20">
        <v>0</v>
      </c>
      <c r="F449" s="20">
        <v>0</v>
      </c>
      <c r="G449" s="20">
        <v>0</v>
      </c>
      <c r="H449" s="20">
        <v>0</v>
      </c>
      <c r="I449" s="20">
        <v>0</v>
      </c>
      <c r="J449" s="20">
        <v>0</v>
      </c>
      <c r="K449" s="21">
        <v>0</v>
      </c>
      <c r="L449" s="20">
        <v>0</v>
      </c>
      <c r="M449" s="20">
        <v>597.4</v>
      </c>
      <c r="N449" s="20">
        <f t="shared" si="214"/>
        <v>3285700</v>
      </c>
      <c r="O449" s="20">
        <v>0</v>
      </c>
      <c r="P449" s="20">
        <f>O449*410</f>
        <v>0</v>
      </c>
      <c r="Q449" s="20">
        <v>659.6</v>
      </c>
      <c r="R449" s="20">
        <f t="shared" si="213"/>
        <v>1978800</v>
      </c>
      <c r="S449" s="20">
        <f>S885</f>
        <v>0</v>
      </c>
      <c r="T449" s="20">
        <v>0</v>
      </c>
      <c r="U449" s="20">
        <v>200000</v>
      </c>
      <c r="V449" s="1">
        <f t="shared" si="206"/>
        <v>5500</v>
      </c>
    </row>
    <row r="450" spans="1:22" ht="21.95" customHeight="1" x14ac:dyDescent="0.25">
      <c r="A450" s="18" t="s">
        <v>1237</v>
      </c>
      <c r="B450" s="29" t="s">
        <v>192</v>
      </c>
      <c r="C450" s="12">
        <f t="shared" si="173"/>
        <v>3538675</v>
      </c>
      <c r="D450" s="20">
        <f t="shared" si="204"/>
        <v>896325</v>
      </c>
      <c r="E450" s="20">
        <f>350*484.5</f>
        <v>169575</v>
      </c>
      <c r="F450" s="20">
        <f>800*484.5</f>
        <v>387600</v>
      </c>
      <c r="G450" s="20">
        <f>300*484.5</f>
        <v>145350</v>
      </c>
      <c r="H450" s="20">
        <f>500*0</f>
        <v>0</v>
      </c>
      <c r="I450" s="20">
        <f>400*484.5</f>
        <v>193800</v>
      </c>
      <c r="J450" s="20">
        <f>350*0</f>
        <v>0</v>
      </c>
      <c r="K450" s="21">
        <v>0</v>
      </c>
      <c r="L450" s="20">
        <v>0</v>
      </c>
      <c r="M450" s="20">
        <v>253.1</v>
      </c>
      <c r="N450" s="20">
        <f t="shared" si="214"/>
        <v>1392050</v>
      </c>
      <c r="O450" s="20">
        <v>0</v>
      </c>
      <c r="P450" s="20">
        <f>O450*410</f>
        <v>0</v>
      </c>
      <c r="Q450" s="20">
        <v>350.1</v>
      </c>
      <c r="R450" s="20">
        <f t="shared" si="213"/>
        <v>1050300</v>
      </c>
      <c r="S450" s="20">
        <f>S887</f>
        <v>0</v>
      </c>
      <c r="T450" s="20">
        <v>0</v>
      </c>
      <c r="U450" s="20">
        <v>200000</v>
      </c>
      <c r="V450" s="1">
        <f t="shared" si="206"/>
        <v>5500</v>
      </c>
    </row>
    <row r="451" spans="1:22" ht="21.95" customHeight="1" x14ac:dyDescent="0.25">
      <c r="A451" s="18" t="s">
        <v>1238</v>
      </c>
      <c r="B451" s="27" t="s">
        <v>193</v>
      </c>
      <c r="C451" s="12">
        <f t="shared" si="173"/>
        <v>4949800</v>
      </c>
      <c r="D451" s="20">
        <f t="shared" si="204"/>
        <v>0</v>
      </c>
      <c r="E451" s="20">
        <v>0</v>
      </c>
      <c r="F451" s="20">
        <v>0</v>
      </c>
      <c r="G451" s="20">
        <v>0</v>
      </c>
      <c r="H451" s="20">
        <v>0</v>
      </c>
      <c r="I451" s="20">
        <v>0</v>
      </c>
      <c r="J451" s="20">
        <v>0</v>
      </c>
      <c r="K451" s="21">
        <v>0</v>
      </c>
      <c r="L451" s="20">
        <v>0</v>
      </c>
      <c r="M451" s="20">
        <v>863.6</v>
      </c>
      <c r="N451" s="20">
        <f t="shared" si="214"/>
        <v>4749800</v>
      </c>
      <c r="O451" s="20">
        <v>0</v>
      </c>
      <c r="P451" s="20">
        <v>0</v>
      </c>
      <c r="Q451" s="20">
        <v>0</v>
      </c>
      <c r="R451" s="20">
        <f t="shared" si="213"/>
        <v>0</v>
      </c>
      <c r="S451" s="20">
        <v>0</v>
      </c>
      <c r="T451" s="20">
        <v>0</v>
      </c>
      <c r="U451" s="20">
        <v>200000</v>
      </c>
      <c r="V451" s="1">
        <f t="shared" si="206"/>
        <v>5500</v>
      </c>
    </row>
    <row r="452" spans="1:22" ht="21.95" customHeight="1" x14ac:dyDescent="0.25">
      <c r="A452" s="18" t="s">
        <v>1239</v>
      </c>
      <c r="B452" s="27" t="s">
        <v>194</v>
      </c>
      <c r="C452" s="12">
        <f t="shared" si="173"/>
        <v>4322800</v>
      </c>
      <c r="D452" s="20">
        <f t="shared" si="204"/>
        <v>0</v>
      </c>
      <c r="E452" s="20">
        <v>0</v>
      </c>
      <c r="F452" s="20">
        <v>0</v>
      </c>
      <c r="G452" s="20">
        <v>0</v>
      </c>
      <c r="H452" s="20">
        <v>0</v>
      </c>
      <c r="I452" s="20">
        <v>0</v>
      </c>
      <c r="J452" s="20">
        <v>0</v>
      </c>
      <c r="K452" s="21">
        <v>0</v>
      </c>
      <c r="L452" s="20">
        <v>0</v>
      </c>
      <c r="M452" s="20">
        <v>749.6</v>
      </c>
      <c r="N452" s="20">
        <f t="shared" si="214"/>
        <v>4122800</v>
      </c>
      <c r="O452" s="20">
        <v>0</v>
      </c>
      <c r="P452" s="20">
        <v>0</v>
      </c>
      <c r="Q452" s="20">
        <v>0</v>
      </c>
      <c r="R452" s="20">
        <f t="shared" si="213"/>
        <v>0</v>
      </c>
      <c r="S452" s="20">
        <v>0</v>
      </c>
      <c r="T452" s="20">
        <v>0</v>
      </c>
      <c r="U452" s="20">
        <v>200000</v>
      </c>
      <c r="V452" s="1">
        <f t="shared" si="206"/>
        <v>5500</v>
      </c>
    </row>
    <row r="453" spans="1:22" ht="45" customHeight="1" x14ac:dyDescent="0.25">
      <c r="A453" s="63" t="s">
        <v>225</v>
      </c>
      <c r="B453" s="63"/>
      <c r="C453" s="12">
        <f t="shared" si="173"/>
        <v>3806880</v>
      </c>
      <c r="D453" s="12">
        <f t="shared" ref="D453:U453" si="215">SUM(D454)</f>
        <v>147000</v>
      </c>
      <c r="E453" s="12">
        <f t="shared" si="215"/>
        <v>147000</v>
      </c>
      <c r="F453" s="12">
        <f t="shared" si="215"/>
        <v>0</v>
      </c>
      <c r="G453" s="12">
        <f t="shared" si="215"/>
        <v>0</v>
      </c>
      <c r="H453" s="12">
        <f t="shared" si="215"/>
        <v>0</v>
      </c>
      <c r="I453" s="12">
        <f t="shared" si="215"/>
        <v>0</v>
      </c>
      <c r="J453" s="12">
        <f t="shared" si="215"/>
        <v>0</v>
      </c>
      <c r="K453" s="13">
        <f t="shared" si="215"/>
        <v>0</v>
      </c>
      <c r="L453" s="12">
        <f t="shared" si="215"/>
        <v>0</v>
      </c>
      <c r="M453" s="12">
        <f t="shared" si="215"/>
        <v>340.7</v>
      </c>
      <c r="N453" s="12">
        <f t="shared" si="215"/>
        <v>1873850</v>
      </c>
      <c r="O453" s="12">
        <f t="shared" si="215"/>
        <v>0</v>
      </c>
      <c r="P453" s="12">
        <f t="shared" si="215"/>
        <v>0</v>
      </c>
      <c r="Q453" s="12">
        <f t="shared" si="215"/>
        <v>509.23</v>
      </c>
      <c r="R453" s="12">
        <f t="shared" si="215"/>
        <v>1527690</v>
      </c>
      <c r="S453" s="12">
        <f t="shared" si="215"/>
        <v>158340</v>
      </c>
      <c r="T453" s="12">
        <f t="shared" si="215"/>
        <v>0</v>
      </c>
      <c r="U453" s="12">
        <f t="shared" si="215"/>
        <v>100000</v>
      </c>
    </row>
    <row r="454" spans="1:22" ht="21.95" customHeight="1" x14ac:dyDescent="0.25">
      <c r="A454" s="18" t="s">
        <v>1240</v>
      </c>
      <c r="B454" s="25" t="s">
        <v>227</v>
      </c>
      <c r="C454" s="12">
        <f t="shared" si="173"/>
        <v>3806880</v>
      </c>
      <c r="D454" s="20">
        <f t="shared" ref="D454" si="216">SUM(E454:J454)</f>
        <v>147000</v>
      </c>
      <c r="E454" s="20">
        <f>350*420</f>
        <v>147000</v>
      </c>
      <c r="F454" s="20">
        <f>800*0</f>
        <v>0</v>
      </c>
      <c r="G454" s="20">
        <f>300*0</f>
        <v>0</v>
      </c>
      <c r="H454" s="20">
        <f>500*0</f>
        <v>0</v>
      </c>
      <c r="I454" s="20">
        <f>400*0</f>
        <v>0</v>
      </c>
      <c r="J454" s="20">
        <f>350*0</f>
        <v>0</v>
      </c>
      <c r="K454" s="21">
        <v>0</v>
      </c>
      <c r="L454" s="20">
        <v>0</v>
      </c>
      <c r="M454" s="20">
        <v>340.7</v>
      </c>
      <c r="N454" s="20">
        <f t="shared" ref="N454" si="217">M454*5500</f>
        <v>1873850</v>
      </c>
      <c r="O454" s="20">
        <v>0</v>
      </c>
      <c r="P454" s="20">
        <v>0</v>
      </c>
      <c r="Q454" s="20">
        <v>509.23</v>
      </c>
      <c r="R454" s="20">
        <f>Q454*3000</f>
        <v>1527690</v>
      </c>
      <c r="S454" s="20">
        <v>158340</v>
      </c>
      <c r="T454" s="20">
        <v>0</v>
      </c>
      <c r="U454" s="20">
        <v>100000</v>
      </c>
      <c r="V454" s="1">
        <f t="shared" ref="V454" si="218">N454/M454</f>
        <v>5500</v>
      </c>
    </row>
    <row r="455" spans="1:22" ht="45" customHeight="1" x14ac:dyDescent="0.25">
      <c r="A455" s="63" t="s">
        <v>224</v>
      </c>
      <c r="B455" s="63"/>
      <c r="C455" s="12">
        <f t="shared" si="173"/>
        <v>34896110</v>
      </c>
      <c r="D455" s="39">
        <f t="shared" ref="D455:U455" si="219">SUM(D456:D464)</f>
        <v>8945105</v>
      </c>
      <c r="E455" s="39">
        <f t="shared" si="219"/>
        <v>1558515</v>
      </c>
      <c r="F455" s="39">
        <f t="shared" si="219"/>
        <v>3562320</v>
      </c>
      <c r="G455" s="39">
        <f t="shared" si="219"/>
        <v>1432880</v>
      </c>
      <c r="H455" s="39">
        <f t="shared" si="219"/>
        <v>1328550</v>
      </c>
      <c r="I455" s="39">
        <f t="shared" si="219"/>
        <v>1062840</v>
      </c>
      <c r="J455" s="39">
        <f t="shared" si="219"/>
        <v>0</v>
      </c>
      <c r="K455" s="40">
        <f t="shared" si="219"/>
        <v>0</v>
      </c>
      <c r="L455" s="39">
        <f t="shared" si="219"/>
        <v>0</v>
      </c>
      <c r="M455" s="39">
        <f t="shared" si="219"/>
        <v>3009.4700000000003</v>
      </c>
      <c r="N455" s="39">
        <f t="shared" si="219"/>
        <v>16552085</v>
      </c>
      <c r="O455" s="39">
        <f t="shared" si="219"/>
        <v>0</v>
      </c>
      <c r="P455" s="39">
        <f t="shared" si="219"/>
        <v>0</v>
      </c>
      <c r="Q455" s="39">
        <f t="shared" si="219"/>
        <v>2599.54</v>
      </c>
      <c r="R455" s="39">
        <f t="shared" si="219"/>
        <v>7798620</v>
      </c>
      <c r="S455" s="39">
        <f t="shared" si="219"/>
        <v>300300</v>
      </c>
      <c r="T455" s="39">
        <f t="shared" si="219"/>
        <v>0</v>
      </c>
      <c r="U455" s="39">
        <f t="shared" si="219"/>
        <v>1300000</v>
      </c>
    </row>
    <row r="456" spans="1:22" ht="21.95" customHeight="1" x14ac:dyDescent="0.25">
      <c r="A456" s="18" t="s">
        <v>1241</v>
      </c>
      <c r="B456" s="25" t="s">
        <v>215</v>
      </c>
      <c r="C456" s="12">
        <f t="shared" si="173"/>
        <v>3917220</v>
      </c>
      <c r="D456" s="20">
        <f t="shared" ref="D456:D464" si="220">SUM(E456:J456)</f>
        <v>730510</v>
      </c>
      <c r="E456" s="20">
        <f>350*503.8</f>
        <v>176330</v>
      </c>
      <c r="F456" s="20">
        <f>800*503.8</f>
        <v>403040</v>
      </c>
      <c r="G456" s="20">
        <f>300*503.8</f>
        <v>151140</v>
      </c>
      <c r="H456" s="20">
        <f>500*0</f>
        <v>0</v>
      </c>
      <c r="I456" s="20">
        <f>400*0</f>
        <v>0</v>
      </c>
      <c r="J456" s="20">
        <f t="shared" ref="J456:J461" si="221">350*0</f>
        <v>0</v>
      </c>
      <c r="K456" s="21">
        <v>0</v>
      </c>
      <c r="L456" s="20">
        <v>0</v>
      </c>
      <c r="M456" s="8">
        <v>415.42</v>
      </c>
      <c r="N456" s="20">
        <f t="shared" ref="N456:N462" si="222">M456*5500</f>
        <v>2284810</v>
      </c>
      <c r="O456" s="20">
        <v>0</v>
      </c>
      <c r="P456" s="20">
        <v>0</v>
      </c>
      <c r="Q456" s="20">
        <v>267.3</v>
      </c>
      <c r="R456" s="20">
        <f t="shared" ref="R456:R464" si="223">Q456*3000</f>
        <v>801900</v>
      </c>
      <c r="S456" s="20">
        <v>0</v>
      </c>
      <c r="T456" s="20">
        <v>0</v>
      </c>
      <c r="U456" s="20">
        <v>100000</v>
      </c>
      <c r="V456" s="1">
        <f t="shared" ref="V456:V464" si="224">N456/M456</f>
        <v>5500</v>
      </c>
    </row>
    <row r="457" spans="1:22" ht="21.95" customHeight="1" x14ac:dyDescent="0.25">
      <c r="A457" s="18" t="s">
        <v>1242</v>
      </c>
      <c r="B457" s="25" t="s">
        <v>216</v>
      </c>
      <c r="C457" s="12">
        <f t="shared" si="173"/>
        <v>4618710</v>
      </c>
      <c r="D457" s="20">
        <f t="shared" si="220"/>
        <v>728335</v>
      </c>
      <c r="E457" s="20">
        <f>350*502.3</f>
        <v>175805</v>
      </c>
      <c r="F457" s="20">
        <f>800*502.3</f>
        <v>401840</v>
      </c>
      <c r="G457" s="20">
        <f>300*502.3</f>
        <v>150690</v>
      </c>
      <c r="H457" s="20">
        <f>500*0</f>
        <v>0</v>
      </c>
      <c r="I457" s="20">
        <f>400*0</f>
        <v>0</v>
      </c>
      <c r="J457" s="20">
        <f t="shared" si="221"/>
        <v>0</v>
      </c>
      <c r="K457" s="21">
        <v>0</v>
      </c>
      <c r="L457" s="20">
        <v>0</v>
      </c>
      <c r="M457" s="8">
        <v>410.85</v>
      </c>
      <c r="N457" s="20">
        <f t="shared" si="222"/>
        <v>2259675</v>
      </c>
      <c r="O457" s="20">
        <v>0</v>
      </c>
      <c r="P457" s="20">
        <v>0</v>
      </c>
      <c r="Q457" s="20">
        <v>476.9</v>
      </c>
      <c r="R457" s="20">
        <f t="shared" si="223"/>
        <v>1430700</v>
      </c>
      <c r="S457" s="20">
        <v>0</v>
      </c>
      <c r="T457" s="20">
        <v>0</v>
      </c>
      <c r="U457" s="20">
        <v>200000</v>
      </c>
      <c r="V457" s="1">
        <f t="shared" si="224"/>
        <v>5500</v>
      </c>
    </row>
    <row r="458" spans="1:22" ht="21.95" customHeight="1" x14ac:dyDescent="0.25">
      <c r="A458" s="18" t="s">
        <v>1243</v>
      </c>
      <c r="B458" s="25" t="s">
        <v>217</v>
      </c>
      <c r="C458" s="12">
        <f t="shared" si="173"/>
        <v>4714375</v>
      </c>
      <c r="D458" s="20">
        <f t="shared" si="220"/>
        <v>618715</v>
      </c>
      <c r="E458" s="20">
        <f>350*426.7</f>
        <v>149345</v>
      </c>
      <c r="F458" s="20">
        <f>800*426.7</f>
        <v>341360</v>
      </c>
      <c r="G458" s="20">
        <f>300*426.7</f>
        <v>128010</v>
      </c>
      <c r="H458" s="20">
        <f>500*0</f>
        <v>0</v>
      </c>
      <c r="I458" s="20">
        <f>400*0</f>
        <v>0</v>
      </c>
      <c r="J458" s="20">
        <f t="shared" si="221"/>
        <v>0</v>
      </c>
      <c r="K458" s="9">
        <v>0</v>
      </c>
      <c r="L458" s="8">
        <v>0</v>
      </c>
      <c r="M458" s="8">
        <v>533.32000000000005</v>
      </c>
      <c r="N458" s="20">
        <f t="shared" si="222"/>
        <v>2933260.0000000005</v>
      </c>
      <c r="O458" s="8">
        <v>0</v>
      </c>
      <c r="P458" s="8">
        <v>0</v>
      </c>
      <c r="Q458" s="8">
        <v>320.8</v>
      </c>
      <c r="R458" s="20">
        <f t="shared" si="223"/>
        <v>962400</v>
      </c>
      <c r="S458" s="8">
        <v>0</v>
      </c>
      <c r="T458" s="20">
        <v>0</v>
      </c>
      <c r="U458" s="8">
        <v>200000</v>
      </c>
      <c r="V458" s="1">
        <f t="shared" si="224"/>
        <v>5500</v>
      </c>
    </row>
    <row r="459" spans="1:22" ht="21.95" customHeight="1" x14ac:dyDescent="0.25">
      <c r="A459" s="18" t="s">
        <v>1244</v>
      </c>
      <c r="B459" s="25" t="s">
        <v>218</v>
      </c>
      <c r="C459" s="12">
        <f t="shared" si="173"/>
        <v>3926625</v>
      </c>
      <c r="D459" s="20">
        <f t="shared" si="220"/>
        <v>526350</v>
      </c>
      <c r="E459" s="20">
        <f>350*363</f>
        <v>127050</v>
      </c>
      <c r="F459" s="20">
        <f>800*363</f>
        <v>290400</v>
      </c>
      <c r="G459" s="20">
        <f>300*363</f>
        <v>108900</v>
      </c>
      <c r="H459" s="20">
        <f>500*0</f>
        <v>0</v>
      </c>
      <c r="I459" s="20">
        <f>400*0</f>
        <v>0</v>
      </c>
      <c r="J459" s="20">
        <f t="shared" si="221"/>
        <v>0</v>
      </c>
      <c r="K459" s="21">
        <v>0</v>
      </c>
      <c r="L459" s="20">
        <v>0</v>
      </c>
      <c r="M459" s="20">
        <v>454.25</v>
      </c>
      <c r="N459" s="20">
        <f t="shared" si="222"/>
        <v>2498375</v>
      </c>
      <c r="O459" s="20">
        <v>0</v>
      </c>
      <c r="P459" s="20">
        <v>0</v>
      </c>
      <c r="Q459" s="20">
        <v>267.3</v>
      </c>
      <c r="R459" s="20">
        <f t="shared" si="223"/>
        <v>801900</v>
      </c>
      <c r="S459" s="20">
        <v>0</v>
      </c>
      <c r="T459" s="20">
        <v>0</v>
      </c>
      <c r="U459" s="20">
        <v>100000</v>
      </c>
      <c r="V459" s="1">
        <f t="shared" si="224"/>
        <v>5500</v>
      </c>
    </row>
    <row r="460" spans="1:22" ht="21.95" customHeight="1" x14ac:dyDescent="0.25">
      <c r="A460" s="18" t="s">
        <v>1245</v>
      </c>
      <c r="B460" s="25" t="s">
        <v>219</v>
      </c>
      <c r="C460" s="12">
        <f t="shared" si="173"/>
        <v>5125970</v>
      </c>
      <c r="D460" s="20">
        <f t="shared" si="220"/>
        <v>995930</v>
      </c>
      <c r="E460" s="20">
        <f>350*423.8</f>
        <v>148330</v>
      </c>
      <c r="F460" s="20">
        <f>800*423.8</f>
        <v>339040</v>
      </c>
      <c r="G460" s="20">
        <f>300*423.8</f>
        <v>127140</v>
      </c>
      <c r="H460" s="20">
        <f>500*423.8</f>
        <v>211900</v>
      </c>
      <c r="I460" s="20">
        <f>400*423.8</f>
        <v>169520</v>
      </c>
      <c r="J460" s="20">
        <f t="shared" si="221"/>
        <v>0</v>
      </c>
      <c r="K460" s="21">
        <v>0</v>
      </c>
      <c r="L460" s="20">
        <v>0</v>
      </c>
      <c r="M460" s="20">
        <v>487.88</v>
      </c>
      <c r="N460" s="20">
        <f t="shared" si="222"/>
        <v>2683340</v>
      </c>
      <c r="O460" s="20">
        <v>0</v>
      </c>
      <c r="P460" s="20">
        <v>0</v>
      </c>
      <c r="Q460" s="20">
        <v>395</v>
      </c>
      <c r="R460" s="20">
        <f t="shared" si="223"/>
        <v>1185000</v>
      </c>
      <c r="S460" s="20">
        <v>161700</v>
      </c>
      <c r="T460" s="20">
        <v>0</v>
      </c>
      <c r="U460" s="20">
        <v>100000</v>
      </c>
      <c r="V460" s="1">
        <f t="shared" si="224"/>
        <v>5500</v>
      </c>
    </row>
    <row r="461" spans="1:22" ht="21.95" customHeight="1" x14ac:dyDescent="0.25">
      <c r="A461" s="18" t="s">
        <v>1246</v>
      </c>
      <c r="B461" s="25" t="s">
        <v>220</v>
      </c>
      <c r="C461" s="12">
        <f t="shared" si="173"/>
        <v>4504635</v>
      </c>
      <c r="D461" s="20">
        <f t="shared" si="220"/>
        <v>688785</v>
      </c>
      <c r="E461" s="20">
        <f>350*293.1</f>
        <v>102585.00000000001</v>
      </c>
      <c r="F461" s="20">
        <f>800*293.1</f>
        <v>234480.00000000003</v>
      </c>
      <c r="G461" s="20">
        <f>300*293.1</f>
        <v>87930</v>
      </c>
      <c r="H461" s="20">
        <f>500*293.1</f>
        <v>146550</v>
      </c>
      <c r="I461" s="20">
        <f>400*293.1</f>
        <v>117240.00000000001</v>
      </c>
      <c r="J461" s="20">
        <f t="shared" si="221"/>
        <v>0</v>
      </c>
      <c r="K461" s="21">
        <v>0</v>
      </c>
      <c r="L461" s="20">
        <v>0</v>
      </c>
      <c r="M461" s="20">
        <v>371.5</v>
      </c>
      <c r="N461" s="20">
        <f t="shared" si="222"/>
        <v>2043250</v>
      </c>
      <c r="O461" s="20">
        <v>0</v>
      </c>
      <c r="P461" s="20">
        <v>0</v>
      </c>
      <c r="Q461" s="20">
        <v>478</v>
      </c>
      <c r="R461" s="20">
        <f t="shared" si="223"/>
        <v>1434000</v>
      </c>
      <c r="S461" s="20">
        <v>138600</v>
      </c>
      <c r="T461" s="20">
        <v>0</v>
      </c>
      <c r="U461" s="20">
        <v>200000</v>
      </c>
      <c r="V461" s="1">
        <f t="shared" si="224"/>
        <v>5500</v>
      </c>
    </row>
    <row r="462" spans="1:22" ht="21.95" customHeight="1" x14ac:dyDescent="0.25">
      <c r="A462" s="18" t="s">
        <v>1247</v>
      </c>
      <c r="B462" s="25" t="s">
        <v>1460</v>
      </c>
      <c r="C462" s="12">
        <f t="shared" si="173"/>
        <v>3232095</v>
      </c>
      <c r="D462" s="20">
        <f t="shared" si="220"/>
        <v>0</v>
      </c>
      <c r="E462" s="20">
        <v>0</v>
      </c>
      <c r="F462" s="20">
        <v>0</v>
      </c>
      <c r="G462" s="20">
        <v>0</v>
      </c>
      <c r="H462" s="20">
        <v>0</v>
      </c>
      <c r="I462" s="20">
        <v>0</v>
      </c>
      <c r="J462" s="20">
        <v>0</v>
      </c>
      <c r="K462" s="21">
        <v>0</v>
      </c>
      <c r="L462" s="20">
        <v>0</v>
      </c>
      <c r="M462" s="20">
        <v>336.25</v>
      </c>
      <c r="N462" s="20">
        <f t="shared" si="222"/>
        <v>1849375</v>
      </c>
      <c r="O462" s="20">
        <v>0</v>
      </c>
      <c r="P462" s="20">
        <v>0</v>
      </c>
      <c r="Q462" s="20">
        <v>394.24</v>
      </c>
      <c r="R462" s="20">
        <f t="shared" si="223"/>
        <v>1182720</v>
      </c>
      <c r="S462" s="20">
        <v>0</v>
      </c>
      <c r="T462" s="20">
        <v>0</v>
      </c>
      <c r="U462" s="20">
        <v>200000</v>
      </c>
      <c r="V462" s="1">
        <f t="shared" si="224"/>
        <v>5500</v>
      </c>
    </row>
    <row r="463" spans="1:22" ht="21.95" customHeight="1" x14ac:dyDescent="0.25">
      <c r="A463" s="18" t="s">
        <v>1248</v>
      </c>
      <c r="B463" s="25" t="s">
        <v>1586</v>
      </c>
      <c r="C463" s="12">
        <f t="shared" si="173"/>
        <v>2404240</v>
      </c>
      <c r="D463" s="20">
        <f t="shared" si="220"/>
        <v>2304240</v>
      </c>
      <c r="E463" s="20">
        <f>350*960.1</f>
        <v>336035</v>
      </c>
      <c r="F463" s="20">
        <f>800*960.1</f>
        <v>768080</v>
      </c>
      <c r="G463" s="20">
        <f>350*960.1</f>
        <v>336035</v>
      </c>
      <c r="H463" s="20">
        <f>500*960.1</f>
        <v>480050</v>
      </c>
      <c r="I463" s="20">
        <f>400*960.1</f>
        <v>384040</v>
      </c>
      <c r="J463" s="20">
        <v>0</v>
      </c>
      <c r="K463" s="21">
        <v>0</v>
      </c>
      <c r="L463" s="20">
        <v>0</v>
      </c>
      <c r="M463" s="20">
        <v>0</v>
      </c>
      <c r="N463" s="20">
        <v>0</v>
      </c>
      <c r="O463" s="20">
        <v>0</v>
      </c>
      <c r="P463" s="20">
        <v>0</v>
      </c>
      <c r="Q463" s="20">
        <v>0</v>
      </c>
      <c r="R463" s="20">
        <f t="shared" si="223"/>
        <v>0</v>
      </c>
      <c r="S463" s="20">
        <v>0</v>
      </c>
      <c r="T463" s="20">
        <v>0</v>
      </c>
      <c r="U463" s="20">
        <v>100000</v>
      </c>
      <c r="V463" s="1" t="e">
        <f t="shared" si="224"/>
        <v>#DIV/0!</v>
      </c>
    </row>
    <row r="464" spans="1:22" ht="21.95" customHeight="1" x14ac:dyDescent="0.25">
      <c r="A464" s="18" t="s">
        <v>1249</v>
      </c>
      <c r="B464" s="25" t="s">
        <v>1587</v>
      </c>
      <c r="C464" s="12">
        <f t="shared" si="173"/>
        <v>2452240</v>
      </c>
      <c r="D464" s="20">
        <f t="shared" si="220"/>
        <v>2352240</v>
      </c>
      <c r="E464" s="20">
        <f>350*980.1</f>
        <v>343035</v>
      </c>
      <c r="F464" s="20">
        <f>800*980.1</f>
        <v>784080</v>
      </c>
      <c r="G464" s="20">
        <f>350*980.1</f>
        <v>343035</v>
      </c>
      <c r="H464" s="20">
        <f>500*980.1</f>
        <v>490050</v>
      </c>
      <c r="I464" s="20">
        <f>400*980.1</f>
        <v>392040</v>
      </c>
      <c r="J464" s="20">
        <v>0</v>
      </c>
      <c r="K464" s="21">
        <v>0</v>
      </c>
      <c r="L464" s="20">
        <v>0</v>
      </c>
      <c r="M464" s="20">
        <v>0</v>
      </c>
      <c r="N464" s="20">
        <v>0</v>
      </c>
      <c r="O464" s="20">
        <v>0</v>
      </c>
      <c r="P464" s="20">
        <v>0</v>
      </c>
      <c r="Q464" s="20">
        <v>0</v>
      </c>
      <c r="R464" s="20">
        <f t="shared" si="223"/>
        <v>0</v>
      </c>
      <c r="S464" s="20">
        <v>0</v>
      </c>
      <c r="T464" s="20">
        <v>0</v>
      </c>
      <c r="U464" s="20">
        <v>100000</v>
      </c>
      <c r="V464" s="1" t="e">
        <f t="shared" si="224"/>
        <v>#DIV/0!</v>
      </c>
    </row>
    <row r="465" spans="1:22" ht="45" customHeight="1" x14ac:dyDescent="0.25">
      <c r="A465" s="63" t="s">
        <v>228</v>
      </c>
      <c r="B465" s="63"/>
      <c r="C465" s="12">
        <f t="shared" si="173"/>
        <v>32789087.5</v>
      </c>
      <c r="D465" s="12">
        <f t="shared" ref="D465:U465" si="225">SUM(D466:D472)</f>
        <v>3083489</v>
      </c>
      <c r="E465" s="12">
        <f t="shared" si="225"/>
        <v>610834</v>
      </c>
      <c r="F465" s="12">
        <f t="shared" si="225"/>
        <v>858112</v>
      </c>
      <c r="G465" s="12">
        <f t="shared" si="225"/>
        <v>537527</v>
      </c>
      <c r="H465" s="12">
        <f t="shared" si="225"/>
        <v>536320</v>
      </c>
      <c r="I465" s="12">
        <f t="shared" si="225"/>
        <v>540696</v>
      </c>
      <c r="J465" s="12">
        <f t="shared" si="225"/>
        <v>0</v>
      </c>
      <c r="K465" s="13">
        <f t="shared" si="225"/>
        <v>0</v>
      </c>
      <c r="L465" s="12">
        <f t="shared" si="225"/>
        <v>0</v>
      </c>
      <c r="M465" s="12">
        <f t="shared" si="225"/>
        <v>3184.45</v>
      </c>
      <c r="N465" s="12">
        <f t="shared" si="225"/>
        <v>16618812.5</v>
      </c>
      <c r="O465" s="12">
        <f t="shared" si="225"/>
        <v>0</v>
      </c>
      <c r="P465" s="12">
        <f t="shared" si="225"/>
        <v>0</v>
      </c>
      <c r="Q465" s="12">
        <f t="shared" si="225"/>
        <v>3655.9</v>
      </c>
      <c r="R465" s="12">
        <f t="shared" si="225"/>
        <v>10967700</v>
      </c>
      <c r="S465" s="12">
        <f t="shared" si="225"/>
        <v>919086</v>
      </c>
      <c r="T465" s="12">
        <f t="shared" si="225"/>
        <v>0</v>
      </c>
      <c r="U465" s="12">
        <f t="shared" si="225"/>
        <v>1200000</v>
      </c>
    </row>
    <row r="466" spans="1:22" ht="21.95" customHeight="1" x14ac:dyDescent="0.25">
      <c r="A466" s="18" t="s">
        <v>1250</v>
      </c>
      <c r="B466" s="25" t="s">
        <v>229</v>
      </c>
      <c r="C466" s="12">
        <f t="shared" si="173"/>
        <v>6725761</v>
      </c>
      <c r="D466" s="20">
        <f t="shared" ref="D466:D472" si="226">SUM(E466:J466)</f>
        <v>1209169</v>
      </c>
      <c r="E466" s="20">
        <f>350*514.54</f>
        <v>180089</v>
      </c>
      <c r="F466" s="20">
        <f>800*514.54</f>
        <v>411632</v>
      </c>
      <c r="G466" s="20">
        <f>300*514.54</f>
        <v>154362</v>
      </c>
      <c r="H466" s="20">
        <f>500*514.54</f>
        <v>257269.99999999997</v>
      </c>
      <c r="I466" s="20">
        <f>400*514.54</f>
        <v>205816</v>
      </c>
      <c r="J466" s="20">
        <f>350*0</f>
        <v>0</v>
      </c>
      <c r="K466" s="21">
        <v>0</v>
      </c>
      <c r="L466" s="20">
        <v>0</v>
      </c>
      <c r="M466" s="20">
        <v>679.36</v>
      </c>
      <c r="N466" s="20">
        <f>M466*5500</f>
        <v>3736480</v>
      </c>
      <c r="O466" s="20">
        <v>0</v>
      </c>
      <c r="P466" s="20">
        <v>0</v>
      </c>
      <c r="Q466" s="20">
        <v>464.46</v>
      </c>
      <c r="R466" s="20">
        <f t="shared" ref="R466:R472" si="227">Q466*3000</f>
        <v>1393380</v>
      </c>
      <c r="S466" s="20">
        <v>186732</v>
      </c>
      <c r="T466" s="20">
        <v>0</v>
      </c>
      <c r="U466" s="20">
        <v>200000</v>
      </c>
      <c r="V466" s="1">
        <f t="shared" ref="V466:V472" si="228">N466/M466</f>
        <v>5500</v>
      </c>
    </row>
    <row r="467" spans="1:22" ht="21.95" customHeight="1" x14ac:dyDescent="0.25">
      <c r="A467" s="18" t="s">
        <v>1251</v>
      </c>
      <c r="B467" s="25" t="s">
        <v>230</v>
      </c>
      <c r="C467" s="12">
        <f t="shared" si="173"/>
        <v>6844705</v>
      </c>
      <c r="D467" s="20">
        <f t="shared" si="226"/>
        <v>1311535</v>
      </c>
      <c r="E467" s="20">
        <f>350*558.1</f>
        <v>195335</v>
      </c>
      <c r="F467" s="20">
        <f>800*558.1</f>
        <v>446480</v>
      </c>
      <c r="G467" s="20">
        <f>300*558.1</f>
        <v>167430</v>
      </c>
      <c r="H467" s="20">
        <f>500*558.1</f>
        <v>279050</v>
      </c>
      <c r="I467" s="20">
        <f>400*558.1</f>
        <v>223240</v>
      </c>
      <c r="J467" s="20">
        <f>350*0</f>
        <v>0</v>
      </c>
      <c r="K467" s="21">
        <v>0</v>
      </c>
      <c r="L467" s="20">
        <v>0</v>
      </c>
      <c r="M467" s="20">
        <v>679.36</v>
      </c>
      <c r="N467" s="20">
        <f>M467*5500</f>
        <v>3736480</v>
      </c>
      <c r="O467" s="20">
        <v>0</v>
      </c>
      <c r="P467" s="20">
        <v>0</v>
      </c>
      <c r="Q467" s="20">
        <v>470</v>
      </c>
      <c r="R467" s="20">
        <f t="shared" si="227"/>
        <v>1410000</v>
      </c>
      <c r="S467" s="20">
        <v>186690</v>
      </c>
      <c r="T467" s="20">
        <v>0</v>
      </c>
      <c r="U467" s="20">
        <v>200000</v>
      </c>
      <c r="V467" s="1">
        <f t="shared" si="228"/>
        <v>5500</v>
      </c>
    </row>
    <row r="468" spans="1:22" ht="21.95" customHeight="1" x14ac:dyDescent="0.25">
      <c r="A468" s="18" t="s">
        <v>1252</v>
      </c>
      <c r="B468" s="25" t="s">
        <v>234</v>
      </c>
      <c r="C468" s="12">
        <f t="shared" si="173"/>
        <v>4758880</v>
      </c>
      <c r="D468" s="20">
        <f t="shared" si="226"/>
        <v>0</v>
      </c>
      <c r="E468" s="20">
        <v>0</v>
      </c>
      <c r="F468" s="20">
        <v>0</v>
      </c>
      <c r="G468" s="20">
        <v>0</v>
      </c>
      <c r="H468" s="20">
        <v>0</v>
      </c>
      <c r="I468" s="20">
        <v>0</v>
      </c>
      <c r="J468" s="20">
        <v>0</v>
      </c>
      <c r="K468" s="21">
        <v>0</v>
      </c>
      <c r="L468" s="20">
        <v>0</v>
      </c>
      <c r="M468" s="20">
        <v>459.48</v>
      </c>
      <c r="N468" s="20">
        <f t="shared" ref="N468" si="229">M468*5500</f>
        <v>2527140</v>
      </c>
      <c r="O468" s="20">
        <v>0</v>
      </c>
      <c r="P468" s="20">
        <v>0</v>
      </c>
      <c r="Q468" s="20">
        <v>648</v>
      </c>
      <c r="R468" s="20">
        <f t="shared" si="227"/>
        <v>1944000</v>
      </c>
      <c r="S468" s="20">
        <v>187740</v>
      </c>
      <c r="T468" s="20">
        <v>0</v>
      </c>
      <c r="U468" s="20">
        <v>100000</v>
      </c>
      <c r="V468" s="1">
        <f t="shared" si="228"/>
        <v>5500</v>
      </c>
    </row>
    <row r="469" spans="1:22" ht="21.95" customHeight="1" x14ac:dyDescent="0.25">
      <c r="A469" s="18" t="s">
        <v>1253</v>
      </c>
      <c r="B469" s="25" t="s">
        <v>237</v>
      </c>
      <c r="C469" s="12">
        <f t="shared" si="173"/>
        <v>3517290</v>
      </c>
      <c r="D469" s="20">
        <f t="shared" si="226"/>
        <v>255775</v>
      </c>
      <c r="E469" s="20">
        <f>350*393.5</f>
        <v>137725</v>
      </c>
      <c r="F469" s="20">
        <v>0</v>
      </c>
      <c r="G469" s="20">
        <f>300*393.5</f>
        <v>118050</v>
      </c>
      <c r="H469" s="20">
        <v>0</v>
      </c>
      <c r="I469" s="20">
        <v>0</v>
      </c>
      <c r="J469" s="20">
        <f>350*0</f>
        <v>0</v>
      </c>
      <c r="K469" s="21">
        <v>0</v>
      </c>
      <c r="L469" s="20">
        <v>0</v>
      </c>
      <c r="M469" s="20">
        <v>317.19</v>
      </c>
      <c r="N469" s="20">
        <f t="shared" ref="N469" si="230">M469*5500</f>
        <v>1744545</v>
      </c>
      <c r="O469" s="20">
        <v>0</v>
      </c>
      <c r="P469" s="20">
        <v>0</v>
      </c>
      <c r="Q469" s="20">
        <v>393</v>
      </c>
      <c r="R469" s="20">
        <f t="shared" si="227"/>
        <v>1179000</v>
      </c>
      <c r="S469" s="20">
        <v>137970</v>
      </c>
      <c r="T469" s="20">
        <v>0</v>
      </c>
      <c r="U469" s="20">
        <v>200000</v>
      </c>
      <c r="V469" s="1">
        <f t="shared" si="228"/>
        <v>5500</v>
      </c>
    </row>
    <row r="470" spans="1:22" ht="21.95" customHeight="1" x14ac:dyDescent="0.25">
      <c r="A470" s="18" t="s">
        <v>1254</v>
      </c>
      <c r="B470" s="25" t="s">
        <v>240</v>
      </c>
      <c r="C470" s="12">
        <f t="shared" si="173"/>
        <v>4165215</v>
      </c>
      <c r="D470" s="20">
        <f t="shared" si="226"/>
        <v>307010.00000000006</v>
      </c>
      <c r="E470" s="20">
        <f>350*279.1</f>
        <v>97685.000000000015</v>
      </c>
      <c r="F470" s="20">
        <f>800*0</f>
        <v>0</v>
      </c>
      <c r="G470" s="20">
        <f>350*279.1</f>
        <v>97685.000000000015</v>
      </c>
      <c r="H470" s="20">
        <f>500*0</f>
        <v>0</v>
      </c>
      <c r="I470" s="20">
        <f>400*279.1</f>
        <v>111640.00000000001</v>
      </c>
      <c r="J470" s="20">
        <v>0</v>
      </c>
      <c r="K470" s="21">
        <v>0</v>
      </c>
      <c r="L470" s="20">
        <v>0</v>
      </c>
      <c r="M470" s="20">
        <v>351.87</v>
      </c>
      <c r="N470" s="20">
        <f t="shared" ref="N470" si="231">M470*5500</f>
        <v>1935285</v>
      </c>
      <c r="O470" s="20">
        <v>0</v>
      </c>
      <c r="P470" s="20">
        <v>0</v>
      </c>
      <c r="Q470" s="20">
        <v>568.44000000000005</v>
      </c>
      <c r="R470" s="20">
        <f t="shared" si="227"/>
        <v>1705320.0000000002</v>
      </c>
      <c r="S470" s="20">
        <v>117600</v>
      </c>
      <c r="T470" s="20">
        <v>0</v>
      </c>
      <c r="U470" s="20">
        <v>100000</v>
      </c>
      <c r="V470" s="1">
        <f t="shared" si="228"/>
        <v>5500</v>
      </c>
    </row>
    <row r="471" spans="1:22" ht="21.95" customHeight="1" x14ac:dyDescent="0.25">
      <c r="A471" s="18" t="s">
        <v>1255</v>
      </c>
      <c r="B471" s="25" t="s">
        <v>1399</v>
      </c>
      <c r="C471" s="12">
        <f t="shared" ref="C471:C534" si="232">D471+L471+N471+P471+R471+S471+T471+U471</f>
        <v>4185962.5</v>
      </c>
      <c r="D471" s="20">
        <f t="shared" si="226"/>
        <v>0</v>
      </c>
      <c r="E471" s="20">
        <v>0</v>
      </c>
      <c r="F471" s="20">
        <v>0</v>
      </c>
      <c r="G471" s="20">
        <v>0</v>
      </c>
      <c r="H471" s="20">
        <v>0</v>
      </c>
      <c r="I471" s="20">
        <v>0</v>
      </c>
      <c r="J471" s="20">
        <v>0</v>
      </c>
      <c r="K471" s="21">
        <v>0</v>
      </c>
      <c r="L471" s="20">
        <v>0</v>
      </c>
      <c r="M471" s="20">
        <v>493.75</v>
      </c>
      <c r="N471" s="20">
        <f>M471*3686</f>
        <v>1819962.5</v>
      </c>
      <c r="O471" s="20">
        <v>0</v>
      </c>
      <c r="P471" s="20">
        <v>0</v>
      </c>
      <c r="Q471" s="20">
        <v>722</v>
      </c>
      <c r="R471" s="20">
        <f t="shared" si="227"/>
        <v>2166000</v>
      </c>
      <c r="S471" s="20">
        <v>0</v>
      </c>
      <c r="T471" s="20">
        <v>0</v>
      </c>
      <c r="U471" s="20">
        <v>200000</v>
      </c>
      <c r="V471" s="1">
        <f t="shared" si="228"/>
        <v>3686</v>
      </c>
    </row>
    <row r="472" spans="1:22" ht="21.95" customHeight="1" x14ac:dyDescent="0.25">
      <c r="A472" s="18" t="s">
        <v>1256</v>
      </c>
      <c r="B472" s="25" t="s">
        <v>242</v>
      </c>
      <c r="C472" s="12">
        <f t="shared" si="232"/>
        <v>2591274</v>
      </c>
      <c r="D472" s="20">
        <f t="shared" si="226"/>
        <v>0</v>
      </c>
      <c r="E472" s="20">
        <v>0</v>
      </c>
      <c r="F472" s="20">
        <v>0</v>
      </c>
      <c r="G472" s="20">
        <v>0</v>
      </c>
      <c r="H472" s="20">
        <v>0</v>
      </c>
      <c r="I472" s="20">
        <v>0</v>
      </c>
      <c r="J472" s="20">
        <v>0</v>
      </c>
      <c r="K472" s="21">
        <v>0</v>
      </c>
      <c r="L472" s="20">
        <v>0</v>
      </c>
      <c r="M472" s="20">
        <v>203.44</v>
      </c>
      <c r="N472" s="20">
        <f t="shared" ref="N472" si="233">M472*5500</f>
        <v>1118920</v>
      </c>
      <c r="O472" s="20">
        <v>0</v>
      </c>
      <c r="P472" s="20">
        <v>0</v>
      </c>
      <c r="Q472" s="20">
        <v>390</v>
      </c>
      <c r="R472" s="20">
        <f t="shared" si="227"/>
        <v>1170000</v>
      </c>
      <c r="S472" s="20">
        <v>102354</v>
      </c>
      <c r="T472" s="20">
        <v>0</v>
      </c>
      <c r="U472" s="20">
        <v>200000</v>
      </c>
      <c r="V472" s="1">
        <f t="shared" si="228"/>
        <v>5500</v>
      </c>
    </row>
    <row r="473" spans="1:22" ht="45" customHeight="1" x14ac:dyDescent="0.25">
      <c r="A473" s="63" t="s">
        <v>1616</v>
      </c>
      <c r="B473" s="63"/>
      <c r="C473" s="12">
        <f t="shared" si="232"/>
        <v>3341500</v>
      </c>
      <c r="D473" s="12">
        <f t="shared" ref="D473:U473" si="234">SUM(D474)</f>
        <v>0</v>
      </c>
      <c r="E473" s="12">
        <f t="shared" si="234"/>
        <v>0</v>
      </c>
      <c r="F473" s="12">
        <f t="shared" si="234"/>
        <v>0</v>
      </c>
      <c r="G473" s="12">
        <f t="shared" si="234"/>
        <v>0</v>
      </c>
      <c r="H473" s="12">
        <f t="shared" si="234"/>
        <v>0</v>
      </c>
      <c r="I473" s="12">
        <f t="shared" si="234"/>
        <v>0</v>
      </c>
      <c r="J473" s="12">
        <f t="shared" si="234"/>
        <v>0</v>
      </c>
      <c r="K473" s="13">
        <f t="shared" si="234"/>
        <v>0</v>
      </c>
      <c r="L473" s="12">
        <f t="shared" si="234"/>
        <v>0</v>
      </c>
      <c r="M473" s="12">
        <f t="shared" si="234"/>
        <v>353</v>
      </c>
      <c r="N473" s="12">
        <f t="shared" si="234"/>
        <v>1941500</v>
      </c>
      <c r="O473" s="12">
        <f t="shared" si="234"/>
        <v>0</v>
      </c>
      <c r="P473" s="12">
        <f t="shared" si="234"/>
        <v>0</v>
      </c>
      <c r="Q473" s="12">
        <f t="shared" si="234"/>
        <v>400</v>
      </c>
      <c r="R473" s="12">
        <f t="shared" si="234"/>
        <v>1200000</v>
      </c>
      <c r="S473" s="12">
        <f t="shared" si="234"/>
        <v>0</v>
      </c>
      <c r="T473" s="12">
        <f t="shared" si="234"/>
        <v>0</v>
      </c>
      <c r="U473" s="12">
        <f t="shared" si="234"/>
        <v>200000</v>
      </c>
      <c r="V473" s="22">
        <f>C473</f>
        <v>3341500</v>
      </c>
    </row>
    <row r="474" spans="1:22" ht="21.95" customHeight="1" x14ac:dyDescent="0.25">
      <c r="A474" s="18" t="s">
        <v>1257</v>
      </c>
      <c r="B474" s="25" t="s">
        <v>1400</v>
      </c>
      <c r="C474" s="12">
        <f t="shared" si="232"/>
        <v>3341500</v>
      </c>
      <c r="D474" s="20">
        <f t="shared" ref="D474" si="235">SUM(E474:J474)</f>
        <v>0</v>
      </c>
      <c r="E474" s="20">
        <v>0</v>
      </c>
      <c r="F474" s="20">
        <v>0</v>
      </c>
      <c r="G474" s="20">
        <v>0</v>
      </c>
      <c r="H474" s="20">
        <v>0</v>
      </c>
      <c r="I474" s="20">
        <v>0</v>
      </c>
      <c r="J474" s="20">
        <v>0</v>
      </c>
      <c r="K474" s="21">
        <v>0</v>
      </c>
      <c r="L474" s="20">
        <v>0</v>
      </c>
      <c r="M474" s="20">
        <v>353</v>
      </c>
      <c r="N474" s="20">
        <f t="shared" ref="N474" si="236">M474*5500</f>
        <v>1941500</v>
      </c>
      <c r="O474" s="20">
        <v>0</v>
      </c>
      <c r="P474" s="20">
        <v>0</v>
      </c>
      <c r="Q474" s="20">
        <v>400</v>
      </c>
      <c r="R474" s="20">
        <f>Q474*3000</f>
        <v>1200000</v>
      </c>
      <c r="S474" s="20">
        <v>0</v>
      </c>
      <c r="T474" s="20">
        <v>0</v>
      </c>
      <c r="U474" s="20">
        <v>200000</v>
      </c>
      <c r="V474" s="1">
        <f t="shared" ref="V474" si="237">N474/M474</f>
        <v>5500</v>
      </c>
    </row>
    <row r="475" spans="1:22" ht="45" customHeight="1" x14ac:dyDescent="0.25">
      <c r="A475" s="63" t="s">
        <v>245</v>
      </c>
      <c r="B475" s="63"/>
      <c r="C475" s="12">
        <f t="shared" si="232"/>
        <v>10318375</v>
      </c>
      <c r="D475" s="12">
        <f t="shared" ref="D475:U475" si="238">SUM(D476)</f>
        <v>2264225</v>
      </c>
      <c r="E475" s="12">
        <f t="shared" si="238"/>
        <v>337225</v>
      </c>
      <c r="F475" s="12">
        <f t="shared" si="238"/>
        <v>770800</v>
      </c>
      <c r="G475" s="12">
        <f t="shared" si="238"/>
        <v>289050</v>
      </c>
      <c r="H475" s="12">
        <f t="shared" si="238"/>
        <v>481750</v>
      </c>
      <c r="I475" s="12">
        <f t="shared" si="238"/>
        <v>385400</v>
      </c>
      <c r="J475" s="12">
        <f t="shared" si="238"/>
        <v>0</v>
      </c>
      <c r="K475" s="13">
        <f t="shared" si="238"/>
        <v>0</v>
      </c>
      <c r="L475" s="12">
        <f t="shared" si="238"/>
        <v>0</v>
      </c>
      <c r="M475" s="12">
        <f t="shared" si="238"/>
        <v>756.3</v>
      </c>
      <c r="N475" s="12">
        <f t="shared" si="238"/>
        <v>4159649.9999999995</v>
      </c>
      <c r="O475" s="12">
        <f t="shared" si="238"/>
        <v>0</v>
      </c>
      <c r="P475" s="12">
        <f t="shared" si="238"/>
        <v>0</v>
      </c>
      <c r="Q475" s="12">
        <f t="shared" si="238"/>
        <v>646.29999999999995</v>
      </c>
      <c r="R475" s="12">
        <f t="shared" si="238"/>
        <v>1938899.9999999998</v>
      </c>
      <c r="S475" s="12">
        <f t="shared" si="238"/>
        <v>1755600</v>
      </c>
      <c r="T475" s="12">
        <f t="shared" si="238"/>
        <v>0</v>
      </c>
      <c r="U475" s="12">
        <f t="shared" si="238"/>
        <v>200000</v>
      </c>
      <c r="V475" s="22">
        <f>C475</f>
        <v>10318375</v>
      </c>
    </row>
    <row r="476" spans="1:22" ht="21.95" customHeight="1" x14ac:dyDescent="0.25">
      <c r="A476" s="18" t="s">
        <v>1258</v>
      </c>
      <c r="B476" s="25" t="s">
        <v>243</v>
      </c>
      <c r="C476" s="12">
        <f t="shared" si="232"/>
        <v>10318375</v>
      </c>
      <c r="D476" s="20">
        <f t="shared" ref="D476" si="239">SUM(E476:J476)</f>
        <v>2264225</v>
      </c>
      <c r="E476" s="20">
        <f>350*963.5</f>
        <v>337225</v>
      </c>
      <c r="F476" s="20">
        <f>800*963.5</f>
        <v>770800</v>
      </c>
      <c r="G476" s="20">
        <f>300*963.5</f>
        <v>289050</v>
      </c>
      <c r="H476" s="20">
        <f>500*963.5</f>
        <v>481750</v>
      </c>
      <c r="I476" s="20">
        <f>400*963.5</f>
        <v>385400</v>
      </c>
      <c r="J476" s="20">
        <f>350*0</f>
        <v>0</v>
      </c>
      <c r="K476" s="21">
        <v>0</v>
      </c>
      <c r="L476" s="20">
        <v>0</v>
      </c>
      <c r="M476" s="20">
        <v>756.3</v>
      </c>
      <c r="N476" s="20">
        <f t="shared" ref="N476" si="240">M476*5500</f>
        <v>4159649.9999999995</v>
      </c>
      <c r="O476" s="20">
        <v>0</v>
      </c>
      <c r="P476" s="20">
        <v>0</v>
      </c>
      <c r="Q476" s="20">
        <v>646.29999999999995</v>
      </c>
      <c r="R476" s="20">
        <f>Q476*3000</f>
        <v>1938899.9999999998</v>
      </c>
      <c r="S476" s="20">
        <v>1755600</v>
      </c>
      <c r="T476" s="20">
        <v>0</v>
      </c>
      <c r="U476" s="20">
        <v>200000</v>
      </c>
      <c r="V476" s="1">
        <f t="shared" ref="V476" si="241">N476/M476</f>
        <v>5500</v>
      </c>
    </row>
    <row r="477" spans="1:22" ht="45" customHeight="1" x14ac:dyDescent="0.25">
      <c r="A477" s="63" t="s">
        <v>270</v>
      </c>
      <c r="B477" s="63"/>
      <c r="C477" s="12">
        <f t="shared" si="232"/>
        <v>102011441.06</v>
      </c>
      <c r="D477" s="12">
        <f t="shared" ref="D477:U477" si="242">SUM(D478:D492)</f>
        <v>23979237.5</v>
      </c>
      <c r="E477" s="12">
        <f t="shared" si="242"/>
        <v>4536612.5</v>
      </c>
      <c r="F477" s="12">
        <f t="shared" si="242"/>
        <v>10369400</v>
      </c>
      <c r="G477" s="12">
        <f t="shared" si="242"/>
        <v>3888525</v>
      </c>
      <c r="H477" s="12">
        <f t="shared" si="242"/>
        <v>0</v>
      </c>
      <c r="I477" s="12">
        <f t="shared" si="242"/>
        <v>5184700</v>
      </c>
      <c r="J477" s="12">
        <f t="shared" si="242"/>
        <v>0</v>
      </c>
      <c r="K477" s="13">
        <f t="shared" si="242"/>
        <v>0</v>
      </c>
      <c r="L477" s="12">
        <f t="shared" si="242"/>
        <v>0</v>
      </c>
      <c r="M477" s="12">
        <f t="shared" si="242"/>
        <v>8450.2599999999984</v>
      </c>
      <c r="N477" s="12">
        <f t="shared" si="242"/>
        <v>40746983.560000002</v>
      </c>
      <c r="O477" s="12">
        <f t="shared" si="242"/>
        <v>839.4</v>
      </c>
      <c r="P477" s="12">
        <f t="shared" si="242"/>
        <v>2434260</v>
      </c>
      <c r="Q477" s="12">
        <f t="shared" si="242"/>
        <v>10750.32</v>
      </c>
      <c r="R477" s="12">
        <f t="shared" si="242"/>
        <v>32250960</v>
      </c>
      <c r="S477" s="12">
        <f t="shared" si="242"/>
        <v>0</v>
      </c>
      <c r="T477" s="12">
        <f t="shared" si="242"/>
        <v>0</v>
      </c>
      <c r="U477" s="12">
        <f t="shared" si="242"/>
        <v>2600000</v>
      </c>
    </row>
    <row r="478" spans="1:22" ht="24.95" customHeight="1" x14ac:dyDescent="0.25">
      <c r="A478" s="18" t="s">
        <v>1259</v>
      </c>
      <c r="B478" s="25" t="s">
        <v>1598</v>
      </c>
      <c r="C478" s="12">
        <f t="shared" si="232"/>
        <v>200000</v>
      </c>
      <c r="D478" s="20">
        <f t="shared" ref="D478:D492" si="243">SUM(E478:J478)</f>
        <v>0</v>
      </c>
      <c r="E478" s="8">
        <v>0</v>
      </c>
      <c r="F478" s="8">
        <v>0</v>
      </c>
      <c r="G478" s="8">
        <v>0</v>
      </c>
      <c r="H478" s="8">
        <v>0</v>
      </c>
      <c r="I478" s="8">
        <v>0</v>
      </c>
      <c r="J478" s="8">
        <v>0</v>
      </c>
      <c r="K478" s="9">
        <v>0</v>
      </c>
      <c r="L478" s="8">
        <v>0</v>
      </c>
      <c r="M478" s="8">
        <v>0</v>
      </c>
      <c r="N478" s="8">
        <v>0</v>
      </c>
      <c r="O478" s="8">
        <v>0</v>
      </c>
      <c r="P478" s="8">
        <v>0</v>
      </c>
      <c r="Q478" s="8">
        <v>0</v>
      </c>
      <c r="R478" s="20">
        <f t="shared" ref="R478:R492" si="244">Q478*3000</f>
        <v>0</v>
      </c>
      <c r="S478" s="8">
        <v>0</v>
      </c>
      <c r="T478" s="8">
        <v>0</v>
      </c>
      <c r="U478" s="8">
        <v>200000</v>
      </c>
      <c r="V478" s="1" t="e">
        <f t="shared" ref="V478:V492" si="245">N478/M478</f>
        <v>#DIV/0!</v>
      </c>
    </row>
    <row r="479" spans="1:22" ht="24.95" customHeight="1" x14ac:dyDescent="0.25">
      <c r="A479" s="18" t="s">
        <v>1260</v>
      </c>
      <c r="B479" s="30" t="s">
        <v>251</v>
      </c>
      <c r="C479" s="12">
        <f t="shared" si="232"/>
        <v>7251135</v>
      </c>
      <c r="D479" s="20">
        <f t="shared" si="243"/>
        <v>1271135</v>
      </c>
      <c r="E479" s="20">
        <f>350*687.1</f>
        <v>240485</v>
      </c>
      <c r="F479" s="20">
        <f>800*687.1</f>
        <v>549680</v>
      </c>
      <c r="G479" s="20">
        <f>300*687.1</f>
        <v>206130</v>
      </c>
      <c r="H479" s="20">
        <f t="shared" ref="H479:H488" si="246">500*0</f>
        <v>0</v>
      </c>
      <c r="I479" s="20">
        <f>400*687.1</f>
        <v>274840</v>
      </c>
      <c r="J479" s="20">
        <f t="shared" ref="J479:J488" si="247">350*0</f>
        <v>0</v>
      </c>
      <c r="K479" s="21">
        <v>0</v>
      </c>
      <c r="L479" s="20">
        <v>0</v>
      </c>
      <c r="M479" s="20">
        <v>690</v>
      </c>
      <c r="N479" s="20">
        <f t="shared" ref="N479:N480" si="248">M479*5500</f>
        <v>3795000</v>
      </c>
      <c r="O479" s="20">
        <v>0</v>
      </c>
      <c r="P479" s="20">
        <v>0</v>
      </c>
      <c r="Q479" s="20">
        <v>695</v>
      </c>
      <c r="R479" s="20">
        <f t="shared" si="244"/>
        <v>2085000</v>
      </c>
      <c r="S479" s="20">
        <v>0</v>
      </c>
      <c r="T479" s="20">
        <v>0</v>
      </c>
      <c r="U479" s="20">
        <v>100000</v>
      </c>
      <c r="V479" s="1">
        <f t="shared" si="245"/>
        <v>5500</v>
      </c>
    </row>
    <row r="480" spans="1:22" ht="24.95" customHeight="1" x14ac:dyDescent="0.25">
      <c r="A480" s="18" t="s">
        <v>1261</v>
      </c>
      <c r="B480" s="30" t="s">
        <v>249</v>
      </c>
      <c r="C480" s="12">
        <f t="shared" si="232"/>
        <v>6080975</v>
      </c>
      <c r="D480" s="20">
        <f t="shared" si="243"/>
        <v>1186775</v>
      </c>
      <c r="E480" s="20">
        <f>350*641.5</f>
        <v>224525</v>
      </c>
      <c r="F480" s="20">
        <f>800*641.5</f>
        <v>513200</v>
      </c>
      <c r="G480" s="20">
        <f>300*641.5</f>
        <v>192450</v>
      </c>
      <c r="H480" s="20">
        <f t="shared" si="246"/>
        <v>0</v>
      </c>
      <c r="I480" s="20">
        <f>400*641.5</f>
        <v>256600</v>
      </c>
      <c r="J480" s="20">
        <f t="shared" si="247"/>
        <v>0</v>
      </c>
      <c r="K480" s="21">
        <v>0</v>
      </c>
      <c r="L480" s="20">
        <v>0</v>
      </c>
      <c r="M480" s="20">
        <v>544.4</v>
      </c>
      <c r="N480" s="20">
        <f t="shared" si="248"/>
        <v>2994200</v>
      </c>
      <c r="O480" s="20">
        <v>0</v>
      </c>
      <c r="P480" s="20">
        <v>0</v>
      </c>
      <c r="Q480" s="20">
        <v>600</v>
      </c>
      <c r="R480" s="20">
        <f t="shared" si="244"/>
        <v>1800000</v>
      </c>
      <c r="S480" s="20">
        <v>0</v>
      </c>
      <c r="T480" s="20">
        <v>0</v>
      </c>
      <c r="U480" s="20">
        <v>100000</v>
      </c>
      <c r="V480" s="1">
        <f t="shared" si="245"/>
        <v>5500</v>
      </c>
    </row>
    <row r="481" spans="1:22" ht="24.95" customHeight="1" x14ac:dyDescent="0.25">
      <c r="A481" s="18" t="s">
        <v>1262</v>
      </c>
      <c r="B481" s="30" t="s">
        <v>253</v>
      </c>
      <c r="C481" s="12">
        <f t="shared" si="232"/>
        <v>3005550.8</v>
      </c>
      <c r="D481" s="20">
        <f t="shared" si="243"/>
        <v>600842.99999999988</v>
      </c>
      <c r="E481" s="20">
        <f>350*324.78</f>
        <v>113672.99999999999</v>
      </c>
      <c r="F481" s="20">
        <f>800*324.78</f>
        <v>259823.99999999997</v>
      </c>
      <c r="G481" s="20">
        <f>300*324.78</f>
        <v>97433.999999999985</v>
      </c>
      <c r="H481" s="20">
        <f t="shared" si="246"/>
        <v>0</v>
      </c>
      <c r="I481" s="20">
        <f>400*324.78</f>
        <v>129911.99999999999</v>
      </c>
      <c r="J481" s="20">
        <f t="shared" si="247"/>
        <v>0</v>
      </c>
      <c r="K481" s="21">
        <v>0</v>
      </c>
      <c r="L481" s="20">
        <v>0</v>
      </c>
      <c r="M481" s="20">
        <v>282.3</v>
      </c>
      <c r="N481" s="20">
        <f>M481*3686</f>
        <v>1040557.8</v>
      </c>
      <c r="O481" s="20">
        <v>0</v>
      </c>
      <c r="P481" s="20">
        <v>0</v>
      </c>
      <c r="Q481" s="20">
        <v>388.05</v>
      </c>
      <c r="R481" s="20">
        <f t="shared" si="244"/>
        <v>1164150</v>
      </c>
      <c r="S481" s="20">
        <v>0</v>
      </c>
      <c r="T481" s="20">
        <v>0</v>
      </c>
      <c r="U481" s="20">
        <v>200000</v>
      </c>
      <c r="V481" s="1">
        <f t="shared" si="245"/>
        <v>3686</v>
      </c>
    </row>
    <row r="482" spans="1:22" ht="24.95" customHeight="1" x14ac:dyDescent="0.25">
      <c r="A482" s="18" t="s">
        <v>1929</v>
      </c>
      <c r="B482" s="30" t="s">
        <v>254</v>
      </c>
      <c r="C482" s="12">
        <f t="shared" si="232"/>
        <v>6928040</v>
      </c>
      <c r="D482" s="20">
        <f t="shared" si="243"/>
        <v>2954080</v>
      </c>
      <c r="E482" s="20">
        <f>350*1596.8</f>
        <v>558880</v>
      </c>
      <c r="F482" s="20">
        <f>800*1596.8</f>
        <v>1277440</v>
      </c>
      <c r="G482" s="20">
        <f>300*1596.8</f>
        <v>479040</v>
      </c>
      <c r="H482" s="20">
        <f t="shared" si="246"/>
        <v>0</v>
      </c>
      <c r="I482" s="20">
        <f>400*1596.8</f>
        <v>638720</v>
      </c>
      <c r="J482" s="20">
        <f t="shared" si="247"/>
        <v>0</v>
      </c>
      <c r="K482" s="21">
        <v>0</v>
      </c>
      <c r="L482" s="20">
        <v>0</v>
      </c>
      <c r="M482" s="20">
        <v>0</v>
      </c>
      <c r="N482" s="20">
        <v>0</v>
      </c>
      <c r="O482" s="20">
        <v>72.400000000000006</v>
      </c>
      <c r="P482" s="20">
        <v>209960</v>
      </c>
      <c r="Q482" s="20">
        <v>1188</v>
      </c>
      <c r="R482" s="20">
        <f t="shared" si="244"/>
        <v>3564000</v>
      </c>
      <c r="S482" s="20">
        <v>0</v>
      </c>
      <c r="T482" s="20">
        <v>0</v>
      </c>
      <c r="U482" s="20">
        <v>200000</v>
      </c>
      <c r="V482" s="1" t="e">
        <f t="shared" si="245"/>
        <v>#DIV/0!</v>
      </c>
    </row>
    <row r="483" spans="1:22" ht="24.95" customHeight="1" x14ac:dyDescent="0.25">
      <c r="A483" s="18" t="s">
        <v>1263</v>
      </c>
      <c r="B483" s="30" t="s">
        <v>255</v>
      </c>
      <c r="C483" s="12">
        <f t="shared" si="232"/>
        <v>5200859.5999999996</v>
      </c>
      <c r="D483" s="20">
        <f t="shared" si="243"/>
        <v>1233950</v>
      </c>
      <c r="E483" s="20">
        <f>350*667</f>
        <v>233450</v>
      </c>
      <c r="F483" s="20">
        <f>800*667</f>
        <v>533600</v>
      </c>
      <c r="G483" s="20">
        <f>300*667</f>
        <v>200100</v>
      </c>
      <c r="H483" s="20">
        <f t="shared" si="246"/>
        <v>0</v>
      </c>
      <c r="I483" s="20">
        <f>400*667</f>
        <v>266800</v>
      </c>
      <c r="J483" s="20">
        <f t="shared" si="247"/>
        <v>0</v>
      </c>
      <c r="K483" s="21">
        <v>0</v>
      </c>
      <c r="L483" s="20">
        <v>0</v>
      </c>
      <c r="M483" s="20">
        <v>563.6</v>
      </c>
      <c r="N483" s="20">
        <f>M483*3686</f>
        <v>2077429.6</v>
      </c>
      <c r="O483" s="20">
        <v>0</v>
      </c>
      <c r="P483" s="20">
        <v>0</v>
      </c>
      <c r="Q483" s="20">
        <v>563.16</v>
      </c>
      <c r="R483" s="20">
        <f t="shared" si="244"/>
        <v>1689480</v>
      </c>
      <c r="S483" s="20">
        <v>0</v>
      </c>
      <c r="T483" s="20">
        <v>0</v>
      </c>
      <c r="U483" s="20">
        <v>200000</v>
      </c>
      <c r="V483" s="1">
        <f t="shared" si="245"/>
        <v>3686</v>
      </c>
    </row>
    <row r="484" spans="1:22" ht="24.95" customHeight="1" x14ac:dyDescent="0.25">
      <c r="A484" s="18" t="s">
        <v>1264</v>
      </c>
      <c r="B484" s="30" t="s">
        <v>256</v>
      </c>
      <c r="C484" s="12">
        <f t="shared" si="232"/>
        <v>11716685</v>
      </c>
      <c r="D484" s="20">
        <f t="shared" si="243"/>
        <v>2963885</v>
      </c>
      <c r="E484" s="20">
        <f>350*1602.1</f>
        <v>560735</v>
      </c>
      <c r="F484" s="20">
        <f>800*1602.1</f>
        <v>1281680</v>
      </c>
      <c r="G484" s="20">
        <f>300*1602.1</f>
        <v>480630</v>
      </c>
      <c r="H484" s="20">
        <f t="shared" si="246"/>
        <v>0</v>
      </c>
      <c r="I484" s="20">
        <f>400*1602.1</f>
        <v>640840</v>
      </c>
      <c r="J484" s="20">
        <f t="shared" si="247"/>
        <v>0</v>
      </c>
      <c r="K484" s="21">
        <v>0</v>
      </c>
      <c r="L484" s="20">
        <v>0</v>
      </c>
      <c r="M484" s="20">
        <v>879.1</v>
      </c>
      <c r="N484" s="20">
        <f t="shared" ref="N484:N485" si="249">M484*5500</f>
        <v>4835050</v>
      </c>
      <c r="O484" s="20">
        <v>0</v>
      </c>
      <c r="P484" s="20">
        <v>0</v>
      </c>
      <c r="Q484" s="20">
        <v>1239.25</v>
      </c>
      <c r="R484" s="20">
        <f t="shared" si="244"/>
        <v>3717750</v>
      </c>
      <c r="S484" s="20">
        <v>0</v>
      </c>
      <c r="T484" s="20">
        <v>0</v>
      </c>
      <c r="U484" s="20">
        <v>200000</v>
      </c>
      <c r="V484" s="1">
        <f t="shared" si="245"/>
        <v>5500</v>
      </c>
    </row>
    <row r="485" spans="1:22" ht="24.95" customHeight="1" x14ac:dyDescent="0.25">
      <c r="A485" s="18" t="s">
        <v>1265</v>
      </c>
      <c r="B485" s="30" t="s">
        <v>257</v>
      </c>
      <c r="C485" s="12">
        <f t="shared" si="232"/>
        <v>6224877</v>
      </c>
      <c r="D485" s="20">
        <f t="shared" si="243"/>
        <v>1259887</v>
      </c>
      <c r="E485" s="20">
        <f>350*681.02</f>
        <v>238357</v>
      </c>
      <c r="F485" s="20">
        <f>800*681.02</f>
        <v>544816</v>
      </c>
      <c r="G485" s="20">
        <f>300*681.02</f>
        <v>204306</v>
      </c>
      <c r="H485" s="20">
        <f t="shared" si="246"/>
        <v>0</v>
      </c>
      <c r="I485" s="20">
        <f>400*681.02</f>
        <v>272408</v>
      </c>
      <c r="J485" s="20">
        <f t="shared" si="247"/>
        <v>0</v>
      </c>
      <c r="K485" s="21">
        <v>0</v>
      </c>
      <c r="L485" s="20">
        <v>0</v>
      </c>
      <c r="M485" s="20">
        <v>560.1</v>
      </c>
      <c r="N485" s="20">
        <f t="shared" si="249"/>
        <v>3080550</v>
      </c>
      <c r="O485" s="20">
        <v>0</v>
      </c>
      <c r="P485" s="20">
        <v>0</v>
      </c>
      <c r="Q485" s="20">
        <v>561.48</v>
      </c>
      <c r="R485" s="20">
        <f t="shared" si="244"/>
        <v>1684440</v>
      </c>
      <c r="S485" s="20">
        <v>0</v>
      </c>
      <c r="T485" s="20">
        <v>0</v>
      </c>
      <c r="U485" s="20">
        <v>200000</v>
      </c>
      <c r="V485" s="1">
        <f t="shared" si="245"/>
        <v>5500</v>
      </c>
    </row>
    <row r="486" spans="1:22" ht="24.95" customHeight="1" x14ac:dyDescent="0.25">
      <c r="A486" s="18" t="s">
        <v>1266</v>
      </c>
      <c r="B486" s="30" t="s">
        <v>259</v>
      </c>
      <c r="C486" s="12">
        <f t="shared" si="232"/>
        <v>2665870</v>
      </c>
      <c r="D486" s="20">
        <f t="shared" si="243"/>
        <v>925370</v>
      </c>
      <c r="E486" s="20">
        <f>350*500.2</f>
        <v>175070</v>
      </c>
      <c r="F486" s="20">
        <f>800*500.2</f>
        <v>400160</v>
      </c>
      <c r="G486" s="20">
        <f>300*500.2</f>
        <v>150060</v>
      </c>
      <c r="H486" s="20">
        <f t="shared" si="246"/>
        <v>0</v>
      </c>
      <c r="I486" s="20">
        <f>400*500.2</f>
        <v>200080</v>
      </c>
      <c r="J486" s="20">
        <f t="shared" si="247"/>
        <v>0</v>
      </c>
      <c r="K486" s="21">
        <v>0</v>
      </c>
      <c r="L486" s="20">
        <v>0</v>
      </c>
      <c r="M486" s="20">
        <v>0</v>
      </c>
      <c r="N486" s="20">
        <v>0</v>
      </c>
      <c r="O486" s="20">
        <v>0</v>
      </c>
      <c r="P486" s="20">
        <v>0</v>
      </c>
      <c r="Q486" s="20">
        <v>513.5</v>
      </c>
      <c r="R486" s="20">
        <f t="shared" si="244"/>
        <v>1540500</v>
      </c>
      <c r="S486" s="20">
        <v>0</v>
      </c>
      <c r="T486" s="20">
        <v>0</v>
      </c>
      <c r="U486" s="20">
        <v>200000</v>
      </c>
      <c r="V486" s="1" t="e">
        <f t="shared" si="245"/>
        <v>#DIV/0!</v>
      </c>
    </row>
    <row r="487" spans="1:22" ht="24.95" customHeight="1" x14ac:dyDescent="0.25">
      <c r="A487" s="18" t="s">
        <v>1267</v>
      </c>
      <c r="B487" s="30" t="s">
        <v>262</v>
      </c>
      <c r="C487" s="12">
        <f t="shared" si="232"/>
        <v>20573060</v>
      </c>
      <c r="D487" s="20">
        <f t="shared" si="243"/>
        <v>5225880</v>
      </c>
      <c r="E487" s="20">
        <f>350*2824.8</f>
        <v>988680.00000000012</v>
      </c>
      <c r="F487" s="20">
        <f>800*2824.8</f>
        <v>2259840</v>
      </c>
      <c r="G487" s="20">
        <f>300*2824.8</f>
        <v>847440</v>
      </c>
      <c r="H487" s="20">
        <f t="shared" si="246"/>
        <v>0</v>
      </c>
      <c r="I487" s="20">
        <f>400*2824.8</f>
        <v>1129920</v>
      </c>
      <c r="J487" s="20">
        <f t="shared" si="247"/>
        <v>0</v>
      </c>
      <c r="K487" s="21">
        <v>0</v>
      </c>
      <c r="L487" s="20">
        <v>0</v>
      </c>
      <c r="M487" s="20">
        <v>1180.8</v>
      </c>
      <c r="N487" s="20">
        <f t="shared" ref="N487:N489" si="250">M487*5500</f>
        <v>6494400</v>
      </c>
      <c r="O487" s="20">
        <v>740.7</v>
      </c>
      <c r="P487" s="20">
        <v>2148030</v>
      </c>
      <c r="Q487" s="20">
        <v>2168.25</v>
      </c>
      <c r="R487" s="20">
        <f t="shared" si="244"/>
        <v>6504750</v>
      </c>
      <c r="S487" s="20">
        <v>0</v>
      </c>
      <c r="T487" s="20">
        <v>0</v>
      </c>
      <c r="U487" s="20">
        <v>200000</v>
      </c>
      <c r="V487" s="1">
        <f t="shared" si="245"/>
        <v>5500</v>
      </c>
    </row>
    <row r="488" spans="1:22" ht="24.95" customHeight="1" x14ac:dyDescent="0.25">
      <c r="A488" s="18" t="s">
        <v>1268</v>
      </c>
      <c r="B488" s="30" t="s">
        <v>260</v>
      </c>
      <c r="C488" s="12">
        <f t="shared" si="232"/>
        <v>12919612.5</v>
      </c>
      <c r="D488" s="20">
        <f t="shared" si="243"/>
        <v>3422222.5</v>
      </c>
      <c r="E488" s="20">
        <f>350*1849.85</f>
        <v>647447.5</v>
      </c>
      <c r="F488" s="20">
        <f>800*1849.85</f>
        <v>1479880</v>
      </c>
      <c r="G488" s="20">
        <f>300*1849.85</f>
        <v>554955</v>
      </c>
      <c r="H488" s="20">
        <f t="shared" si="246"/>
        <v>0</v>
      </c>
      <c r="I488" s="20">
        <f>400*1849.85</f>
        <v>739940</v>
      </c>
      <c r="J488" s="20">
        <f t="shared" si="247"/>
        <v>0</v>
      </c>
      <c r="K488" s="21">
        <v>0</v>
      </c>
      <c r="L488" s="20">
        <v>0</v>
      </c>
      <c r="M488" s="20">
        <v>788.4</v>
      </c>
      <c r="N488" s="20">
        <f t="shared" si="250"/>
        <v>4336200</v>
      </c>
      <c r="O488" s="20">
        <v>0</v>
      </c>
      <c r="P488" s="20">
        <v>0</v>
      </c>
      <c r="Q488" s="20">
        <v>1653.73</v>
      </c>
      <c r="R488" s="20">
        <f t="shared" si="244"/>
        <v>4961190</v>
      </c>
      <c r="S488" s="20">
        <v>0</v>
      </c>
      <c r="T488" s="20">
        <v>0</v>
      </c>
      <c r="U488" s="20">
        <v>200000</v>
      </c>
      <c r="V488" s="1">
        <f t="shared" si="245"/>
        <v>5500</v>
      </c>
    </row>
    <row r="489" spans="1:22" ht="24.95" customHeight="1" x14ac:dyDescent="0.25">
      <c r="A489" s="18" t="s">
        <v>1462</v>
      </c>
      <c r="B489" s="30" t="s">
        <v>261</v>
      </c>
      <c r="C489" s="12">
        <f t="shared" si="232"/>
        <v>3669500</v>
      </c>
      <c r="D489" s="20">
        <f t="shared" si="243"/>
        <v>0</v>
      </c>
      <c r="E489" s="20">
        <v>0</v>
      </c>
      <c r="F489" s="20">
        <v>0</v>
      </c>
      <c r="G489" s="20">
        <v>0</v>
      </c>
      <c r="H489" s="20">
        <v>0</v>
      </c>
      <c r="I489" s="20">
        <v>0</v>
      </c>
      <c r="J489" s="20">
        <v>0</v>
      </c>
      <c r="K489" s="21">
        <v>0</v>
      </c>
      <c r="L489" s="20">
        <v>0</v>
      </c>
      <c r="M489" s="20">
        <v>649</v>
      </c>
      <c r="N489" s="20">
        <f t="shared" si="250"/>
        <v>3569500</v>
      </c>
      <c r="O489" s="20">
        <v>0</v>
      </c>
      <c r="P489" s="20">
        <v>0</v>
      </c>
      <c r="Q489" s="20">
        <v>0</v>
      </c>
      <c r="R489" s="20">
        <f t="shared" si="244"/>
        <v>0</v>
      </c>
      <c r="S489" s="20">
        <v>0</v>
      </c>
      <c r="T489" s="20">
        <v>0</v>
      </c>
      <c r="U489" s="20">
        <v>100000</v>
      </c>
      <c r="V489" s="1">
        <f t="shared" si="245"/>
        <v>5500</v>
      </c>
    </row>
    <row r="490" spans="1:22" ht="24.95" customHeight="1" x14ac:dyDescent="0.25">
      <c r="A490" s="18" t="s">
        <v>1269</v>
      </c>
      <c r="B490" s="30" t="s">
        <v>264</v>
      </c>
      <c r="C490" s="12">
        <f t="shared" si="232"/>
        <v>9843993.2000000011</v>
      </c>
      <c r="D490" s="20">
        <f t="shared" si="243"/>
        <v>2935210</v>
      </c>
      <c r="E490" s="20">
        <f>350*1586.6</f>
        <v>555310</v>
      </c>
      <c r="F490" s="20">
        <f>800*1586.6</f>
        <v>1269280</v>
      </c>
      <c r="G490" s="20">
        <f>300*1586.6</f>
        <v>475980</v>
      </c>
      <c r="H490" s="20">
        <f t="shared" ref="H490" si="251">500*0</f>
        <v>0</v>
      </c>
      <c r="I490" s="20">
        <f>400*1586.6</f>
        <v>634640</v>
      </c>
      <c r="J490" s="20">
        <f t="shared" ref="J490" si="252">350*0</f>
        <v>0</v>
      </c>
      <c r="K490" s="21">
        <v>0</v>
      </c>
      <c r="L490" s="20">
        <v>0</v>
      </c>
      <c r="M490" s="20">
        <v>866.2</v>
      </c>
      <c r="N490" s="20">
        <f t="shared" ref="N490:N492" si="253">M490*3686</f>
        <v>3192813.2</v>
      </c>
      <c r="O490" s="20">
        <v>26.3</v>
      </c>
      <c r="P490" s="20">
        <v>76270</v>
      </c>
      <c r="Q490" s="20">
        <v>1179.9000000000001</v>
      </c>
      <c r="R490" s="20">
        <f t="shared" si="244"/>
        <v>3539700.0000000005</v>
      </c>
      <c r="S490" s="20">
        <v>0</v>
      </c>
      <c r="T490" s="20">
        <v>0</v>
      </c>
      <c r="U490" s="20">
        <v>100000</v>
      </c>
      <c r="V490" s="1">
        <f t="shared" si="245"/>
        <v>3686</v>
      </c>
    </row>
    <row r="491" spans="1:22" ht="24.95" customHeight="1" x14ac:dyDescent="0.25">
      <c r="A491" s="18" t="s">
        <v>1270</v>
      </c>
      <c r="B491" s="30" t="s">
        <v>1215</v>
      </c>
      <c r="C491" s="12">
        <f t="shared" si="232"/>
        <v>2811457.2800000003</v>
      </c>
      <c r="D491" s="20">
        <f t="shared" si="243"/>
        <v>0</v>
      </c>
      <c r="E491" s="20">
        <v>0</v>
      </c>
      <c r="F491" s="20">
        <v>0</v>
      </c>
      <c r="G491" s="20">
        <v>0</v>
      </c>
      <c r="H491" s="20">
        <v>0</v>
      </c>
      <c r="I491" s="20">
        <v>0</v>
      </c>
      <c r="J491" s="20">
        <v>0</v>
      </c>
      <c r="K491" s="21">
        <v>0</v>
      </c>
      <c r="L491" s="20">
        <v>0</v>
      </c>
      <c r="M491" s="20">
        <v>708.48</v>
      </c>
      <c r="N491" s="20">
        <f t="shared" si="253"/>
        <v>2611457.2800000003</v>
      </c>
      <c r="O491" s="20">
        <v>0</v>
      </c>
      <c r="P491" s="20">
        <v>0</v>
      </c>
      <c r="Q491" s="20">
        <v>0</v>
      </c>
      <c r="R491" s="20">
        <f t="shared" si="244"/>
        <v>0</v>
      </c>
      <c r="S491" s="20">
        <v>0</v>
      </c>
      <c r="T491" s="20">
        <v>0</v>
      </c>
      <c r="U491" s="20">
        <v>200000</v>
      </c>
      <c r="V491" s="1">
        <f t="shared" si="245"/>
        <v>3686.0000000000005</v>
      </c>
    </row>
    <row r="492" spans="1:22" ht="24.95" customHeight="1" x14ac:dyDescent="0.25">
      <c r="A492" s="18" t="s">
        <v>1271</v>
      </c>
      <c r="B492" s="30" t="s">
        <v>1216</v>
      </c>
      <c r="C492" s="12">
        <f t="shared" si="232"/>
        <v>2919825.68</v>
      </c>
      <c r="D492" s="20">
        <f t="shared" si="243"/>
        <v>0</v>
      </c>
      <c r="E492" s="20">
        <v>0</v>
      </c>
      <c r="F492" s="20">
        <v>0</v>
      </c>
      <c r="G492" s="20">
        <v>0</v>
      </c>
      <c r="H492" s="20">
        <v>0</v>
      </c>
      <c r="I492" s="20">
        <v>0</v>
      </c>
      <c r="J492" s="20">
        <v>0</v>
      </c>
      <c r="K492" s="21">
        <v>0</v>
      </c>
      <c r="L492" s="20">
        <v>0</v>
      </c>
      <c r="M492" s="20">
        <v>737.88</v>
      </c>
      <c r="N492" s="20">
        <f t="shared" si="253"/>
        <v>2719825.68</v>
      </c>
      <c r="O492" s="20">
        <v>0</v>
      </c>
      <c r="P492" s="20">
        <v>0</v>
      </c>
      <c r="Q492" s="20">
        <v>0</v>
      </c>
      <c r="R492" s="20">
        <f t="shared" si="244"/>
        <v>0</v>
      </c>
      <c r="S492" s="20">
        <v>0</v>
      </c>
      <c r="T492" s="20">
        <v>0</v>
      </c>
      <c r="U492" s="20">
        <v>200000</v>
      </c>
      <c r="V492" s="1">
        <f t="shared" si="245"/>
        <v>3686.0000000000005</v>
      </c>
    </row>
    <row r="493" spans="1:22" ht="45" customHeight="1" x14ac:dyDescent="0.25">
      <c r="A493" s="63" t="s">
        <v>1225</v>
      </c>
      <c r="B493" s="63"/>
      <c r="C493" s="12">
        <f t="shared" si="232"/>
        <v>1665000</v>
      </c>
      <c r="D493" s="12">
        <f t="shared" ref="D493:U493" si="254">SUM(D494)</f>
        <v>0</v>
      </c>
      <c r="E493" s="12">
        <f t="shared" si="254"/>
        <v>0</v>
      </c>
      <c r="F493" s="12">
        <f t="shared" si="254"/>
        <v>0</v>
      </c>
      <c r="G493" s="12">
        <f t="shared" si="254"/>
        <v>0</v>
      </c>
      <c r="H493" s="12">
        <f t="shared" si="254"/>
        <v>0</v>
      </c>
      <c r="I493" s="12">
        <f t="shared" si="254"/>
        <v>0</v>
      </c>
      <c r="J493" s="12">
        <f t="shared" si="254"/>
        <v>0</v>
      </c>
      <c r="K493" s="13">
        <f t="shared" si="254"/>
        <v>0</v>
      </c>
      <c r="L493" s="12">
        <f t="shared" si="254"/>
        <v>0</v>
      </c>
      <c r="M493" s="12">
        <f t="shared" si="254"/>
        <v>0</v>
      </c>
      <c r="N493" s="12">
        <f t="shared" si="254"/>
        <v>0</v>
      </c>
      <c r="O493" s="12">
        <f t="shared" si="254"/>
        <v>0</v>
      </c>
      <c r="P493" s="12">
        <f t="shared" si="254"/>
        <v>0</v>
      </c>
      <c r="Q493" s="12">
        <f t="shared" si="254"/>
        <v>555</v>
      </c>
      <c r="R493" s="12">
        <f t="shared" si="254"/>
        <v>1665000</v>
      </c>
      <c r="S493" s="12">
        <f t="shared" si="254"/>
        <v>0</v>
      </c>
      <c r="T493" s="12">
        <f t="shared" si="254"/>
        <v>0</v>
      </c>
      <c r="U493" s="12">
        <f t="shared" si="254"/>
        <v>0</v>
      </c>
    </row>
    <row r="494" spans="1:22" ht="21.95" customHeight="1" x14ac:dyDescent="0.25">
      <c r="A494" s="18" t="s">
        <v>1272</v>
      </c>
      <c r="B494" s="30" t="s">
        <v>1226</v>
      </c>
      <c r="C494" s="12">
        <f t="shared" si="232"/>
        <v>1665000</v>
      </c>
      <c r="D494" s="20">
        <f t="shared" ref="D494" si="255">SUM(E494:J494)</f>
        <v>0</v>
      </c>
      <c r="E494" s="20">
        <v>0</v>
      </c>
      <c r="F494" s="20">
        <v>0</v>
      </c>
      <c r="G494" s="20">
        <v>0</v>
      </c>
      <c r="H494" s="20">
        <v>0</v>
      </c>
      <c r="I494" s="20">
        <v>0</v>
      </c>
      <c r="J494" s="20">
        <v>0</v>
      </c>
      <c r="K494" s="21">
        <v>0</v>
      </c>
      <c r="L494" s="20">
        <v>0</v>
      </c>
      <c r="M494" s="20">
        <v>0</v>
      </c>
      <c r="N494" s="20">
        <v>0</v>
      </c>
      <c r="O494" s="20">
        <v>0</v>
      </c>
      <c r="P494" s="20">
        <v>0</v>
      </c>
      <c r="Q494" s="20">
        <v>555</v>
      </c>
      <c r="R494" s="20">
        <f>Q494*3000</f>
        <v>1665000</v>
      </c>
      <c r="S494" s="20">
        <v>0</v>
      </c>
      <c r="T494" s="20">
        <v>0</v>
      </c>
      <c r="U494" s="20">
        <v>0</v>
      </c>
      <c r="V494" s="1" t="e">
        <f t="shared" ref="V494" si="256">N494/M494</f>
        <v>#DIV/0!</v>
      </c>
    </row>
    <row r="495" spans="1:22" ht="45" customHeight="1" x14ac:dyDescent="0.25">
      <c r="A495" s="63" t="s">
        <v>275</v>
      </c>
      <c r="B495" s="63"/>
      <c r="C495" s="12">
        <f t="shared" si="232"/>
        <v>6394560</v>
      </c>
      <c r="D495" s="12">
        <f t="shared" ref="D495:U495" si="257">SUM(D496:D497)</f>
        <v>0</v>
      </c>
      <c r="E495" s="12">
        <f t="shared" si="257"/>
        <v>0</v>
      </c>
      <c r="F495" s="12">
        <f t="shared" si="257"/>
        <v>0</v>
      </c>
      <c r="G495" s="12">
        <f t="shared" si="257"/>
        <v>0</v>
      </c>
      <c r="H495" s="12">
        <f t="shared" si="257"/>
        <v>0</v>
      </c>
      <c r="I495" s="12">
        <f t="shared" si="257"/>
        <v>0</v>
      </c>
      <c r="J495" s="12">
        <f t="shared" si="257"/>
        <v>0</v>
      </c>
      <c r="K495" s="13">
        <f t="shared" si="257"/>
        <v>0</v>
      </c>
      <c r="L495" s="12">
        <f t="shared" si="257"/>
        <v>0</v>
      </c>
      <c r="M495" s="12">
        <f t="shared" si="257"/>
        <v>1089.92</v>
      </c>
      <c r="N495" s="12">
        <f t="shared" si="257"/>
        <v>5994560</v>
      </c>
      <c r="O495" s="12">
        <f t="shared" si="257"/>
        <v>0</v>
      </c>
      <c r="P495" s="12">
        <f t="shared" si="257"/>
        <v>0</v>
      </c>
      <c r="Q495" s="12">
        <f t="shared" si="257"/>
        <v>0</v>
      </c>
      <c r="R495" s="12">
        <f t="shared" si="257"/>
        <v>0</v>
      </c>
      <c r="S495" s="12">
        <f t="shared" si="257"/>
        <v>0</v>
      </c>
      <c r="T495" s="12">
        <f t="shared" si="257"/>
        <v>0</v>
      </c>
      <c r="U495" s="12">
        <f t="shared" si="257"/>
        <v>400000</v>
      </c>
      <c r="V495" s="22">
        <f>C495</f>
        <v>6394560</v>
      </c>
    </row>
    <row r="496" spans="1:22" ht="21.95" customHeight="1" x14ac:dyDescent="0.25">
      <c r="A496" s="18" t="s">
        <v>1273</v>
      </c>
      <c r="B496" s="30" t="s">
        <v>276</v>
      </c>
      <c r="C496" s="12">
        <f t="shared" si="232"/>
        <v>3197280</v>
      </c>
      <c r="D496" s="20">
        <f t="shared" ref="D496:D497" si="258">SUM(E496:J496)</f>
        <v>0</v>
      </c>
      <c r="E496" s="20">
        <v>0</v>
      </c>
      <c r="F496" s="20">
        <v>0</v>
      </c>
      <c r="G496" s="20">
        <v>0</v>
      </c>
      <c r="H496" s="20">
        <v>0</v>
      </c>
      <c r="I496" s="20">
        <v>0</v>
      </c>
      <c r="J496" s="20">
        <v>0</v>
      </c>
      <c r="K496" s="21">
        <v>0</v>
      </c>
      <c r="L496" s="20">
        <v>0</v>
      </c>
      <c r="M496" s="20">
        <v>544.96</v>
      </c>
      <c r="N496" s="20">
        <f t="shared" ref="N496:N497" si="259">M496*5500</f>
        <v>2997280</v>
      </c>
      <c r="O496" s="20">
        <v>0</v>
      </c>
      <c r="P496" s="20">
        <v>0</v>
      </c>
      <c r="Q496" s="20">
        <v>0</v>
      </c>
      <c r="R496" s="20">
        <f t="shared" ref="R496:R497" si="260">Q496*3000</f>
        <v>0</v>
      </c>
      <c r="S496" s="20">
        <v>0</v>
      </c>
      <c r="T496" s="20">
        <v>0</v>
      </c>
      <c r="U496" s="20">
        <v>200000</v>
      </c>
      <c r="V496" s="1">
        <f t="shared" ref="V496:V497" si="261">N496/M496</f>
        <v>5500</v>
      </c>
    </row>
    <row r="497" spans="1:22" ht="21.95" customHeight="1" x14ac:dyDescent="0.25">
      <c r="A497" s="18" t="s">
        <v>1274</v>
      </c>
      <c r="B497" s="30" t="s">
        <v>277</v>
      </c>
      <c r="C497" s="12">
        <f t="shared" si="232"/>
        <v>3197280</v>
      </c>
      <c r="D497" s="20">
        <f t="shared" si="258"/>
        <v>0</v>
      </c>
      <c r="E497" s="20">
        <v>0</v>
      </c>
      <c r="F497" s="20">
        <v>0</v>
      </c>
      <c r="G497" s="20">
        <v>0</v>
      </c>
      <c r="H497" s="20">
        <v>0</v>
      </c>
      <c r="I497" s="20">
        <v>0</v>
      </c>
      <c r="J497" s="20">
        <v>0</v>
      </c>
      <c r="K497" s="21">
        <v>0</v>
      </c>
      <c r="L497" s="20">
        <v>0</v>
      </c>
      <c r="M497" s="20">
        <v>544.96</v>
      </c>
      <c r="N497" s="20">
        <f t="shared" si="259"/>
        <v>2997280</v>
      </c>
      <c r="O497" s="20">
        <v>0</v>
      </c>
      <c r="P497" s="20">
        <v>0</v>
      </c>
      <c r="Q497" s="20">
        <v>0</v>
      </c>
      <c r="R497" s="20">
        <f t="shared" si="260"/>
        <v>0</v>
      </c>
      <c r="S497" s="20">
        <v>0</v>
      </c>
      <c r="T497" s="20">
        <v>0</v>
      </c>
      <c r="U497" s="20">
        <v>200000</v>
      </c>
      <c r="V497" s="1">
        <f t="shared" si="261"/>
        <v>5500</v>
      </c>
    </row>
    <row r="498" spans="1:22" ht="45" customHeight="1" x14ac:dyDescent="0.25">
      <c r="A498" s="63" t="s">
        <v>279</v>
      </c>
      <c r="B498" s="63"/>
      <c r="C498" s="12">
        <f t="shared" si="232"/>
        <v>3094835</v>
      </c>
      <c r="D498" s="12">
        <f t="shared" ref="D498:U498" si="262">SUM(D499)</f>
        <v>133035</v>
      </c>
      <c r="E498" s="12">
        <f t="shared" si="262"/>
        <v>133035</v>
      </c>
      <c r="F498" s="12">
        <f t="shared" si="262"/>
        <v>0</v>
      </c>
      <c r="G498" s="12">
        <f t="shared" si="262"/>
        <v>0</v>
      </c>
      <c r="H498" s="12">
        <f t="shared" si="262"/>
        <v>0</v>
      </c>
      <c r="I498" s="12">
        <f t="shared" si="262"/>
        <v>0</v>
      </c>
      <c r="J498" s="12">
        <f t="shared" si="262"/>
        <v>0</v>
      </c>
      <c r="K498" s="13">
        <f t="shared" si="262"/>
        <v>0</v>
      </c>
      <c r="L498" s="12">
        <f t="shared" si="262"/>
        <v>0</v>
      </c>
      <c r="M498" s="12">
        <f t="shared" si="262"/>
        <v>300</v>
      </c>
      <c r="N498" s="12">
        <f t="shared" si="262"/>
        <v>1105800</v>
      </c>
      <c r="O498" s="12">
        <f t="shared" si="262"/>
        <v>0</v>
      </c>
      <c r="P498" s="12">
        <f t="shared" si="262"/>
        <v>0</v>
      </c>
      <c r="Q498" s="12">
        <f t="shared" si="262"/>
        <v>552</v>
      </c>
      <c r="R498" s="12">
        <f t="shared" si="262"/>
        <v>1656000</v>
      </c>
      <c r="S498" s="12">
        <f t="shared" si="262"/>
        <v>0</v>
      </c>
      <c r="T498" s="12">
        <f t="shared" si="262"/>
        <v>0</v>
      </c>
      <c r="U498" s="12">
        <f t="shared" si="262"/>
        <v>200000</v>
      </c>
      <c r="V498" s="22">
        <f>C498</f>
        <v>3094835</v>
      </c>
    </row>
    <row r="499" spans="1:22" ht="21.95" customHeight="1" x14ac:dyDescent="0.25">
      <c r="A499" s="26" t="s">
        <v>1275</v>
      </c>
      <c r="B499" s="30" t="s">
        <v>278</v>
      </c>
      <c r="C499" s="12">
        <f t="shared" si="232"/>
        <v>3094835</v>
      </c>
      <c r="D499" s="20">
        <f t="shared" ref="D499" si="263">SUM(E499:J499)</f>
        <v>133035</v>
      </c>
      <c r="E499" s="20">
        <f>350*380.1</f>
        <v>133035</v>
      </c>
      <c r="F499" s="20">
        <f>800*0</f>
        <v>0</v>
      </c>
      <c r="G499" s="20">
        <f>300*0</f>
        <v>0</v>
      </c>
      <c r="H499" s="20">
        <f>500*0</f>
        <v>0</v>
      </c>
      <c r="I499" s="20">
        <f>400*0</f>
        <v>0</v>
      </c>
      <c r="J499" s="20">
        <f>350*0</f>
        <v>0</v>
      </c>
      <c r="K499" s="9">
        <v>0</v>
      </c>
      <c r="L499" s="8">
        <v>0</v>
      </c>
      <c r="M499" s="8">
        <v>300</v>
      </c>
      <c r="N499" s="20">
        <f>M499*3686</f>
        <v>1105800</v>
      </c>
      <c r="O499" s="8">
        <v>0</v>
      </c>
      <c r="P499" s="8">
        <v>0</v>
      </c>
      <c r="Q499" s="8">
        <v>552</v>
      </c>
      <c r="R499" s="20">
        <f>Q499*3000</f>
        <v>1656000</v>
      </c>
      <c r="S499" s="8">
        <v>0</v>
      </c>
      <c r="T499" s="8">
        <v>0</v>
      </c>
      <c r="U499" s="8">
        <v>200000</v>
      </c>
      <c r="V499" s="1">
        <f t="shared" ref="V499" si="264">N499/M499</f>
        <v>3686</v>
      </c>
    </row>
    <row r="500" spans="1:22" ht="45" customHeight="1" x14ac:dyDescent="0.25">
      <c r="A500" s="63" t="s">
        <v>383</v>
      </c>
      <c r="B500" s="63"/>
      <c r="C500" s="12">
        <f t="shared" si="232"/>
        <v>649827185.70000005</v>
      </c>
      <c r="D500" s="12">
        <f t="shared" ref="D500:U500" si="265">SUM(D501:D706)</f>
        <v>108581761.5</v>
      </c>
      <c r="E500" s="12">
        <f t="shared" si="265"/>
        <v>16133502</v>
      </c>
      <c r="F500" s="12">
        <f t="shared" si="265"/>
        <v>36581400</v>
      </c>
      <c r="G500" s="12">
        <f t="shared" si="265"/>
        <v>15203041.5</v>
      </c>
      <c r="H500" s="12">
        <f t="shared" si="265"/>
        <v>22225530</v>
      </c>
      <c r="I500" s="12">
        <f t="shared" si="265"/>
        <v>18438288</v>
      </c>
      <c r="J500" s="12">
        <f t="shared" si="265"/>
        <v>0</v>
      </c>
      <c r="K500" s="13">
        <f t="shared" si="265"/>
        <v>6</v>
      </c>
      <c r="L500" s="12">
        <f t="shared" si="265"/>
        <v>12900000</v>
      </c>
      <c r="M500" s="12">
        <f t="shared" si="265"/>
        <v>77486.890000000014</v>
      </c>
      <c r="N500" s="12">
        <f t="shared" si="265"/>
        <v>422373574.19999999</v>
      </c>
      <c r="O500" s="12">
        <f t="shared" si="265"/>
        <v>0</v>
      </c>
      <c r="P500" s="12">
        <f t="shared" si="265"/>
        <v>0</v>
      </c>
      <c r="Q500" s="12">
        <f t="shared" si="265"/>
        <v>22223.95</v>
      </c>
      <c r="R500" s="12">
        <f t="shared" si="265"/>
        <v>66671850</v>
      </c>
      <c r="S500" s="12">
        <f t="shared" si="265"/>
        <v>0</v>
      </c>
      <c r="T500" s="12">
        <f t="shared" si="265"/>
        <v>0</v>
      </c>
      <c r="U500" s="12">
        <f t="shared" si="265"/>
        <v>39300000</v>
      </c>
    </row>
    <row r="501" spans="1:22" ht="21.95" customHeight="1" x14ac:dyDescent="0.25">
      <c r="A501" s="18" t="s">
        <v>1276</v>
      </c>
      <c r="B501" s="25" t="s">
        <v>494</v>
      </c>
      <c r="C501" s="12">
        <f t="shared" si="232"/>
        <v>3594990</v>
      </c>
      <c r="D501" s="20">
        <f t="shared" ref="D501:D566" si="266">SUM(E501:J501)</f>
        <v>2172340</v>
      </c>
      <c r="E501" s="20">
        <f>350*924.4</f>
        <v>323540</v>
      </c>
      <c r="F501" s="20">
        <f>800*924.4</f>
        <v>739520</v>
      </c>
      <c r="G501" s="20">
        <f>300*924.4</f>
        <v>277320</v>
      </c>
      <c r="H501" s="20">
        <f>500*924.4</f>
        <v>462200</v>
      </c>
      <c r="I501" s="20">
        <f>400*924.4</f>
        <v>369760</v>
      </c>
      <c r="J501" s="20">
        <f>350*0</f>
        <v>0</v>
      </c>
      <c r="K501" s="9">
        <v>0</v>
      </c>
      <c r="L501" s="8">
        <v>0</v>
      </c>
      <c r="M501" s="8">
        <v>0</v>
      </c>
      <c r="N501" s="8">
        <v>0</v>
      </c>
      <c r="O501" s="8">
        <v>0</v>
      </c>
      <c r="P501" s="8">
        <v>0</v>
      </c>
      <c r="Q501" s="8">
        <v>407.55</v>
      </c>
      <c r="R501" s="20">
        <f t="shared" ref="R501:R565" si="267">Q501*3000</f>
        <v>1222650</v>
      </c>
      <c r="S501" s="8">
        <v>0</v>
      </c>
      <c r="T501" s="8">
        <v>0</v>
      </c>
      <c r="U501" s="8">
        <v>200000</v>
      </c>
      <c r="V501" s="1" t="e">
        <f t="shared" ref="V501:V565" si="268">N501/M501</f>
        <v>#DIV/0!</v>
      </c>
    </row>
    <row r="502" spans="1:22" ht="21.95" customHeight="1" x14ac:dyDescent="0.25">
      <c r="A502" s="18" t="s">
        <v>1277</v>
      </c>
      <c r="B502" s="25" t="s">
        <v>580</v>
      </c>
      <c r="C502" s="12">
        <f t="shared" si="232"/>
        <v>1669600</v>
      </c>
      <c r="D502" s="20">
        <f t="shared" si="266"/>
        <v>0</v>
      </c>
      <c r="E502" s="20">
        <v>0</v>
      </c>
      <c r="F502" s="20">
        <v>0</v>
      </c>
      <c r="G502" s="20">
        <v>0</v>
      </c>
      <c r="H502" s="20">
        <v>0</v>
      </c>
      <c r="I502" s="20">
        <v>0</v>
      </c>
      <c r="J502" s="20">
        <v>0</v>
      </c>
      <c r="K502" s="9">
        <v>0</v>
      </c>
      <c r="L502" s="8">
        <v>0</v>
      </c>
      <c r="M502" s="8">
        <v>267.2</v>
      </c>
      <c r="N502" s="20">
        <f t="shared" ref="N502:N510" si="269">M502*5500</f>
        <v>1469600</v>
      </c>
      <c r="O502" s="8">
        <v>0</v>
      </c>
      <c r="P502" s="8">
        <v>0</v>
      </c>
      <c r="Q502" s="8">
        <v>0</v>
      </c>
      <c r="R502" s="20">
        <f t="shared" si="267"/>
        <v>0</v>
      </c>
      <c r="S502" s="8">
        <v>0</v>
      </c>
      <c r="T502" s="8">
        <v>0</v>
      </c>
      <c r="U502" s="8">
        <v>200000</v>
      </c>
      <c r="V502" s="1">
        <f t="shared" si="268"/>
        <v>5500</v>
      </c>
    </row>
    <row r="503" spans="1:22" ht="21.95" customHeight="1" x14ac:dyDescent="0.25">
      <c r="A503" s="18" t="s">
        <v>1278</v>
      </c>
      <c r="B503" s="25" t="s">
        <v>581</v>
      </c>
      <c r="C503" s="12">
        <f t="shared" si="232"/>
        <v>1638250</v>
      </c>
      <c r="D503" s="20">
        <f t="shared" si="266"/>
        <v>0</v>
      </c>
      <c r="E503" s="20">
        <v>0</v>
      </c>
      <c r="F503" s="20">
        <v>0</v>
      </c>
      <c r="G503" s="20">
        <v>0</v>
      </c>
      <c r="H503" s="20">
        <v>0</v>
      </c>
      <c r="I503" s="20">
        <v>0</v>
      </c>
      <c r="J503" s="20">
        <v>0</v>
      </c>
      <c r="K503" s="9">
        <v>0</v>
      </c>
      <c r="L503" s="8">
        <v>0</v>
      </c>
      <c r="M503" s="8">
        <v>261.5</v>
      </c>
      <c r="N503" s="20">
        <f t="shared" si="269"/>
        <v>1438250</v>
      </c>
      <c r="O503" s="8">
        <v>0</v>
      </c>
      <c r="P503" s="8">
        <v>0</v>
      </c>
      <c r="Q503" s="8">
        <v>0</v>
      </c>
      <c r="R503" s="20">
        <f t="shared" si="267"/>
        <v>0</v>
      </c>
      <c r="S503" s="8">
        <v>0</v>
      </c>
      <c r="T503" s="8">
        <v>0</v>
      </c>
      <c r="U503" s="8">
        <v>200000</v>
      </c>
      <c r="V503" s="1">
        <f t="shared" si="268"/>
        <v>5500</v>
      </c>
    </row>
    <row r="504" spans="1:22" ht="21.95" customHeight="1" x14ac:dyDescent="0.25">
      <c r="A504" s="18" t="s">
        <v>1279</v>
      </c>
      <c r="B504" s="31" t="s">
        <v>582</v>
      </c>
      <c r="C504" s="12">
        <f t="shared" si="232"/>
        <v>1638250</v>
      </c>
      <c r="D504" s="20">
        <f t="shared" si="266"/>
        <v>0</v>
      </c>
      <c r="E504" s="20">
        <v>0</v>
      </c>
      <c r="F504" s="20">
        <v>0</v>
      </c>
      <c r="G504" s="20">
        <v>0</v>
      </c>
      <c r="H504" s="20">
        <v>0</v>
      </c>
      <c r="I504" s="20">
        <v>0</v>
      </c>
      <c r="J504" s="20">
        <v>0</v>
      </c>
      <c r="K504" s="9">
        <v>0</v>
      </c>
      <c r="L504" s="8">
        <v>0</v>
      </c>
      <c r="M504" s="8">
        <v>261.5</v>
      </c>
      <c r="N504" s="20">
        <f t="shared" si="269"/>
        <v>1438250</v>
      </c>
      <c r="O504" s="8">
        <v>0</v>
      </c>
      <c r="P504" s="8">
        <v>0</v>
      </c>
      <c r="Q504" s="8">
        <v>0</v>
      </c>
      <c r="R504" s="20">
        <f t="shared" si="267"/>
        <v>0</v>
      </c>
      <c r="S504" s="8">
        <v>0</v>
      </c>
      <c r="T504" s="8">
        <v>0</v>
      </c>
      <c r="U504" s="8">
        <v>200000</v>
      </c>
      <c r="V504" s="1">
        <f t="shared" si="268"/>
        <v>5500</v>
      </c>
    </row>
    <row r="505" spans="1:22" ht="21.95" customHeight="1" x14ac:dyDescent="0.25">
      <c r="A505" s="18" t="s">
        <v>1280</v>
      </c>
      <c r="B505" s="25" t="s">
        <v>430</v>
      </c>
      <c r="C505" s="12">
        <f t="shared" si="232"/>
        <v>2333400</v>
      </c>
      <c r="D505" s="20">
        <f t="shared" si="266"/>
        <v>0</v>
      </c>
      <c r="E505" s="20">
        <v>0</v>
      </c>
      <c r="F505" s="20">
        <v>0</v>
      </c>
      <c r="G505" s="20">
        <v>0</v>
      </c>
      <c r="H505" s="20">
        <v>0</v>
      </c>
      <c r="I505" s="20">
        <v>0</v>
      </c>
      <c r="J505" s="20">
        <v>0</v>
      </c>
      <c r="K505" s="21">
        <v>0</v>
      </c>
      <c r="L505" s="20">
        <v>0</v>
      </c>
      <c r="M505" s="20">
        <v>278.8</v>
      </c>
      <c r="N505" s="20">
        <f t="shared" si="269"/>
        <v>1533400</v>
      </c>
      <c r="O505" s="20">
        <v>0</v>
      </c>
      <c r="P505" s="20">
        <v>0</v>
      </c>
      <c r="Q505" s="20">
        <v>200</v>
      </c>
      <c r="R505" s="20">
        <f t="shared" si="267"/>
        <v>600000</v>
      </c>
      <c r="S505" s="20">
        <v>0</v>
      </c>
      <c r="T505" s="8">
        <v>0</v>
      </c>
      <c r="U505" s="20">
        <v>200000</v>
      </c>
      <c r="V505" s="1">
        <f t="shared" si="268"/>
        <v>5500</v>
      </c>
    </row>
    <row r="506" spans="1:22" ht="21.95" customHeight="1" x14ac:dyDescent="0.25">
      <c r="A506" s="18" t="s">
        <v>1281</v>
      </c>
      <c r="B506" s="31" t="s">
        <v>431</v>
      </c>
      <c r="C506" s="12">
        <f t="shared" si="232"/>
        <v>3889650</v>
      </c>
      <c r="D506" s="20">
        <f t="shared" si="266"/>
        <v>0</v>
      </c>
      <c r="E506" s="20">
        <v>0</v>
      </c>
      <c r="F506" s="20">
        <v>0</v>
      </c>
      <c r="G506" s="20">
        <v>0</v>
      </c>
      <c r="H506" s="20">
        <v>0</v>
      </c>
      <c r="I506" s="20">
        <v>0</v>
      </c>
      <c r="J506" s="20">
        <v>0</v>
      </c>
      <c r="K506" s="21">
        <v>0</v>
      </c>
      <c r="L506" s="20">
        <v>0</v>
      </c>
      <c r="M506" s="20">
        <v>404.3</v>
      </c>
      <c r="N506" s="20">
        <f t="shared" si="269"/>
        <v>2223650</v>
      </c>
      <c r="O506" s="20">
        <v>0</v>
      </c>
      <c r="P506" s="20">
        <v>0</v>
      </c>
      <c r="Q506" s="20">
        <v>522</v>
      </c>
      <c r="R506" s="20">
        <f t="shared" si="267"/>
        <v>1566000</v>
      </c>
      <c r="S506" s="20">
        <v>0</v>
      </c>
      <c r="T506" s="8">
        <v>0</v>
      </c>
      <c r="U506" s="20">
        <v>100000</v>
      </c>
      <c r="V506" s="1">
        <f t="shared" si="268"/>
        <v>5500</v>
      </c>
    </row>
    <row r="507" spans="1:22" ht="21.75" customHeight="1" x14ac:dyDescent="0.25">
      <c r="A507" s="18" t="s">
        <v>1282</v>
      </c>
      <c r="B507" s="25" t="s">
        <v>498</v>
      </c>
      <c r="C507" s="12">
        <f t="shared" si="232"/>
        <v>3759000</v>
      </c>
      <c r="D507" s="20">
        <f t="shared" si="266"/>
        <v>0</v>
      </c>
      <c r="E507" s="20">
        <v>0</v>
      </c>
      <c r="F507" s="20">
        <v>0</v>
      </c>
      <c r="G507" s="20">
        <v>0</v>
      </c>
      <c r="H507" s="20">
        <v>0</v>
      </c>
      <c r="I507" s="20">
        <v>0</v>
      </c>
      <c r="J507" s="20">
        <v>0</v>
      </c>
      <c r="K507" s="21">
        <v>0</v>
      </c>
      <c r="L507" s="20">
        <v>0</v>
      </c>
      <c r="M507" s="20">
        <v>250</v>
      </c>
      <c r="N507" s="20">
        <f t="shared" si="269"/>
        <v>1375000</v>
      </c>
      <c r="O507" s="20">
        <v>0</v>
      </c>
      <c r="P507" s="20">
        <v>0</v>
      </c>
      <c r="Q507" s="20">
        <v>728</v>
      </c>
      <c r="R507" s="20">
        <f t="shared" si="267"/>
        <v>2184000</v>
      </c>
      <c r="S507" s="20">
        <v>0</v>
      </c>
      <c r="T507" s="8">
        <v>0</v>
      </c>
      <c r="U507" s="20">
        <v>200000</v>
      </c>
      <c r="V507" s="1">
        <f t="shared" si="268"/>
        <v>5500</v>
      </c>
    </row>
    <row r="508" spans="1:22" ht="21.95" customHeight="1" x14ac:dyDescent="0.25">
      <c r="A508" s="18" t="s">
        <v>1283</v>
      </c>
      <c r="B508" s="31" t="s">
        <v>451</v>
      </c>
      <c r="C508" s="12">
        <f t="shared" si="232"/>
        <v>3592606</v>
      </c>
      <c r="D508" s="20">
        <f t="shared" si="266"/>
        <v>697856</v>
      </c>
      <c r="E508" s="20">
        <f>350*296.96</f>
        <v>103936</v>
      </c>
      <c r="F508" s="20">
        <f>800*296.96</f>
        <v>237567.99999999997</v>
      </c>
      <c r="G508" s="20">
        <f>300*296.96</f>
        <v>89088</v>
      </c>
      <c r="H508" s="20">
        <f>500*296.96</f>
        <v>148480</v>
      </c>
      <c r="I508" s="20">
        <f>400*296.96</f>
        <v>118783.99999999999</v>
      </c>
      <c r="J508" s="20">
        <f>350*0</f>
        <v>0</v>
      </c>
      <c r="K508" s="21">
        <v>0</v>
      </c>
      <c r="L508" s="20">
        <v>0</v>
      </c>
      <c r="M508" s="20">
        <v>214.5</v>
      </c>
      <c r="N508" s="20">
        <f t="shared" si="269"/>
        <v>1179750</v>
      </c>
      <c r="O508" s="20">
        <v>0</v>
      </c>
      <c r="P508" s="20">
        <v>0</v>
      </c>
      <c r="Q508" s="20">
        <v>505</v>
      </c>
      <c r="R508" s="20">
        <f t="shared" si="267"/>
        <v>1515000</v>
      </c>
      <c r="S508" s="20">
        <v>0</v>
      </c>
      <c r="T508" s="8">
        <v>0</v>
      </c>
      <c r="U508" s="20">
        <v>200000</v>
      </c>
      <c r="V508" s="1">
        <f t="shared" si="268"/>
        <v>5500</v>
      </c>
    </row>
    <row r="509" spans="1:22" ht="21.95" customHeight="1" x14ac:dyDescent="0.25">
      <c r="A509" s="18" t="s">
        <v>1284</v>
      </c>
      <c r="B509" s="25" t="s">
        <v>499</v>
      </c>
      <c r="C509" s="12">
        <f t="shared" si="232"/>
        <v>2229500</v>
      </c>
      <c r="D509" s="20">
        <f t="shared" si="266"/>
        <v>0</v>
      </c>
      <c r="E509" s="20">
        <v>0</v>
      </c>
      <c r="F509" s="20">
        <v>0</v>
      </c>
      <c r="G509" s="20">
        <v>0</v>
      </c>
      <c r="H509" s="20">
        <v>0</v>
      </c>
      <c r="I509" s="20">
        <v>0</v>
      </c>
      <c r="J509" s="20">
        <v>0</v>
      </c>
      <c r="K509" s="21">
        <v>0</v>
      </c>
      <c r="L509" s="20">
        <v>0</v>
      </c>
      <c r="M509" s="20">
        <v>369</v>
      </c>
      <c r="N509" s="20">
        <f t="shared" si="269"/>
        <v>2029500</v>
      </c>
      <c r="O509" s="20">
        <v>0</v>
      </c>
      <c r="P509" s="20">
        <v>0</v>
      </c>
      <c r="Q509" s="20">
        <v>0</v>
      </c>
      <c r="R509" s="20">
        <f t="shared" si="267"/>
        <v>0</v>
      </c>
      <c r="S509" s="20">
        <v>0</v>
      </c>
      <c r="T509" s="8">
        <v>0</v>
      </c>
      <c r="U509" s="20">
        <v>200000</v>
      </c>
      <c r="V509" s="1">
        <f t="shared" si="268"/>
        <v>5500</v>
      </c>
    </row>
    <row r="510" spans="1:22" ht="21.95" customHeight="1" x14ac:dyDescent="0.25">
      <c r="A510" s="18" t="s">
        <v>1285</v>
      </c>
      <c r="B510" s="25" t="s">
        <v>583</v>
      </c>
      <c r="C510" s="12">
        <f t="shared" si="232"/>
        <v>3233470</v>
      </c>
      <c r="D510" s="20">
        <f t="shared" si="266"/>
        <v>0</v>
      </c>
      <c r="E510" s="20">
        <v>0</v>
      </c>
      <c r="F510" s="20">
        <v>0</v>
      </c>
      <c r="G510" s="20">
        <v>0</v>
      </c>
      <c r="H510" s="20">
        <v>0</v>
      </c>
      <c r="I510" s="20">
        <v>0</v>
      </c>
      <c r="J510" s="20">
        <v>0</v>
      </c>
      <c r="K510" s="9">
        <v>0</v>
      </c>
      <c r="L510" s="8">
        <v>0</v>
      </c>
      <c r="M510" s="8">
        <v>551.54</v>
      </c>
      <c r="N510" s="20">
        <f t="shared" si="269"/>
        <v>3033470</v>
      </c>
      <c r="O510" s="8">
        <v>0</v>
      </c>
      <c r="P510" s="8">
        <v>0</v>
      </c>
      <c r="Q510" s="8">
        <v>0</v>
      </c>
      <c r="R510" s="20">
        <f t="shared" si="267"/>
        <v>0</v>
      </c>
      <c r="S510" s="8">
        <v>0</v>
      </c>
      <c r="T510" s="8">
        <v>0</v>
      </c>
      <c r="U510" s="8">
        <v>200000</v>
      </c>
      <c r="V510" s="1">
        <f t="shared" si="268"/>
        <v>5500</v>
      </c>
    </row>
    <row r="511" spans="1:22" ht="21.95" customHeight="1" x14ac:dyDescent="0.25">
      <c r="A511" s="18" t="s">
        <v>1286</v>
      </c>
      <c r="B511" s="31" t="s">
        <v>584</v>
      </c>
      <c r="C511" s="12">
        <f t="shared" si="232"/>
        <v>3504526</v>
      </c>
      <c r="D511" s="20">
        <f t="shared" si="266"/>
        <v>1384526</v>
      </c>
      <c r="E511" s="20">
        <f>350*[1]Прилож!$H$457</f>
        <v>206206</v>
      </c>
      <c r="F511" s="20">
        <f>800*[1]Прилож!$H$457</f>
        <v>471328</v>
      </c>
      <c r="G511" s="20">
        <f>300*[1]Прилож!$H$457</f>
        <v>176748</v>
      </c>
      <c r="H511" s="20">
        <f>500*[1]Прилож!$H$457</f>
        <v>294580</v>
      </c>
      <c r="I511" s="20">
        <f>400*[1]Прилож!$H$457</f>
        <v>235664</v>
      </c>
      <c r="J511" s="20">
        <f>350*0</f>
        <v>0</v>
      </c>
      <c r="K511" s="9">
        <v>0</v>
      </c>
      <c r="L511" s="8">
        <v>0</v>
      </c>
      <c r="M511" s="8">
        <v>0</v>
      </c>
      <c r="N511" s="8">
        <v>0</v>
      </c>
      <c r="O511" s="8">
        <v>0</v>
      </c>
      <c r="P511" s="8">
        <v>0</v>
      </c>
      <c r="Q511" s="8">
        <v>640</v>
      </c>
      <c r="R511" s="20">
        <f t="shared" si="267"/>
        <v>1920000</v>
      </c>
      <c r="S511" s="8">
        <v>0</v>
      </c>
      <c r="T511" s="8">
        <v>0</v>
      </c>
      <c r="U511" s="8">
        <v>200000</v>
      </c>
      <c r="V511" s="1" t="e">
        <f t="shared" si="268"/>
        <v>#DIV/0!</v>
      </c>
    </row>
    <row r="512" spans="1:22" ht="21.95" customHeight="1" x14ac:dyDescent="0.25">
      <c r="A512" s="18" t="s">
        <v>1618</v>
      </c>
      <c r="B512" s="25" t="s">
        <v>480</v>
      </c>
      <c r="C512" s="12">
        <f t="shared" si="232"/>
        <v>3496250</v>
      </c>
      <c r="D512" s="20">
        <f t="shared" si="266"/>
        <v>0</v>
      </c>
      <c r="E512" s="20">
        <v>0</v>
      </c>
      <c r="F512" s="20">
        <v>0</v>
      </c>
      <c r="G512" s="20">
        <v>0</v>
      </c>
      <c r="H512" s="20">
        <v>0</v>
      </c>
      <c r="I512" s="20">
        <v>0</v>
      </c>
      <c r="J512" s="20">
        <v>0</v>
      </c>
      <c r="K512" s="21">
        <v>0</v>
      </c>
      <c r="L512" s="20">
        <v>0</v>
      </c>
      <c r="M512" s="20">
        <v>617.5</v>
      </c>
      <c r="N512" s="20">
        <f t="shared" ref="N512:N519" si="270">M512*5500</f>
        <v>3396250</v>
      </c>
      <c r="O512" s="20">
        <v>0</v>
      </c>
      <c r="P512" s="20">
        <v>0</v>
      </c>
      <c r="Q512" s="20">
        <v>0</v>
      </c>
      <c r="R512" s="20">
        <f t="shared" si="267"/>
        <v>0</v>
      </c>
      <c r="S512" s="20">
        <v>0</v>
      </c>
      <c r="T512" s="8">
        <v>0</v>
      </c>
      <c r="U512" s="20">
        <v>100000</v>
      </c>
      <c r="V512" s="1">
        <f t="shared" si="268"/>
        <v>5500</v>
      </c>
    </row>
    <row r="513" spans="1:22" ht="21.95" customHeight="1" x14ac:dyDescent="0.25">
      <c r="A513" s="18" t="s">
        <v>1619</v>
      </c>
      <c r="B513" s="25" t="s">
        <v>500</v>
      </c>
      <c r="C513" s="12">
        <f t="shared" si="232"/>
        <v>3320300</v>
      </c>
      <c r="D513" s="20">
        <f t="shared" si="266"/>
        <v>0</v>
      </c>
      <c r="E513" s="20">
        <v>0</v>
      </c>
      <c r="F513" s="20">
        <v>0</v>
      </c>
      <c r="G513" s="20">
        <v>0</v>
      </c>
      <c r="H513" s="20">
        <v>0</v>
      </c>
      <c r="I513" s="20">
        <v>0</v>
      </c>
      <c r="J513" s="20">
        <v>0</v>
      </c>
      <c r="K513" s="21">
        <v>0</v>
      </c>
      <c r="L513" s="20">
        <v>0</v>
      </c>
      <c r="M513" s="20">
        <v>394.6</v>
      </c>
      <c r="N513" s="20">
        <f t="shared" si="270"/>
        <v>2170300</v>
      </c>
      <c r="O513" s="20">
        <v>0</v>
      </c>
      <c r="P513" s="20">
        <v>0</v>
      </c>
      <c r="Q513" s="20">
        <v>350</v>
      </c>
      <c r="R513" s="20">
        <f t="shared" si="267"/>
        <v>1050000</v>
      </c>
      <c r="S513" s="20">
        <v>0</v>
      </c>
      <c r="T513" s="8">
        <v>0</v>
      </c>
      <c r="U513" s="20">
        <v>100000</v>
      </c>
      <c r="V513" s="1">
        <f t="shared" si="268"/>
        <v>5500</v>
      </c>
    </row>
    <row r="514" spans="1:22" ht="21.95" customHeight="1" x14ac:dyDescent="0.25">
      <c r="A514" s="18" t="s">
        <v>1620</v>
      </c>
      <c r="B514" s="25" t="s">
        <v>585</v>
      </c>
      <c r="C514" s="12">
        <f t="shared" si="232"/>
        <v>1629449.9999999998</v>
      </c>
      <c r="D514" s="20">
        <f t="shared" si="266"/>
        <v>0</v>
      </c>
      <c r="E514" s="20">
        <v>0</v>
      </c>
      <c r="F514" s="20">
        <v>0</v>
      </c>
      <c r="G514" s="20">
        <v>0</v>
      </c>
      <c r="H514" s="20">
        <v>0</v>
      </c>
      <c r="I514" s="20">
        <v>0</v>
      </c>
      <c r="J514" s="20">
        <v>0</v>
      </c>
      <c r="K514" s="9">
        <v>0</v>
      </c>
      <c r="L514" s="8">
        <v>0</v>
      </c>
      <c r="M514" s="8">
        <v>259.89999999999998</v>
      </c>
      <c r="N514" s="20">
        <f t="shared" si="270"/>
        <v>1429449.9999999998</v>
      </c>
      <c r="O514" s="8">
        <v>0</v>
      </c>
      <c r="P514" s="8">
        <v>0</v>
      </c>
      <c r="Q514" s="8">
        <v>0</v>
      </c>
      <c r="R514" s="20">
        <f t="shared" si="267"/>
        <v>0</v>
      </c>
      <c r="S514" s="8">
        <v>0</v>
      </c>
      <c r="T514" s="8">
        <v>0</v>
      </c>
      <c r="U514" s="8">
        <v>200000</v>
      </c>
      <c r="V514" s="1">
        <f t="shared" si="268"/>
        <v>5500</v>
      </c>
    </row>
    <row r="515" spans="1:22" ht="21.95" customHeight="1" x14ac:dyDescent="0.25">
      <c r="A515" s="18" t="s">
        <v>1621</v>
      </c>
      <c r="B515" s="25" t="s">
        <v>586</v>
      </c>
      <c r="C515" s="12">
        <f t="shared" si="232"/>
        <v>1608000</v>
      </c>
      <c r="D515" s="20">
        <f t="shared" si="266"/>
        <v>0</v>
      </c>
      <c r="E515" s="20">
        <v>0</v>
      </c>
      <c r="F515" s="20">
        <v>0</v>
      </c>
      <c r="G515" s="20">
        <v>0</v>
      </c>
      <c r="H515" s="20">
        <v>0</v>
      </c>
      <c r="I515" s="20">
        <v>0</v>
      </c>
      <c r="J515" s="20">
        <v>0</v>
      </c>
      <c r="K515" s="9">
        <v>0</v>
      </c>
      <c r="L515" s="8">
        <v>0</v>
      </c>
      <c r="M515" s="8">
        <v>256</v>
      </c>
      <c r="N515" s="20">
        <f t="shared" si="270"/>
        <v>1408000</v>
      </c>
      <c r="O515" s="8">
        <v>0</v>
      </c>
      <c r="P515" s="8">
        <v>0</v>
      </c>
      <c r="Q515" s="8">
        <v>0</v>
      </c>
      <c r="R515" s="20">
        <f t="shared" si="267"/>
        <v>0</v>
      </c>
      <c r="S515" s="8">
        <v>0</v>
      </c>
      <c r="T515" s="8">
        <v>0</v>
      </c>
      <c r="U515" s="8">
        <v>200000</v>
      </c>
      <c r="V515" s="1">
        <f t="shared" si="268"/>
        <v>5500</v>
      </c>
    </row>
    <row r="516" spans="1:22" ht="21.95" customHeight="1" x14ac:dyDescent="0.25">
      <c r="A516" s="18" t="s">
        <v>1622</v>
      </c>
      <c r="B516" s="25" t="s">
        <v>422</v>
      </c>
      <c r="C516" s="12">
        <f t="shared" si="232"/>
        <v>3658950</v>
      </c>
      <c r="D516" s="20">
        <f t="shared" si="266"/>
        <v>0</v>
      </c>
      <c r="E516" s="20">
        <v>0</v>
      </c>
      <c r="F516" s="20">
        <v>0</v>
      </c>
      <c r="G516" s="20">
        <v>0</v>
      </c>
      <c r="H516" s="20">
        <v>0</v>
      </c>
      <c r="I516" s="20">
        <v>0</v>
      </c>
      <c r="J516" s="20">
        <v>0</v>
      </c>
      <c r="K516" s="21">
        <v>0</v>
      </c>
      <c r="L516" s="20">
        <v>0</v>
      </c>
      <c r="M516" s="20">
        <v>628.9</v>
      </c>
      <c r="N516" s="20">
        <f t="shared" si="270"/>
        <v>3458950</v>
      </c>
      <c r="O516" s="20">
        <v>0</v>
      </c>
      <c r="P516" s="20">
        <v>0</v>
      </c>
      <c r="Q516" s="20">
        <v>0</v>
      </c>
      <c r="R516" s="20">
        <f t="shared" si="267"/>
        <v>0</v>
      </c>
      <c r="S516" s="20">
        <v>0</v>
      </c>
      <c r="T516" s="8">
        <v>0</v>
      </c>
      <c r="U516" s="20">
        <v>200000</v>
      </c>
      <c r="V516" s="1">
        <f t="shared" si="268"/>
        <v>5500</v>
      </c>
    </row>
    <row r="517" spans="1:22" ht="21.95" customHeight="1" x14ac:dyDescent="0.25">
      <c r="A517" s="18" t="s">
        <v>1287</v>
      </c>
      <c r="B517" s="31" t="s">
        <v>587</v>
      </c>
      <c r="C517" s="12">
        <f t="shared" si="232"/>
        <v>3908649.9999999995</v>
      </c>
      <c r="D517" s="20">
        <f t="shared" si="266"/>
        <v>0</v>
      </c>
      <c r="E517" s="20">
        <v>0</v>
      </c>
      <c r="F517" s="20">
        <v>0</v>
      </c>
      <c r="G517" s="20">
        <v>0</v>
      </c>
      <c r="H517" s="20">
        <v>0</v>
      </c>
      <c r="I517" s="20">
        <v>0</v>
      </c>
      <c r="J517" s="20">
        <v>0</v>
      </c>
      <c r="K517" s="9">
        <v>0</v>
      </c>
      <c r="L517" s="8">
        <v>0</v>
      </c>
      <c r="M517" s="8">
        <v>674.3</v>
      </c>
      <c r="N517" s="20">
        <f t="shared" si="270"/>
        <v>3708649.9999999995</v>
      </c>
      <c r="O517" s="8">
        <v>0</v>
      </c>
      <c r="P517" s="8">
        <v>0</v>
      </c>
      <c r="Q517" s="8">
        <v>0</v>
      </c>
      <c r="R517" s="20">
        <f t="shared" si="267"/>
        <v>0</v>
      </c>
      <c r="S517" s="8">
        <v>0</v>
      </c>
      <c r="T517" s="8">
        <v>0</v>
      </c>
      <c r="U517" s="8">
        <v>200000</v>
      </c>
      <c r="V517" s="1">
        <f t="shared" si="268"/>
        <v>5500</v>
      </c>
    </row>
    <row r="518" spans="1:22" ht="21.95" customHeight="1" x14ac:dyDescent="0.25">
      <c r="A518" s="18" t="s">
        <v>1288</v>
      </c>
      <c r="B518" s="31" t="s">
        <v>481</v>
      </c>
      <c r="C518" s="12">
        <f t="shared" si="232"/>
        <v>6599400</v>
      </c>
      <c r="D518" s="20">
        <f t="shared" si="266"/>
        <v>1383800</v>
      </c>
      <c r="E518" s="20">
        <f>350*748</f>
        <v>261800</v>
      </c>
      <c r="F518" s="20">
        <f>800*748</f>
        <v>598400</v>
      </c>
      <c r="G518" s="20">
        <f>300*748</f>
        <v>224400</v>
      </c>
      <c r="H518" s="20">
        <f>500*0</f>
        <v>0</v>
      </c>
      <c r="I518" s="20">
        <f>400*748</f>
        <v>299200</v>
      </c>
      <c r="J518" s="20">
        <f>350*0</f>
        <v>0</v>
      </c>
      <c r="K518" s="21">
        <v>0</v>
      </c>
      <c r="L518" s="20">
        <v>0</v>
      </c>
      <c r="M518" s="20">
        <v>639.20000000000005</v>
      </c>
      <c r="N518" s="20">
        <f t="shared" si="270"/>
        <v>3515600.0000000005</v>
      </c>
      <c r="O518" s="20">
        <v>0</v>
      </c>
      <c r="P518" s="20">
        <v>0</v>
      </c>
      <c r="Q518" s="20">
        <v>500</v>
      </c>
      <c r="R518" s="20">
        <f t="shared" si="267"/>
        <v>1500000</v>
      </c>
      <c r="S518" s="20">
        <v>0</v>
      </c>
      <c r="T518" s="8">
        <v>0</v>
      </c>
      <c r="U518" s="20">
        <v>200000</v>
      </c>
      <c r="V518" s="1">
        <f t="shared" si="268"/>
        <v>5500</v>
      </c>
    </row>
    <row r="519" spans="1:22" ht="21.95" customHeight="1" x14ac:dyDescent="0.25">
      <c r="A519" s="18" t="s">
        <v>1289</v>
      </c>
      <c r="B519" s="25" t="s">
        <v>588</v>
      </c>
      <c r="C519" s="12">
        <f t="shared" si="232"/>
        <v>1638800.0000000002</v>
      </c>
      <c r="D519" s="20">
        <f t="shared" si="266"/>
        <v>0</v>
      </c>
      <c r="E519" s="20">
        <v>0</v>
      </c>
      <c r="F519" s="20">
        <v>0</v>
      </c>
      <c r="G519" s="20">
        <v>0</v>
      </c>
      <c r="H519" s="20">
        <v>0</v>
      </c>
      <c r="I519" s="20">
        <v>0</v>
      </c>
      <c r="J519" s="20">
        <v>0</v>
      </c>
      <c r="K519" s="9">
        <v>0</v>
      </c>
      <c r="L519" s="8">
        <v>0</v>
      </c>
      <c r="M519" s="8">
        <v>261.60000000000002</v>
      </c>
      <c r="N519" s="20">
        <f t="shared" si="270"/>
        <v>1438800.0000000002</v>
      </c>
      <c r="O519" s="8">
        <v>0</v>
      </c>
      <c r="P519" s="8">
        <v>0</v>
      </c>
      <c r="Q519" s="8">
        <v>0</v>
      </c>
      <c r="R519" s="20">
        <f t="shared" si="267"/>
        <v>0</v>
      </c>
      <c r="S519" s="8">
        <v>0</v>
      </c>
      <c r="T519" s="8">
        <v>0</v>
      </c>
      <c r="U519" s="8">
        <v>200000</v>
      </c>
      <c r="V519" s="1">
        <f t="shared" si="268"/>
        <v>5500</v>
      </c>
    </row>
    <row r="520" spans="1:22" ht="21.95" customHeight="1" x14ac:dyDescent="0.25">
      <c r="A520" s="18" t="s">
        <v>1290</v>
      </c>
      <c r="B520" s="25" t="s">
        <v>589</v>
      </c>
      <c r="C520" s="12">
        <f t="shared" si="232"/>
        <v>6218612</v>
      </c>
      <c r="D520" s="20">
        <f t="shared" si="266"/>
        <v>2838612</v>
      </c>
      <c r="E520" s="20">
        <f>350*[1]Прилож!$H$478</f>
        <v>422772</v>
      </c>
      <c r="F520" s="20">
        <f>800*[1]Прилож!$H$478</f>
        <v>966336</v>
      </c>
      <c r="G520" s="20">
        <f>300*[1]Прилож!$H$478</f>
        <v>362376</v>
      </c>
      <c r="H520" s="20">
        <f>500*[1]Прилож!$H$478</f>
        <v>603960</v>
      </c>
      <c r="I520" s="20">
        <f>400*[1]Прилож!$H$478</f>
        <v>483168</v>
      </c>
      <c r="J520" s="20">
        <f>350*0</f>
        <v>0</v>
      </c>
      <c r="K520" s="9">
        <v>0</v>
      </c>
      <c r="L520" s="8">
        <v>0</v>
      </c>
      <c r="M520" s="8">
        <v>0</v>
      </c>
      <c r="N520" s="8">
        <v>0</v>
      </c>
      <c r="O520" s="8">
        <v>0</v>
      </c>
      <c r="P520" s="8">
        <v>0</v>
      </c>
      <c r="Q520" s="8">
        <v>1060</v>
      </c>
      <c r="R520" s="20">
        <f t="shared" si="267"/>
        <v>3180000</v>
      </c>
      <c r="S520" s="8">
        <v>0</v>
      </c>
      <c r="T520" s="8">
        <v>0</v>
      </c>
      <c r="U520" s="8">
        <v>200000</v>
      </c>
      <c r="V520" s="1" t="e">
        <f t="shared" si="268"/>
        <v>#DIV/0!</v>
      </c>
    </row>
    <row r="521" spans="1:22" ht="21.95" customHeight="1" x14ac:dyDescent="0.25">
      <c r="A521" s="18" t="s">
        <v>1291</v>
      </c>
      <c r="B521" s="25" t="s">
        <v>393</v>
      </c>
      <c r="C521" s="12">
        <f t="shared" si="232"/>
        <v>3038612</v>
      </c>
      <c r="D521" s="20">
        <f t="shared" si="266"/>
        <v>2838612</v>
      </c>
      <c r="E521" s="20">
        <f>350*1207.92</f>
        <v>422772</v>
      </c>
      <c r="F521" s="20">
        <f>800*1207.92</f>
        <v>966336</v>
      </c>
      <c r="G521" s="20">
        <f>300*1207.92</f>
        <v>362376</v>
      </c>
      <c r="H521" s="20">
        <f>500*1207.92</f>
        <v>603960</v>
      </c>
      <c r="I521" s="20">
        <f>400*1207.92</f>
        <v>483168</v>
      </c>
      <c r="J521" s="20">
        <f>350*0</f>
        <v>0</v>
      </c>
      <c r="K521" s="21">
        <v>0</v>
      </c>
      <c r="L521" s="20">
        <v>0</v>
      </c>
      <c r="M521" s="20">
        <v>0</v>
      </c>
      <c r="N521" s="20">
        <v>0</v>
      </c>
      <c r="O521" s="20">
        <v>0</v>
      </c>
      <c r="P521" s="20">
        <v>0</v>
      </c>
      <c r="Q521" s="20">
        <v>0</v>
      </c>
      <c r="R521" s="20">
        <f t="shared" si="267"/>
        <v>0</v>
      </c>
      <c r="S521" s="20">
        <v>0</v>
      </c>
      <c r="T521" s="20">
        <v>0</v>
      </c>
      <c r="U521" s="20">
        <v>200000</v>
      </c>
      <c r="V521" s="1" t="e">
        <f t="shared" si="268"/>
        <v>#DIV/0!</v>
      </c>
    </row>
    <row r="522" spans="1:22" ht="21.95" customHeight="1" x14ac:dyDescent="0.25">
      <c r="A522" s="18" t="s">
        <v>1292</v>
      </c>
      <c r="B522" s="25" t="s">
        <v>443</v>
      </c>
      <c r="C522" s="12">
        <f t="shared" si="232"/>
        <v>1937000</v>
      </c>
      <c r="D522" s="20">
        <f t="shared" si="266"/>
        <v>0</v>
      </c>
      <c r="E522" s="20">
        <v>0</v>
      </c>
      <c r="F522" s="20">
        <v>0</v>
      </c>
      <c r="G522" s="20">
        <v>0</v>
      </c>
      <c r="H522" s="20">
        <v>0</v>
      </c>
      <c r="I522" s="20">
        <v>0</v>
      </c>
      <c r="J522" s="20">
        <v>0</v>
      </c>
      <c r="K522" s="21">
        <v>0</v>
      </c>
      <c r="L522" s="20">
        <v>0</v>
      </c>
      <c r="M522" s="20">
        <v>334</v>
      </c>
      <c r="N522" s="20">
        <f t="shared" ref="N522:N531" si="271">M522*5500</f>
        <v>1837000</v>
      </c>
      <c r="O522" s="20">
        <v>0</v>
      </c>
      <c r="P522" s="20">
        <v>0</v>
      </c>
      <c r="Q522" s="20">
        <v>0</v>
      </c>
      <c r="R522" s="20">
        <f t="shared" si="267"/>
        <v>0</v>
      </c>
      <c r="S522" s="20">
        <v>0</v>
      </c>
      <c r="T522" s="8">
        <v>0</v>
      </c>
      <c r="U522" s="20">
        <v>100000</v>
      </c>
      <c r="V522" s="1">
        <f t="shared" si="268"/>
        <v>5500</v>
      </c>
    </row>
    <row r="523" spans="1:22" ht="21.95" customHeight="1" x14ac:dyDescent="0.25">
      <c r="A523" s="18" t="s">
        <v>1293</v>
      </c>
      <c r="B523" s="25" t="s">
        <v>444</v>
      </c>
      <c r="C523" s="12">
        <f t="shared" si="232"/>
        <v>1948000</v>
      </c>
      <c r="D523" s="20">
        <f t="shared" si="266"/>
        <v>0</v>
      </c>
      <c r="E523" s="20">
        <v>0</v>
      </c>
      <c r="F523" s="20">
        <v>0</v>
      </c>
      <c r="G523" s="20">
        <v>0</v>
      </c>
      <c r="H523" s="20">
        <v>0</v>
      </c>
      <c r="I523" s="20">
        <v>0</v>
      </c>
      <c r="J523" s="20">
        <v>0</v>
      </c>
      <c r="K523" s="21">
        <v>0</v>
      </c>
      <c r="L523" s="20">
        <v>0</v>
      </c>
      <c r="M523" s="20">
        <v>336</v>
      </c>
      <c r="N523" s="20">
        <f t="shared" si="271"/>
        <v>1848000</v>
      </c>
      <c r="O523" s="20">
        <v>0</v>
      </c>
      <c r="P523" s="20">
        <v>0</v>
      </c>
      <c r="Q523" s="20">
        <v>0</v>
      </c>
      <c r="R523" s="20">
        <f t="shared" si="267"/>
        <v>0</v>
      </c>
      <c r="S523" s="20">
        <v>0</v>
      </c>
      <c r="T523" s="8">
        <v>0</v>
      </c>
      <c r="U523" s="20">
        <v>100000</v>
      </c>
      <c r="V523" s="1">
        <f t="shared" si="268"/>
        <v>5500</v>
      </c>
    </row>
    <row r="524" spans="1:22" ht="21.95" customHeight="1" x14ac:dyDescent="0.25">
      <c r="A524" s="18" t="s">
        <v>1294</v>
      </c>
      <c r="B524" s="25" t="s">
        <v>590</v>
      </c>
      <c r="C524" s="12">
        <f t="shared" si="232"/>
        <v>3307500</v>
      </c>
      <c r="D524" s="20">
        <f t="shared" si="266"/>
        <v>0</v>
      </c>
      <c r="E524" s="20">
        <v>0</v>
      </c>
      <c r="F524" s="20">
        <v>0</v>
      </c>
      <c r="G524" s="20">
        <v>0</v>
      </c>
      <c r="H524" s="20">
        <v>0</v>
      </c>
      <c r="I524" s="20">
        <v>0</v>
      </c>
      <c r="J524" s="20">
        <v>0</v>
      </c>
      <c r="K524" s="9">
        <v>0</v>
      </c>
      <c r="L524" s="8">
        <v>0</v>
      </c>
      <c r="M524" s="8">
        <v>565</v>
      </c>
      <c r="N524" s="20">
        <f t="shared" si="271"/>
        <v>3107500</v>
      </c>
      <c r="O524" s="8">
        <v>0</v>
      </c>
      <c r="P524" s="8">
        <v>0</v>
      </c>
      <c r="Q524" s="8">
        <v>0</v>
      </c>
      <c r="R524" s="20">
        <f t="shared" si="267"/>
        <v>0</v>
      </c>
      <c r="S524" s="8">
        <v>0</v>
      </c>
      <c r="T524" s="8">
        <v>0</v>
      </c>
      <c r="U524" s="8">
        <v>200000</v>
      </c>
      <c r="V524" s="1">
        <f t="shared" si="268"/>
        <v>5500</v>
      </c>
    </row>
    <row r="525" spans="1:22" ht="21.95" customHeight="1" x14ac:dyDescent="0.25">
      <c r="A525" s="18" t="s">
        <v>1295</v>
      </c>
      <c r="B525" s="25" t="s">
        <v>1386</v>
      </c>
      <c r="C525" s="12">
        <f t="shared" si="232"/>
        <v>1748360</v>
      </c>
      <c r="D525" s="20">
        <f t="shared" si="266"/>
        <v>0</v>
      </c>
      <c r="E525" s="20">
        <v>0</v>
      </c>
      <c r="F525" s="20">
        <v>0</v>
      </c>
      <c r="G525" s="20">
        <v>0</v>
      </c>
      <c r="H525" s="20">
        <v>0</v>
      </c>
      <c r="I525" s="20">
        <v>0</v>
      </c>
      <c r="J525" s="20">
        <v>0</v>
      </c>
      <c r="K525" s="9">
        <v>0</v>
      </c>
      <c r="L525" s="8">
        <v>0</v>
      </c>
      <c r="M525" s="8">
        <v>281.52</v>
      </c>
      <c r="N525" s="20">
        <f t="shared" si="271"/>
        <v>1548360</v>
      </c>
      <c r="O525" s="8">
        <v>0</v>
      </c>
      <c r="P525" s="8">
        <v>0</v>
      </c>
      <c r="Q525" s="8">
        <v>0</v>
      </c>
      <c r="R525" s="20">
        <f t="shared" si="267"/>
        <v>0</v>
      </c>
      <c r="S525" s="8">
        <v>0</v>
      </c>
      <c r="T525" s="8">
        <v>0</v>
      </c>
      <c r="U525" s="8">
        <v>200000</v>
      </c>
      <c r="V525" s="1">
        <f t="shared" si="268"/>
        <v>5500</v>
      </c>
    </row>
    <row r="526" spans="1:22" ht="21.95" customHeight="1" x14ac:dyDescent="0.25">
      <c r="A526" s="18" t="s">
        <v>1296</v>
      </c>
      <c r="B526" s="25" t="s">
        <v>399</v>
      </c>
      <c r="C526" s="12">
        <f t="shared" si="232"/>
        <v>3480200</v>
      </c>
      <c r="D526" s="20">
        <f t="shared" si="266"/>
        <v>0</v>
      </c>
      <c r="E526" s="20">
        <v>0</v>
      </c>
      <c r="F526" s="20">
        <v>0</v>
      </c>
      <c r="G526" s="20">
        <v>0</v>
      </c>
      <c r="H526" s="20">
        <v>0</v>
      </c>
      <c r="I526" s="20">
        <v>0</v>
      </c>
      <c r="J526" s="20">
        <v>0</v>
      </c>
      <c r="K526" s="21">
        <v>0</v>
      </c>
      <c r="L526" s="20">
        <v>0</v>
      </c>
      <c r="M526" s="20">
        <v>394</v>
      </c>
      <c r="N526" s="20">
        <f t="shared" si="271"/>
        <v>2167000</v>
      </c>
      <c r="O526" s="20">
        <v>0</v>
      </c>
      <c r="P526" s="20">
        <v>0</v>
      </c>
      <c r="Q526" s="20">
        <v>404.4</v>
      </c>
      <c r="R526" s="20">
        <f t="shared" si="267"/>
        <v>1213200</v>
      </c>
      <c r="S526" s="20">
        <v>0</v>
      </c>
      <c r="T526" s="8">
        <v>0</v>
      </c>
      <c r="U526" s="20">
        <v>100000</v>
      </c>
      <c r="V526" s="1">
        <f t="shared" si="268"/>
        <v>5500</v>
      </c>
    </row>
    <row r="527" spans="1:22" ht="21.95" customHeight="1" x14ac:dyDescent="0.25">
      <c r="A527" s="18" t="s">
        <v>1297</v>
      </c>
      <c r="B527" s="25" t="s">
        <v>514</v>
      </c>
      <c r="C527" s="12">
        <f t="shared" si="232"/>
        <v>2777000</v>
      </c>
      <c r="D527" s="20">
        <f t="shared" si="266"/>
        <v>0</v>
      </c>
      <c r="E527" s="20">
        <v>0</v>
      </c>
      <c r="F527" s="20">
        <v>0</v>
      </c>
      <c r="G527" s="20">
        <v>0</v>
      </c>
      <c r="H527" s="20">
        <v>0</v>
      </c>
      <c r="I527" s="20">
        <v>0</v>
      </c>
      <c r="J527" s="20">
        <v>0</v>
      </c>
      <c r="K527" s="9">
        <v>0</v>
      </c>
      <c r="L527" s="8">
        <v>0</v>
      </c>
      <c r="M527" s="8">
        <v>270</v>
      </c>
      <c r="N527" s="20">
        <f t="shared" si="271"/>
        <v>1485000</v>
      </c>
      <c r="O527" s="8">
        <v>0</v>
      </c>
      <c r="P527" s="8">
        <v>0</v>
      </c>
      <c r="Q527" s="8">
        <v>364</v>
      </c>
      <c r="R527" s="20">
        <f t="shared" si="267"/>
        <v>1092000</v>
      </c>
      <c r="S527" s="8">
        <v>0</v>
      </c>
      <c r="T527" s="8">
        <v>0</v>
      </c>
      <c r="U527" s="8">
        <v>200000</v>
      </c>
      <c r="V527" s="1">
        <f t="shared" si="268"/>
        <v>5500</v>
      </c>
    </row>
    <row r="528" spans="1:22" ht="21.95" customHeight="1" x14ac:dyDescent="0.25">
      <c r="A528" s="18" t="s">
        <v>1298</v>
      </c>
      <c r="B528" s="25" t="s">
        <v>591</v>
      </c>
      <c r="C528" s="12">
        <f t="shared" si="232"/>
        <v>1723500</v>
      </c>
      <c r="D528" s="20">
        <f t="shared" si="266"/>
        <v>0</v>
      </c>
      <c r="E528" s="20">
        <v>0</v>
      </c>
      <c r="F528" s="20">
        <v>0</v>
      </c>
      <c r="G528" s="20">
        <v>0</v>
      </c>
      <c r="H528" s="20">
        <v>0</v>
      </c>
      <c r="I528" s="20">
        <v>0</v>
      </c>
      <c r="J528" s="20">
        <v>0</v>
      </c>
      <c r="K528" s="9">
        <v>0</v>
      </c>
      <c r="L528" s="8">
        <v>0</v>
      </c>
      <c r="M528" s="8">
        <v>277</v>
      </c>
      <c r="N528" s="20">
        <f t="shared" si="271"/>
        <v>1523500</v>
      </c>
      <c r="O528" s="8">
        <v>0</v>
      </c>
      <c r="P528" s="8">
        <v>0</v>
      </c>
      <c r="Q528" s="8">
        <v>0</v>
      </c>
      <c r="R528" s="20">
        <f t="shared" si="267"/>
        <v>0</v>
      </c>
      <c r="S528" s="8">
        <v>0</v>
      </c>
      <c r="T528" s="8">
        <v>0</v>
      </c>
      <c r="U528" s="8">
        <v>200000</v>
      </c>
      <c r="V528" s="1">
        <f t="shared" si="268"/>
        <v>5500</v>
      </c>
    </row>
    <row r="529" spans="1:22" ht="21.95" customHeight="1" x14ac:dyDescent="0.25">
      <c r="A529" s="18" t="s">
        <v>1299</v>
      </c>
      <c r="B529" s="25" t="s">
        <v>688</v>
      </c>
      <c r="C529" s="12">
        <f t="shared" si="232"/>
        <v>930950</v>
      </c>
      <c r="D529" s="20">
        <f t="shared" si="266"/>
        <v>0</v>
      </c>
      <c r="E529" s="20">
        <v>0</v>
      </c>
      <c r="F529" s="20">
        <v>0</v>
      </c>
      <c r="G529" s="20">
        <v>0</v>
      </c>
      <c r="H529" s="20">
        <v>0</v>
      </c>
      <c r="I529" s="20">
        <v>0</v>
      </c>
      <c r="J529" s="20">
        <v>0</v>
      </c>
      <c r="K529" s="21">
        <v>0</v>
      </c>
      <c r="L529" s="20">
        <v>0</v>
      </c>
      <c r="M529" s="20">
        <v>132.9</v>
      </c>
      <c r="N529" s="20">
        <f t="shared" si="271"/>
        <v>730950</v>
      </c>
      <c r="O529" s="20">
        <v>0</v>
      </c>
      <c r="P529" s="20">
        <v>0</v>
      </c>
      <c r="Q529" s="20">
        <v>0</v>
      </c>
      <c r="R529" s="20">
        <f t="shared" si="267"/>
        <v>0</v>
      </c>
      <c r="S529" s="20">
        <v>0</v>
      </c>
      <c r="T529" s="8">
        <v>0</v>
      </c>
      <c r="U529" s="20">
        <v>200000</v>
      </c>
      <c r="V529" s="1">
        <f t="shared" si="268"/>
        <v>5500</v>
      </c>
    </row>
    <row r="530" spans="1:22" ht="21.95" customHeight="1" x14ac:dyDescent="0.25">
      <c r="A530" s="18" t="s">
        <v>1300</v>
      </c>
      <c r="B530" s="25" t="s">
        <v>515</v>
      </c>
      <c r="C530" s="12">
        <f t="shared" si="232"/>
        <v>1749900</v>
      </c>
      <c r="D530" s="20">
        <f t="shared" si="266"/>
        <v>0</v>
      </c>
      <c r="E530" s="20">
        <v>0</v>
      </c>
      <c r="F530" s="20">
        <v>0</v>
      </c>
      <c r="G530" s="20">
        <v>0</v>
      </c>
      <c r="H530" s="20">
        <v>0</v>
      </c>
      <c r="I530" s="20">
        <v>0</v>
      </c>
      <c r="J530" s="20">
        <v>0</v>
      </c>
      <c r="K530" s="9">
        <v>0</v>
      </c>
      <c r="L530" s="8">
        <v>0</v>
      </c>
      <c r="M530" s="8">
        <v>281.8</v>
      </c>
      <c r="N530" s="20">
        <f t="shared" si="271"/>
        <v>1549900</v>
      </c>
      <c r="O530" s="8">
        <v>0</v>
      </c>
      <c r="P530" s="8">
        <v>0</v>
      </c>
      <c r="Q530" s="8">
        <v>0</v>
      </c>
      <c r="R530" s="20">
        <f t="shared" si="267"/>
        <v>0</v>
      </c>
      <c r="S530" s="8">
        <v>0</v>
      </c>
      <c r="T530" s="8">
        <v>0</v>
      </c>
      <c r="U530" s="8">
        <v>200000</v>
      </c>
      <c r="V530" s="1">
        <f t="shared" si="268"/>
        <v>5500</v>
      </c>
    </row>
    <row r="531" spans="1:22" ht="21.95" customHeight="1" x14ac:dyDescent="0.25">
      <c r="A531" s="18" t="s">
        <v>1301</v>
      </c>
      <c r="B531" s="25" t="s">
        <v>592</v>
      </c>
      <c r="C531" s="12">
        <f t="shared" si="232"/>
        <v>3016000</v>
      </c>
      <c r="D531" s="20">
        <f t="shared" si="266"/>
        <v>0</v>
      </c>
      <c r="E531" s="20">
        <v>0</v>
      </c>
      <c r="F531" s="20">
        <v>0</v>
      </c>
      <c r="G531" s="20">
        <v>0</v>
      </c>
      <c r="H531" s="20">
        <v>0</v>
      </c>
      <c r="I531" s="20">
        <v>0</v>
      </c>
      <c r="J531" s="20">
        <v>0</v>
      </c>
      <c r="K531" s="9">
        <v>0</v>
      </c>
      <c r="L531" s="8">
        <v>0</v>
      </c>
      <c r="M531" s="8">
        <v>512</v>
      </c>
      <c r="N531" s="20">
        <f t="shared" si="271"/>
        <v>2816000</v>
      </c>
      <c r="O531" s="8">
        <v>0</v>
      </c>
      <c r="P531" s="8">
        <v>0</v>
      </c>
      <c r="Q531" s="8">
        <v>0</v>
      </c>
      <c r="R531" s="20">
        <f t="shared" si="267"/>
        <v>0</v>
      </c>
      <c r="S531" s="8">
        <v>0</v>
      </c>
      <c r="T531" s="8">
        <v>0</v>
      </c>
      <c r="U531" s="8">
        <v>200000</v>
      </c>
      <c r="V531" s="1">
        <f t="shared" si="268"/>
        <v>5500</v>
      </c>
    </row>
    <row r="532" spans="1:22" ht="21.95" customHeight="1" x14ac:dyDescent="0.25">
      <c r="A532" s="18" t="s">
        <v>1302</v>
      </c>
      <c r="B532" s="31" t="s">
        <v>593</v>
      </c>
      <c r="C532" s="12">
        <f t="shared" si="232"/>
        <v>8965500</v>
      </c>
      <c r="D532" s="20">
        <f t="shared" si="266"/>
        <v>8765500</v>
      </c>
      <c r="E532" s="20">
        <f>350*[1]Прилож!$H$517</f>
        <v>1305500</v>
      </c>
      <c r="F532" s="20">
        <f>800*[1]Прилож!$H$517</f>
        <v>2984000</v>
      </c>
      <c r="G532" s="20">
        <f>300*[1]Прилож!$H$517</f>
        <v>1119000</v>
      </c>
      <c r="H532" s="20">
        <f>500*[1]Прилож!$H$517</f>
        <v>1865000</v>
      </c>
      <c r="I532" s="20">
        <f>400*[1]Прилож!$H$517</f>
        <v>1492000</v>
      </c>
      <c r="J532" s="20">
        <f>350*0</f>
        <v>0</v>
      </c>
      <c r="K532" s="9">
        <v>0</v>
      </c>
      <c r="L532" s="8">
        <v>0</v>
      </c>
      <c r="M532" s="8">
        <v>0</v>
      </c>
      <c r="N532" s="8">
        <v>0</v>
      </c>
      <c r="O532" s="8">
        <v>0</v>
      </c>
      <c r="P532" s="8">
        <v>0</v>
      </c>
      <c r="Q532" s="8">
        <v>0</v>
      </c>
      <c r="R532" s="20">
        <f t="shared" si="267"/>
        <v>0</v>
      </c>
      <c r="S532" s="8">
        <v>0</v>
      </c>
      <c r="T532" s="8">
        <v>0</v>
      </c>
      <c r="U532" s="8">
        <v>200000</v>
      </c>
      <c r="V532" s="1" t="e">
        <f t="shared" si="268"/>
        <v>#DIV/0!</v>
      </c>
    </row>
    <row r="533" spans="1:22" ht="21.95" customHeight="1" x14ac:dyDescent="0.25">
      <c r="A533" s="18" t="s">
        <v>1303</v>
      </c>
      <c r="B533" s="25" t="s">
        <v>594</v>
      </c>
      <c r="C533" s="12">
        <f t="shared" si="232"/>
        <v>1523990</v>
      </c>
      <c r="D533" s="20">
        <f t="shared" si="266"/>
        <v>1323990</v>
      </c>
      <c r="E533" s="20">
        <f>350*[1]Прилож!$H$519</f>
        <v>197190</v>
      </c>
      <c r="F533" s="20">
        <f>800*[1]Прилож!$H$519</f>
        <v>450720</v>
      </c>
      <c r="G533" s="20">
        <f>300*[1]Прилож!$H$519</f>
        <v>169020</v>
      </c>
      <c r="H533" s="20">
        <f>500*[1]Прилож!$H$519</f>
        <v>281700</v>
      </c>
      <c r="I533" s="20">
        <f>400*[1]Прилож!$H$519</f>
        <v>225360</v>
      </c>
      <c r="J533" s="20">
        <f>350*0</f>
        <v>0</v>
      </c>
      <c r="K533" s="9">
        <v>0</v>
      </c>
      <c r="L533" s="8">
        <v>0</v>
      </c>
      <c r="M533" s="8">
        <v>0</v>
      </c>
      <c r="N533" s="8">
        <v>0</v>
      </c>
      <c r="O533" s="8">
        <v>0</v>
      </c>
      <c r="P533" s="8">
        <v>0</v>
      </c>
      <c r="Q533" s="8">
        <v>0</v>
      </c>
      <c r="R533" s="20">
        <f t="shared" si="267"/>
        <v>0</v>
      </c>
      <c r="S533" s="8">
        <v>0</v>
      </c>
      <c r="T533" s="8">
        <v>0</v>
      </c>
      <c r="U533" s="8">
        <v>200000</v>
      </c>
      <c r="V533" s="1" t="e">
        <f t="shared" si="268"/>
        <v>#DIV/0!</v>
      </c>
    </row>
    <row r="534" spans="1:22" ht="21.95" customHeight="1" x14ac:dyDescent="0.25">
      <c r="A534" s="18" t="s">
        <v>1304</v>
      </c>
      <c r="B534" s="31" t="s">
        <v>595</v>
      </c>
      <c r="C534" s="12">
        <f t="shared" si="232"/>
        <v>3469320</v>
      </c>
      <c r="D534" s="20">
        <f t="shared" si="266"/>
        <v>3269320</v>
      </c>
      <c r="E534" s="20">
        <f>350*[1]Прилож!$H$513</f>
        <v>486920</v>
      </c>
      <c r="F534" s="20">
        <f>800*[1]Прилож!$H$513</f>
        <v>1112960</v>
      </c>
      <c r="G534" s="20">
        <f>300*[1]Прилож!$H$513</f>
        <v>417360</v>
      </c>
      <c r="H534" s="20">
        <f>500*[1]Прилож!$H$513</f>
        <v>695600</v>
      </c>
      <c r="I534" s="20">
        <f>400*[1]Прилож!$H$513</f>
        <v>556480</v>
      </c>
      <c r="J534" s="20">
        <f>350*0</f>
        <v>0</v>
      </c>
      <c r="K534" s="9">
        <v>0</v>
      </c>
      <c r="L534" s="8">
        <v>0</v>
      </c>
      <c r="M534" s="8">
        <v>0</v>
      </c>
      <c r="N534" s="8">
        <v>0</v>
      </c>
      <c r="O534" s="8">
        <v>0</v>
      </c>
      <c r="P534" s="8">
        <v>0</v>
      </c>
      <c r="Q534" s="8">
        <v>0</v>
      </c>
      <c r="R534" s="20">
        <f t="shared" si="267"/>
        <v>0</v>
      </c>
      <c r="S534" s="8">
        <v>0</v>
      </c>
      <c r="T534" s="8">
        <v>0</v>
      </c>
      <c r="U534" s="8">
        <v>200000</v>
      </c>
      <c r="V534" s="1" t="e">
        <f t="shared" si="268"/>
        <v>#DIV/0!</v>
      </c>
    </row>
    <row r="535" spans="1:22" ht="21.95" customHeight="1" x14ac:dyDescent="0.25">
      <c r="A535" s="18" t="s">
        <v>1305</v>
      </c>
      <c r="B535" s="31" t="s">
        <v>1227</v>
      </c>
      <c r="C535" s="12">
        <f t="shared" ref="C535:C600" si="272">D535+L535+N535+P535+R535+S535+T535+U535</f>
        <v>3680500</v>
      </c>
      <c r="D535" s="20">
        <f t="shared" si="266"/>
        <v>0</v>
      </c>
      <c r="E535" s="20">
        <v>0</v>
      </c>
      <c r="F535" s="20">
        <v>0</v>
      </c>
      <c r="G535" s="20">
        <v>0</v>
      </c>
      <c r="H535" s="20">
        <v>0</v>
      </c>
      <c r="I535" s="20">
        <v>0</v>
      </c>
      <c r="J535" s="20">
        <v>0</v>
      </c>
      <c r="K535" s="9">
        <v>0</v>
      </c>
      <c r="L535" s="8">
        <v>0</v>
      </c>
      <c r="M535" s="8">
        <v>371</v>
      </c>
      <c r="N535" s="20">
        <f t="shared" ref="N535:N540" si="273">M535*5500</f>
        <v>2040500</v>
      </c>
      <c r="O535" s="8">
        <v>0</v>
      </c>
      <c r="P535" s="8">
        <v>0</v>
      </c>
      <c r="Q535" s="8">
        <v>480</v>
      </c>
      <c r="R535" s="20">
        <f t="shared" si="267"/>
        <v>1440000</v>
      </c>
      <c r="S535" s="8">
        <v>0</v>
      </c>
      <c r="T535" s="8">
        <v>0</v>
      </c>
      <c r="U535" s="8">
        <v>200000</v>
      </c>
      <c r="V535" s="1">
        <f t="shared" si="268"/>
        <v>5500</v>
      </c>
    </row>
    <row r="536" spans="1:22" ht="21.95" customHeight="1" x14ac:dyDescent="0.25">
      <c r="A536" s="18" t="s">
        <v>1306</v>
      </c>
      <c r="B536" s="31" t="s">
        <v>432</v>
      </c>
      <c r="C536" s="12">
        <f t="shared" si="272"/>
        <v>2300000</v>
      </c>
      <c r="D536" s="20">
        <f t="shared" si="266"/>
        <v>0</v>
      </c>
      <c r="E536" s="20">
        <v>0</v>
      </c>
      <c r="F536" s="20">
        <v>0</v>
      </c>
      <c r="G536" s="20">
        <v>0</v>
      </c>
      <c r="H536" s="20">
        <v>0</v>
      </c>
      <c r="I536" s="20">
        <v>0</v>
      </c>
      <c r="J536" s="20">
        <v>0</v>
      </c>
      <c r="K536" s="21">
        <v>0</v>
      </c>
      <c r="L536" s="20">
        <v>0</v>
      </c>
      <c r="M536" s="20">
        <v>400</v>
      </c>
      <c r="N536" s="20">
        <f t="shared" si="273"/>
        <v>2200000</v>
      </c>
      <c r="O536" s="20">
        <v>0</v>
      </c>
      <c r="P536" s="20">
        <v>0</v>
      </c>
      <c r="Q536" s="20">
        <v>0</v>
      </c>
      <c r="R536" s="20">
        <f t="shared" si="267"/>
        <v>0</v>
      </c>
      <c r="S536" s="20">
        <v>0</v>
      </c>
      <c r="T536" s="8">
        <v>0</v>
      </c>
      <c r="U536" s="20">
        <v>100000</v>
      </c>
      <c r="V536" s="1">
        <f t="shared" si="268"/>
        <v>5500</v>
      </c>
    </row>
    <row r="537" spans="1:22" ht="21.95" customHeight="1" x14ac:dyDescent="0.25">
      <c r="A537" s="18" t="s">
        <v>1307</v>
      </c>
      <c r="B537" s="31" t="s">
        <v>437</v>
      </c>
      <c r="C537" s="12">
        <f t="shared" si="272"/>
        <v>3862000</v>
      </c>
      <c r="D537" s="20">
        <f t="shared" si="266"/>
        <v>0</v>
      </c>
      <c r="E537" s="20">
        <v>0</v>
      </c>
      <c r="F537" s="20">
        <v>0</v>
      </c>
      <c r="G537" s="20">
        <v>0</v>
      </c>
      <c r="H537" s="20">
        <v>0</v>
      </c>
      <c r="I537" s="20">
        <v>0</v>
      </c>
      <c r="J537" s="20">
        <v>0</v>
      </c>
      <c r="K537" s="21">
        <v>0</v>
      </c>
      <c r="L537" s="20">
        <v>0</v>
      </c>
      <c r="M537" s="20">
        <v>402</v>
      </c>
      <c r="N537" s="20">
        <f t="shared" si="273"/>
        <v>2211000</v>
      </c>
      <c r="O537" s="20">
        <v>0</v>
      </c>
      <c r="P537" s="20">
        <v>0</v>
      </c>
      <c r="Q537" s="20">
        <v>517</v>
      </c>
      <c r="R537" s="20">
        <f t="shared" si="267"/>
        <v>1551000</v>
      </c>
      <c r="S537" s="20">
        <v>0</v>
      </c>
      <c r="T537" s="8">
        <v>0</v>
      </c>
      <c r="U537" s="20">
        <v>100000</v>
      </c>
      <c r="V537" s="1">
        <f t="shared" si="268"/>
        <v>5500</v>
      </c>
    </row>
    <row r="538" spans="1:22" ht="21.95" customHeight="1" x14ac:dyDescent="0.25">
      <c r="A538" s="18" t="s">
        <v>1308</v>
      </c>
      <c r="B538" s="31" t="s">
        <v>516</v>
      </c>
      <c r="C538" s="12">
        <f t="shared" si="272"/>
        <v>2086500</v>
      </c>
      <c r="D538" s="20">
        <f t="shared" si="266"/>
        <v>0</v>
      </c>
      <c r="E538" s="20">
        <v>0</v>
      </c>
      <c r="F538" s="20">
        <v>0</v>
      </c>
      <c r="G538" s="20">
        <v>0</v>
      </c>
      <c r="H538" s="20">
        <v>0</v>
      </c>
      <c r="I538" s="20">
        <v>0</v>
      </c>
      <c r="J538" s="20">
        <v>0</v>
      </c>
      <c r="K538" s="9">
        <v>0</v>
      </c>
      <c r="L538" s="8">
        <v>0</v>
      </c>
      <c r="M538" s="8">
        <v>343</v>
      </c>
      <c r="N538" s="20">
        <f t="shared" si="273"/>
        <v>1886500</v>
      </c>
      <c r="O538" s="8">
        <v>0</v>
      </c>
      <c r="P538" s="8">
        <v>0</v>
      </c>
      <c r="Q538" s="8">
        <v>0</v>
      </c>
      <c r="R538" s="20">
        <f t="shared" si="267"/>
        <v>0</v>
      </c>
      <c r="S538" s="8">
        <v>0</v>
      </c>
      <c r="T538" s="8">
        <v>0</v>
      </c>
      <c r="U538" s="8">
        <v>200000</v>
      </c>
      <c r="V538" s="1">
        <f t="shared" si="268"/>
        <v>5500</v>
      </c>
    </row>
    <row r="539" spans="1:22" ht="21.95" customHeight="1" x14ac:dyDescent="0.25">
      <c r="A539" s="18" t="s">
        <v>1309</v>
      </c>
      <c r="B539" s="31" t="s">
        <v>467</v>
      </c>
      <c r="C539" s="12">
        <f t="shared" si="272"/>
        <v>2030500</v>
      </c>
      <c r="D539" s="20">
        <f t="shared" si="266"/>
        <v>0</v>
      </c>
      <c r="E539" s="20">
        <v>0</v>
      </c>
      <c r="F539" s="20">
        <v>0</v>
      </c>
      <c r="G539" s="20">
        <v>0</v>
      </c>
      <c r="H539" s="20">
        <v>0</v>
      </c>
      <c r="I539" s="20">
        <v>0</v>
      </c>
      <c r="J539" s="20">
        <v>0</v>
      </c>
      <c r="K539" s="21">
        <v>0</v>
      </c>
      <c r="L539" s="20">
        <v>0</v>
      </c>
      <c r="M539" s="20">
        <v>351</v>
      </c>
      <c r="N539" s="20">
        <f t="shared" si="273"/>
        <v>1930500</v>
      </c>
      <c r="O539" s="20">
        <v>0</v>
      </c>
      <c r="P539" s="20">
        <v>0</v>
      </c>
      <c r="Q539" s="20">
        <v>0</v>
      </c>
      <c r="R539" s="20">
        <f t="shared" si="267"/>
        <v>0</v>
      </c>
      <c r="S539" s="20">
        <v>0</v>
      </c>
      <c r="T539" s="8">
        <v>0</v>
      </c>
      <c r="U539" s="20">
        <v>100000</v>
      </c>
      <c r="V539" s="1">
        <f t="shared" si="268"/>
        <v>5500</v>
      </c>
    </row>
    <row r="540" spans="1:22" ht="31.5" x14ac:dyDescent="0.25">
      <c r="A540" s="18" t="s">
        <v>1310</v>
      </c>
      <c r="B540" s="25" t="s">
        <v>1456</v>
      </c>
      <c r="C540" s="12">
        <f t="shared" si="272"/>
        <v>5397500</v>
      </c>
      <c r="D540" s="20">
        <f t="shared" si="266"/>
        <v>0</v>
      </c>
      <c r="E540" s="20">
        <v>0</v>
      </c>
      <c r="F540" s="20">
        <v>0</v>
      </c>
      <c r="G540" s="20">
        <v>0</v>
      </c>
      <c r="H540" s="20">
        <v>0</v>
      </c>
      <c r="I540" s="20">
        <v>0</v>
      </c>
      <c r="J540" s="20">
        <v>0</v>
      </c>
      <c r="K540" s="9">
        <v>0</v>
      </c>
      <c r="L540" s="8">
        <v>0</v>
      </c>
      <c r="M540" s="8">
        <v>945</v>
      </c>
      <c r="N540" s="20">
        <f t="shared" si="273"/>
        <v>5197500</v>
      </c>
      <c r="O540" s="8">
        <v>0</v>
      </c>
      <c r="P540" s="8">
        <v>0</v>
      </c>
      <c r="Q540" s="8">
        <v>0</v>
      </c>
      <c r="R540" s="20">
        <f t="shared" si="267"/>
        <v>0</v>
      </c>
      <c r="S540" s="8">
        <v>0</v>
      </c>
      <c r="T540" s="8">
        <v>0</v>
      </c>
      <c r="U540" s="8">
        <v>200000</v>
      </c>
      <c r="V540" s="1">
        <f t="shared" si="268"/>
        <v>5500</v>
      </c>
    </row>
    <row r="541" spans="1:22" ht="21.95" customHeight="1" x14ac:dyDescent="0.25">
      <c r="A541" s="18" t="s">
        <v>1311</v>
      </c>
      <c r="B541" s="25" t="s">
        <v>694</v>
      </c>
      <c r="C541" s="12">
        <f t="shared" si="272"/>
        <v>300000</v>
      </c>
      <c r="D541" s="20">
        <f t="shared" si="266"/>
        <v>0</v>
      </c>
      <c r="E541" s="20">
        <v>0</v>
      </c>
      <c r="F541" s="20">
        <v>0</v>
      </c>
      <c r="G541" s="20">
        <v>0</v>
      </c>
      <c r="H541" s="20">
        <v>0</v>
      </c>
      <c r="I541" s="20">
        <v>0</v>
      </c>
      <c r="J541" s="20">
        <v>0</v>
      </c>
      <c r="K541" s="9">
        <v>0</v>
      </c>
      <c r="L541" s="20">
        <v>0</v>
      </c>
      <c r="M541" s="20">
        <v>0</v>
      </c>
      <c r="N541" s="24">
        <v>0</v>
      </c>
      <c r="O541" s="20">
        <v>0</v>
      </c>
      <c r="P541" s="20">
        <v>0</v>
      </c>
      <c r="Q541" s="20">
        <v>0</v>
      </c>
      <c r="R541" s="20">
        <f t="shared" si="267"/>
        <v>0</v>
      </c>
      <c r="S541" s="20">
        <v>0</v>
      </c>
      <c r="T541" s="8">
        <v>0</v>
      </c>
      <c r="U541" s="20">
        <v>300000</v>
      </c>
      <c r="V541" s="1" t="e">
        <f t="shared" si="268"/>
        <v>#DIV/0!</v>
      </c>
    </row>
    <row r="542" spans="1:22" ht="21.95" customHeight="1" x14ac:dyDescent="0.25">
      <c r="A542" s="18" t="s">
        <v>1312</v>
      </c>
      <c r="B542" s="25" t="s">
        <v>415</v>
      </c>
      <c r="C542" s="12">
        <f t="shared" si="272"/>
        <v>3856903.5</v>
      </c>
      <c r="D542" s="20">
        <f t="shared" si="266"/>
        <v>571903.5</v>
      </c>
      <c r="E542" s="20">
        <f>350*368.97</f>
        <v>129139.50000000001</v>
      </c>
      <c r="F542" s="20">
        <f>800*0</f>
        <v>0</v>
      </c>
      <c r="G542" s="20">
        <f>300*368.97</f>
        <v>110691.00000000001</v>
      </c>
      <c r="H542" s="20">
        <f>500*368.97</f>
        <v>184485</v>
      </c>
      <c r="I542" s="20">
        <f>400*368.97</f>
        <v>147588</v>
      </c>
      <c r="J542" s="20">
        <f>350*0</f>
        <v>0</v>
      </c>
      <c r="K542" s="21">
        <v>0</v>
      </c>
      <c r="L542" s="20">
        <v>0</v>
      </c>
      <c r="M542" s="20">
        <v>350</v>
      </c>
      <c r="N542" s="20">
        <f t="shared" ref="N542:N550" si="274">M542*5500</f>
        <v>1925000</v>
      </c>
      <c r="O542" s="20">
        <v>0</v>
      </c>
      <c r="P542" s="20">
        <v>0</v>
      </c>
      <c r="Q542" s="20">
        <v>420</v>
      </c>
      <c r="R542" s="20">
        <f t="shared" si="267"/>
        <v>1260000</v>
      </c>
      <c r="S542" s="20">
        <v>0</v>
      </c>
      <c r="T542" s="8">
        <v>0</v>
      </c>
      <c r="U542" s="20">
        <v>100000</v>
      </c>
      <c r="V542" s="1">
        <f t="shared" si="268"/>
        <v>5500</v>
      </c>
    </row>
    <row r="543" spans="1:22" ht="21.95" customHeight="1" x14ac:dyDescent="0.25">
      <c r="A543" s="18" t="s">
        <v>1313</v>
      </c>
      <c r="B543" s="25" t="s">
        <v>416</v>
      </c>
      <c r="C543" s="12">
        <f t="shared" si="272"/>
        <v>2080000</v>
      </c>
      <c r="D543" s="20">
        <f t="shared" si="266"/>
        <v>0</v>
      </c>
      <c r="E543" s="20">
        <v>0</v>
      </c>
      <c r="F543" s="20">
        <v>0</v>
      </c>
      <c r="G543" s="20">
        <v>0</v>
      </c>
      <c r="H543" s="20">
        <v>0</v>
      </c>
      <c r="I543" s="20">
        <v>0</v>
      </c>
      <c r="J543" s="20">
        <v>0</v>
      </c>
      <c r="K543" s="21">
        <v>0</v>
      </c>
      <c r="L543" s="20">
        <v>0</v>
      </c>
      <c r="M543" s="20">
        <v>360</v>
      </c>
      <c r="N543" s="20">
        <f t="shared" si="274"/>
        <v>1980000</v>
      </c>
      <c r="O543" s="20">
        <v>0</v>
      </c>
      <c r="P543" s="20">
        <v>0</v>
      </c>
      <c r="Q543" s="20">
        <v>0</v>
      </c>
      <c r="R543" s="20">
        <f t="shared" si="267"/>
        <v>0</v>
      </c>
      <c r="S543" s="20">
        <v>0</v>
      </c>
      <c r="T543" s="8">
        <v>0</v>
      </c>
      <c r="U543" s="20">
        <v>100000</v>
      </c>
      <c r="V543" s="1">
        <f t="shared" si="268"/>
        <v>5500</v>
      </c>
    </row>
    <row r="544" spans="1:22" ht="21.95" customHeight="1" x14ac:dyDescent="0.25">
      <c r="A544" s="18" t="s">
        <v>1314</v>
      </c>
      <c r="B544" s="25" t="s">
        <v>417</v>
      </c>
      <c r="C544" s="12">
        <f t="shared" si="272"/>
        <v>2080000</v>
      </c>
      <c r="D544" s="20">
        <f t="shared" si="266"/>
        <v>0</v>
      </c>
      <c r="E544" s="20">
        <v>0</v>
      </c>
      <c r="F544" s="20">
        <v>0</v>
      </c>
      <c r="G544" s="20">
        <v>0</v>
      </c>
      <c r="H544" s="20">
        <v>0</v>
      </c>
      <c r="I544" s="20">
        <v>0</v>
      </c>
      <c r="J544" s="20">
        <v>0</v>
      </c>
      <c r="K544" s="21">
        <v>0</v>
      </c>
      <c r="L544" s="20">
        <v>0</v>
      </c>
      <c r="M544" s="20">
        <v>360</v>
      </c>
      <c r="N544" s="20">
        <f t="shared" si="274"/>
        <v>1980000</v>
      </c>
      <c r="O544" s="20">
        <v>0</v>
      </c>
      <c r="P544" s="20">
        <v>0</v>
      </c>
      <c r="Q544" s="20">
        <v>0</v>
      </c>
      <c r="R544" s="20">
        <f t="shared" si="267"/>
        <v>0</v>
      </c>
      <c r="S544" s="20">
        <v>0</v>
      </c>
      <c r="T544" s="8">
        <v>0</v>
      </c>
      <c r="U544" s="20">
        <v>100000</v>
      </c>
      <c r="V544" s="1">
        <f t="shared" si="268"/>
        <v>5500</v>
      </c>
    </row>
    <row r="545" spans="1:22" ht="21.95" customHeight="1" x14ac:dyDescent="0.25">
      <c r="A545" s="18" t="s">
        <v>1315</v>
      </c>
      <c r="B545" s="25" t="s">
        <v>414</v>
      </c>
      <c r="C545" s="12">
        <f t="shared" si="272"/>
        <v>1827000</v>
      </c>
      <c r="D545" s="20">
        <f t="shared" si="266"/>
        <v>0</v>
      </c>
      <c r="E545" s="20">
        <v>0</v>
      </c>
      <c r="F545" s="20">
        <v>0</v>
      </c>
      <c r="G545" s="20">
        <v>0</v>
      </c>
      <c r="H545" s="20">
        <v>0</v>
      </c>
      <c r="I545" s="20">
        <v>0</v>
      </c>
      <c r="J545" s="20">
        <v>0</v>
      </c>
      <c r="K545" s="21">
        <v>0</v>
      </c>
      <c r="L545" s="20">
        <v>0</v>
      </c>
      <c r="M545" s="20">
        <v>314</v>
      </c>
      <c r="N545" s="20">
        <f t="shared" si="274"/>
        <v>1727000</v>
      </c>
      <c r="O545" s="20">
        <v>0</v>
      </c>
      <c r="P545" s="20">
        <v>0</v>
      </c>
      <c r="Q545" s="20">
        <v>0</v>
      </c>
      <c r="R545" s="20">
        <f t="shared" si="267"/>
        <v>0</v>
      </c>
      <c r="S545" s="20">
        <v>0</v>
      </c>
      <c r="T545" s="8">
        <v>0</v>
      </c>
      <c r="U545" s="20">
        <v>100000</v>
      </c>
      <c r="V545" s="1">
        <f t="shared" si="268"/>
        <v>5500</v>
      </c>
    </row>
    <row r="546" spans="1:22" ht="21.95" customHeight="1" x14ac:dyDescent="0.25">
      <c r="A546" s="18" t="s">
        <v>1316</v>
      </c>
      <c r="B546" s="25" t="s">
        <v>596</v>
      </c>
      <c r="C546" s="12">
        <f t="shared" si="272"/>
        <v>2906550</v>
      </c>
      <c r="D546" s="20">
        <f t="shared" si="266"/>
        <v>0</v>
      </c>
      <c r="E546" s="20">
        <v>0</v>
      </c>
      <c r="F546" s="20">
        <v>0</v>
      </c>
      <c r="G546" s="20">
        <v>0</v>
      </c>
      <c r="H546" s="20">
        <v>0</v>
      </c>
      <c r="I546" s="20">
        <v>0</v>
      </c>
      <c r="J546" s="20">
        <v>0</v>
      </c>
      <c r="K546" s="9">
        <v>0</v>
      </c>
      <c r="L546" s="8">
        <v>0</v>
      </c>
      <c r="M546" s="8">
        <v>492.1</v>
      </c>
      <c r="N546" s="20">
        <f t="shared" si="274"/>
        <v>2706550</v>
      </c>
      <c r="O546" s="8">
        <v>0</v>
      </c>
      <c r="P546" s="8">
        <v>0</v>
      </c>
      <c r="Q546" s="8">
        <v>0</v>
      </c>
      <c r="R546" s="20">
        <f t="shared" si="267"/>
        <v>0</v>
      </c>
      <c r="S546" s="8">
        <v>0</v>
      </c>
      <c r="T546" s="8">
        <v>0</v>
      </c>
      <c r="U546" s="8">
        <v>200000</v>
      </c>
      <c r="V546" s="1">
        <f t="shared" si="268"/>
        <v>5500</v>
      </c>
    </row>
    <row r="547" spans="1:22" ht="21.95" customHeight="1" x14ac:dyDescent="0.25">
      <c r="A547" s="18" t="s">
        <v>1317</v>
      </c>
      <c r="B547" s="25" t="s">
        <v>517</v>
      </c>
      <c r="C547" s="12">
        <f t="shared" si="272"/>
        <v>1470500</v>
      </c>
      <c r="D547" s="20">
        <f t="shared" si="266"/>
        <v>0</v>
      </c>
      <c r="E547" s="20">
        <v>0</v>
      </c>
      <c r="F547" s="20">
        <v>0</v>
      </c>
      <c r="G547" s="20">
        <v>0</v>
      </c>
      <c r="H547" s="20">
        <v>0</v>
      </c>
      <c r="I547" s="20">
        <v>0</v>
      </c>
      <c r="J547" s="20">
        <v>0</v>
      </c>
      <c r="K547" s="9">
        <v>0</v>
      </c>
      <c r="L547" s="8">
        <v>0</v>
      </c>
      <c r="M547" s="8">
        <v>231</v>
      </c>
      <c r="N547" s="20">
        <f t="shared" si="274"/>
        <v>1270500</v>
      </c>
      <c r="O547" s="8">
        <v>0</v>
      </c>
      <c r="P547" s="8">
        <v>0</v>
      </c>
      <c r="Q547" s="8">
        <v>0</v>
      </c>
      <c r="R547" s="20">
        <f t="shared" si="267"/>
        <v>0</v>
      </c>
      <c r="S547" s="8">
        <v>0</v>
      </c>
      <c r="T547" s="8">
        <v>0</v>
      </c>
      <c r="U547" s="8">
        <v>200000</v>
      </c>
      <c r="V547" s="1">
        <f t="shared" si="268"/>
        <v>5500</v>
      </c>
    </row>
    <row r="548" spans="1:22" ht="21.95" customHeight="1" x14ac:dyDescent="0.25">
      <c r="A548" s="18" t="s">
        <v>1318</v>
      </c>
      <c r="B548" s="25" t="s">
        <v>468</v>
      </c>
      <c r="C548" s="12">
        <f t="shared" si="272"/>
        <v>2301000</v>
      </c>
      <c r="D548" s="20">
        <f t="shared" si="266"/>
        <v>0</v>
      </c>
      <c r="E548" s="20">
        <v>0</v>
      </c>
      <c r="F548" s="20">
        <v>0</v>
      </c>
      <c r="G548" s="20">
        <v>0</v>
      </c>
      <c r="H548" s="20">
        <v>0</v>
      </c>
      <c r="I548" s="20">
        <v>0</v>
      </c>
      <c r="J548" s="20">
        <v>0</v>
      </c>
      <c r="K548" s="21">
        <v>0</v>
      </c>
      <c r="L548" s="20">
        <v>0</v>
      </c>
      <c r="M548" s="20">
        <v>382</v>
      </c>
      <c r="N548" s="20">
        <f t="shared" si="274"/>
        <v>2101000</v>
      </c>
      <c r="O548" s="20">
        <v>0</v>
      </c>
      <c r="P548" s="20">
        <v>0</v>
      </c>
      <c r="Q548" s="20">
        <v>0</v>
      </c>
      <c r="R548" s="20">
        <f t="shared" si="267"/>
        <v>0</v>
      </c>
      <c r="S548" s="20">
        <v>0</v>
      </c>
      <c r="T548" s="8">
        <v>0</v>
      </c>
      <c r="U548" s="20">
        <v>200000</v>
      </c>
      <c r="V548" s="1">
        <f t="shared" si="268"/>
        <v>5500</v>
      </c>
    </row>
    <row r="549" spans="1:22" ht="21.95" customHeight="1" x14ac:dyDescent="0.25">
      <c r="A549" s="18" t="s">
        <v>1319</v>
      </c>
      <c r="B549" s="25" t="s">
        <v>597</v>
      </c>
      <c r="C549" s="12">
        <f t="shared" si="272"/>
        <v>1811500</v>
      </c>
      <c r="D549" s="20">
        <f t="shared" si="266"/>
        <v>0</v>
      </c>
      <c r="E549" s="20">
        <v>0</v>
      </c>
      <c r="F549" s="20">
        <v>0</v>
      </c>
      <c r="G549" s="20">
        <v>0</v>
      </c>
      <c r="H549" s="20">
        <v>0</v>
      </c>
      <c r="I549" s="20">
        <v>0</v>
      </c>
      <c r="J549" s="20">
        <v>0</v>
      </c>
      <c r="K549" s="9">
        <v>0</v>
      </c>
      <c r="L549" s="8">
        <v>0</v>
      </c>
      <c r="M549" s="8">
        <v>293</v>
      </c>
      <c r="N549" s="20">
        <f t="shared" si="274"/>
        <v>1611500</v>
      </c>
      <c r="O549" s="8">
        <v>0</v>
      </c>
      <c r="P549" s="8">
        <v>0</v>
      </c>
      <c r="Q549" s="8">
        <v>0</v>
      </c>
      <c r="R549" s="20">
        <f t="shared" si="267"/>
        <v>0</v>
      </c>
      <c r="S549" s="8">
        <v>0</v>
      </c>
      <c r="T549" s="8">
        <v>0</v>
      </c>
      <c r="U549" s="8">
        <v>200000</v>
      </c>
      <c r="V549" s="1">
        <f t="shared" si="268"/>
        <v>5500</v>
      </c>
    </row>
    <row r="550" spans="1:22" ht="21.95" customHeight="1" x14ac:dyDescent="0.25">
      <c r="A550" s="18" t="s">
        <v>1320</v>
      </c>
      <c r="B550" s="25" t="s">
        <v>598</v>
      </c>
      <c r="C550" s="12">
        <f t="shared" si="272"/>
        <v>1806000</v>
      </c>
      <c r="D550" s="20">
        <f t="shared" si="266"/>
        <v>0</v>
      </c>
      <c r="E550" s="20">
        <v>0</v>
      </c>
      <c r="F550" s="20">
        <v>0</v>
      </c>
      <c r="G550" s="20">
        <v>0</v>
      </c>
      <c r="H550" s="20">
        <v>0</v>
      </c>
      <c r="I550" s="20">
        <v>0</v>
      </c>
      <c r="J550" s="20">
        <v>0</v>
      </c>
      <c r="K550" s="9">
        <v>0</v>
      </c>
      <c r="L550" s="8">
        <v>0</v>
      </c>
      <c r="M550" s="8">
        <v>292</v>
      </c>
      <c r="N550" s="20">
        <f t="shared" si="274"/>
        <v>1606000</v>
      </c>
      <c r="O550" s="8">
        <v>0</v>
      </c>
      <c r="P550" s="8">
        <v>0</v>
      </c>
      <c r="Q550" s="8">
        <v>0</v>
      </c>
      <c r="R550" s="20">
        <f t="shared" si="267"/>
        <v>0</v>
      </c>
      <c r="S550" s="8">
        <v>0</v>
      </c>
      <c r="T550" s="8">
        <v>0</v>
      </c>
      <c r="U550" s="8">
        <v>200000</v>
      </c>
      <c r="V550" s="1">
        <f t="shared" si="268"/>
        <v>5500</v>
      </c>
    </row>
    <row r="551" spans="1:22" ht="21.95" customHeight="1" x14ac:dyDescent="0.25">
      <c r="A551" s="18" t="s">
        <v>1321</v>
      </c>
      <c r="B551" s="25" t="s">
        <v>398</v>
      </c>
      <c r="C551" s="12">
        <f t="shared" si="272"/>
        <v>5768630.5</v>
      </c>
      <c r="D551" s="20">
        <f t="shared" si="266"/>
        <v>5568630.5</v>
      </c>
      <c r="E551" s="20">
        <f>350*[1]Прилож!$H$580</f>
        <v>829370.5</v>
      </c>
      <c r="F551" s="20">
        <f>800*[1]Прилож!$H$580</f>
        <v>1895704</v>
      </c>
      <c r="G551" s="20">
        <f>300*[1]Прилож!$H$580</f>
        <v>710889</v>
      </c>
      <c r="H551" s="20">
        <f>500*[1]Прилож!$H$580</f>
        <v>1184815</v>
      </c>
      <c r="I551" s="20">
        <f>400*[1]Прилож!$H$580</f>
        <v>947852</v>
      </c>
      <c r="J551" s="20">
        <f>350*0</f>
        <v>0</v>
      </c>
      <c r="K551" s="21">
        <v>0</v>
      </c>
      <c r="L551" s="20">
        <v>0</v>
      </c>
      <c r="M551" s="20">
        <v>0</v>
      </c>
      <c r="N551" s="20">
        <v>0</v>
      </c>
      <c r="O551" s="20">
        <v>0</v>
      </c>
      <c r="P551" s="20">
        <v>0</v>
      </c>
      <c r="Q551" s="20">
        <v>0</v>
      </c>
      <c r="R551" s="20">
        <f t="shared" si="267"/>
        <v>0</v>
      </c>
      <c r="S551" s="20">
        <v>0</v>
      </c>
      <c r="T551" s="8">
        <v>0</v>
      </c>
      <c r="U551" s="20">
        <v>200000</v>
      </c>
      <c r="V551" s="1" t="e">
        <f t="shared" si="268"/>
        <v>#DIV/0!</v>
      </c>
    </row>
    <row r="552" spans="1:22" ht="21.95" customHeight="1" x14ac:dyDescent="0.25">
      <c r="A552" s="18" t="s">
        <v>1322</v>
      </c>
      <c r="B552" s="25" t="s">
        <v>404</v>
      </c>
      <c r="C552" s="12">
        <f t="shared" si="272"/>
        <v>5141565</v>
      </c>
      <c r="D552" s="20">
        <f t="shared" si="266"/>
        <v>5141565</v>
      </c>
      <c r="E552" s="20">
        <f>350*2187.9</f>
        <v>765765</v>
      </c>
      <c r="F552" s="20">
        <f>800*2187.9</f>
        <v>1750320</v>
      </c>
      <c r="G552" s="20">
        <f>300*2187.9</f>
        <v>656370</v>
      </c>
      <c r="H552" s="20">
        <f>500*2187.9</f>
        <v>1093950</v>
      </c>
      <c r="I552" s="20">
        <f>400*2187.9</f>
        <v>875160</v>
      </c>
      <c r="J552" s="20">
        <f t="shared" ref="J552" si="275">350*0</f>
        <v>0</v>
      </c>
      <c r="K552" s="21">
        <v>0</v>
      </c>
      <c r="L552" s="20">
        <v>0</v>
      </c>
      <c r="M552" s="20">
        <v>0</v>
      </c>
      <c r="N552" s="20">
        <v>0</v>
      </c>
      <c r="O552" s="20">
        <v>0</v>
      </c>
      <c r="P552" s="20">
        <v>0</v>
      </c>
      <c r="Q552" s="20">
        <v>0</v>
      </c>
      <c r="R552" s="20">
        <v>0</v>
      </c>
      <c r="S552" s="20">
        <v>0</v>
      </c>
      <c r="T552" s="20">
        <v>0</v>
      </c>
      <c r="U552" s="20">
        <v>0</v>
      </c>
      <c r="V552" s="1" t="e">
        <f t="shared" si="268"/>
        <v>#DIV/0!</v>
      </c>
    </row>
    <row r="553" spans="1:22" ht="21.95" customHeight="1" x14ac:dyDescent="0.25">
      <c r="A553" s="18" t="s">
        <v>1323</v>
      </c>
      <c r="B553" s="25" t="s">
        <v>1617</v>
      </c>
      <c r="C553" s="12">
        <f t="shared" ref="C553" si="276">D553+L553+N553+P553+R553+S553+T553+U553</f>
        <v>200000</v>
      </c>
      <c r="D553" s="20">
        <f t="shared" ref="D553" si="277">SUM(E553:J553)</f>
        <v>0</v>
      </c>
      <c r="E553" s="20">
        <v>0</v>
      </c>
      <c r="F553" s="20">
        <v>0</v>
      </c>
      <c r="G553" s="20">
        <v>0</v>
      </c>
      <c r="H553" s="20">
        <v>0</v>
      </c>
      <c r="I553" s="20">
        <v>0</v>
      </c>
      <c r="J553" s="20">
        <v>0</v>
      </c>
      <c r="K553" s="21">
        <v>0</v>
      </c>
      <c r="L553" s="20">
        <v>0</v>
      </c>
      <c r="M553" s="20">
        <v>0</v>
      </c>
      <c r="N553" s="20">
        <v>0</v>
      </c>
      <c r="O553" s="20">
        <v>0</v>
      </c>
      <c r="P553" s="20">
        <v>0</v>
      </c>
      <c r="Q553" s="20">
        <v>0</v>
      </c>
      <c r="R553" s="20">
        <f t="shared" si="267"/>
        <v>0</v>
      </c>
      <c r="S553" s="20">
        <v>0</v>
      </c>
      <c r="T553" s="8">
        <v>0</v>
      </c>
      <c r="U553" s="20">
        <v>200000</v>
      </c>
      <c r="V553" s="1" t="e">
        <f t="shared" si="268"/>
        <v>#DIV/0!</v>
      </c>
    </row>
    <row r="554" spans="1:22" ht="21.95" customHeight="1" x14ac:dyDescent="0.25">
      <c r="A554" s="18" t="s">
        <v>1324</v>
      </c>
      <c r="B554" s="25" t="s">
        <v>599</v>
      </c>
      <c r="C554" s="12">
        <f t="shared" si="272"/>
        <v>6153600</v>
      </c>
      <c r="D554" s="20">
        <f t="shared" si="266"/>
        <v>0</v>
      </c>
      <c r="E554" s="20">
        <v>0</v>
      </c>
      <c r="F554" s="20">
        <v>0</v>
      </c>
      <c r="G554" s="20">
        <v>0</v>
      </c>
      <c r="H554" s="20">
        <v>0</v>
      </c>
      <c r="I554" s="20">
        <v>0</v>
      </c>
      <c r="J554" s="20">
        <v>0</v>
      </c>
      <c r="K554" s="9">
        <v>0</v>
      </c>
      <c r="L554" s="8">
        <v>0</v>
      </c>
      <c r="M554" s="8">
        <v>635.20000000000005</v>
      </c>
      <c r="N554" s="20">
        <f t="shared" ref="N554:N555" si="278">M554*5500</f>
        <v>3493600.0000000005</v>
      </c>
      <c r="O554" s="8">
        <v>0</v>
      </c>
      <c r="P554" s="8">
        <v>0</v>
      </c>
      <c r="Q554" s="8">
        <v>820</v>
      </c>
      <c r="R554" s="20">
        <f t="shared" si="267"/>
        <v>2460000</v>
      </c>
      <c r="S554" s="8">
        <v>0</v>
      </c>
      <c r="T554" s="8">
        <v>0</v>
      </c>
      <c r="U554" s="8">
        <v>200000</v>
      </c>
      <c r="V554" s="1">
        <f t="shared" si="268"/>
        <v>5500</v>
      </c>
    </row>
    <row r="555" spans="1:22" ht="21.95" customHeight="1" x14ac:dyDescent="0.25">
      <c r="A555" s="18" t="s">
        <v>1325</v>
      </c>
      <c r="B555" s="25" t="s">
        <v>600</v>
      </c>
      <c r="C555" s="12">
        <f t="shared" si="272"/>
        <v>1668500</v>
      </c>
      <c r="D555" s="20">
        <f t="shared" si="266"/>
        <v>0</v>
      </c>
      <c r="E555" s="20">
        <v>0</v>
      </c>
      <c r="F555" s="20">
        <v>0</v>
      </c>
      <c r="G555" s="20">
        <v>0</v>
      </c>
      <c r="H555" s="20">
        <v>0</v>
      </c>
      <c r="I555" s="20">
        <v>0</v>
      </c>
      <c r="J555" s="20">
        <v>0</v>
      </c>
      <c r="K555" s="9">
        <v>0</v>
      </c>
      <c r="L555" s="8">
        <v>0</v>
      </c>
      <c r="M555" s="8">
        <v>267</v>
      </c>
      <c r="N555" s="20">
        <f t="shared" si="278"/>
        <v>1468500</v>
      </c>
      <c r="O555" s="8">
        <v>0</v>
      </c>
      <c r="P555" s="8">
        <v>0</v>
      </c>
      <c r="Q555" s="8">
        <v>0</v>
      </c>
      <c r="R555" s="20">
        <f t="shared" si="267"/>
        <v>0</v>
      </c>
      <c r="S555" s="8">
        <v>0</v>
      </c>
      <c r="T555" s="8">
        <v>0</v>
      </c>
      <c r="U555" s="8">
        <v>200000</v>
      </c>
      <c r="V555" s="1">
        <f t="shared" si="268"/>
        <v>5500</v>
      </c>
    </row>
    <row r="556" spans="1:22" ht="21.95" customHeight="1" x14ac:dyDescent="0.25">
      <c r="A556" s="18" t="s">
        <v>1326</v>
      </c>
      <c r="B556" s="31" t="s">
        <v>518</v>
      </c>
      <c r="C556" s="12">
        <f t="shared" si="272"/>
        <v>2357650</v>
      </c>
      <c r="D556" s="20">
        <f t="shared" si="266"/>
        <v>0</v>
      </c>
      <c r="E556" s="20">
        <v>0</v>
      </c>
      <c r="F556" s="20">
        <v>0</v>
      </c>
      <c r="G556" s="20">
        <v>0</v>
      </c>
      <c r="H556" s="20">
        <v>0</v>
      </c>
      <c r="I556" s="20">
        <v>0</v>
      </c>
      <c r="J556" s="20">
        <v>0</v>
      </c>
      <c r="K556" s="9">
        <v>0</v>
      </c>
      <c r="L556" s="8">
        <v>0</v>
      </c>
      <c r="M556" s="8">
        <v>392.3</v>
      </c>
      <c r="N556" s="20">
        <f t="shared" ref="N556:N570" si="279">M556*5500</f>
        <v>2157650</v>
      </c>
      <c r="O556" s="8">
        <v>0</v>
      </c>
      <c r="P556" s="8">
        <v>0</v>
      </c>
      <c r="Q556" s="8">
        <v>0</v>
      </c>
      <c r="R556" s="20">
        <f t="shared" si="267"/>
        <v>0</v>
      </c>
      <c r="S556" s="8">
        <v>0</v>
      </c>
      <c r="T556" s="8">
        <v>0</v>
      </c>
      <c r="U556" s="8">
        <v>200000</v>
      </c>
      <c r="V556" s="1">
        <f t="shared" si="268"/>
        <v>5500</v>
      </c>
    </row>
    <row r="557" spans="1:22" ht="21.95" customHeight="1" x14ac:dyDescent="0.25">
      <c r="A557" s="18" t="s">
        <v>1327</v>
      </c>
      <c r="B557" s="31" t="s">
        <v>519</v>
      </c>
      <c r="C557" s="12">
        <f t="shared" si="272"/>
        <v>2390650</v>
      </c>
      <c r="D557" s="20">
        <f t="shared" si="266"/>
        <v>0</v>
      </c>
      <c r="E557" s="20">
        <v>0</v>
      </c>
      <c r="F557" s="20">
        <v>0</v>
      </c>
      <c r="G557" s="20">
        <v>0</v>
      </c>
      <c r="H557" s="20">
        <v>0</v>
      </c>
      <c r="I557" s="20">
        <v>0</v>
      </c>
      <c r="J557" s="20">
        <v>0</v>
      </c>
      <c r="K557" s="9">
        <v>0</v>
      </c>
      <c r="L557" s="8">
        <v>0</v>
      </c>
      <c r="M557" s="8">
        <v>398.3</v>
      </c>
      <c r="N557" s="20">
        <f t="shared" si="279"/>
        <v>2190650</v>
      </c>
      <c r="O557" s="8">
        <v>0</v>
      </c>
      <c r="P557" s="8">
        <v>0</v>
      </c>
      <c r="Q557" s="8">
        <v>0</v>
      </c>
      <c r="R557" s="20">
        <f t="shared" si="267"/>
        <v>0</v>
      </c>
      <c r="S557" s="8">
        <v>0</v>
      </c>
      <c r="T557" s="8">
        <v>0</v>
      </c>
      <c r="U557" s="8">
        <v>200000</v>
      </c>
      <c r="V557" s="1">
        <f t="shared" si="268"/>
        <v>5500</v>
      </c>
    </row>
    <row r="558" spans="1:22" ht="21.95" customHeight="1" x14ac:dyDescent="0.25">
      <c r="A558" s="18" t="s">
        <v>1328</v>
      </c>
      <c r="B558" s="31" t="s">
        <v>520</v>
      </c>
      <c r="C558" s="12">
        <f t="shared" si="272"/>
        <v>2376900</v>
      </c>
      <c r="D558" s="20">
        <f t="shared" si="266"/>
        <v>0</v>
      </c>
      <c r="E558" s="20">
        <v>0</v>
      </c>
      <c r="F558" s="20">
        <v>0</v>
      </c>
      <c r="G558" s="20">
        <v>0</v>
      </c>
      <c r="H558" s="20">
        <v>0</v>
      </c>
      <c r="I558" s="20">
        <v>0</v>
      </c>
      <c r="J558" s="20">
        <v>0</v>
      </c>
      <c r="K558" s="9">
        <v>0</v>
      </c>
      <c r="L558" s="8">
        <v>0</v>
      </c>
      <c r="M558" s="8">
        <v>395.8</v>
      </c>
      <c r="N558" s="20">
        <f t="shared" si="279"/>
        <v>2176900</v>
      </c>
      <c r="O558" s="8">
        <v>0</v>
      </c>
      <c r="P558" s="8">
        <v>0</v>
      </c>
      <c r="Q558" s="8">
        <v>0</v>
      </c>
      <c r="R558" s="20">
        <f t="shared" si="267"/>
        <v>0</v>
      </c>
      <c r="S558" s="8">
        <v>0</v>
      </c>
      <c r="T558" s="8">
        <v>0</v>
      </c>
      <c r="U558" s="8">
        <v>200000</v>
      </c>
      <c r="V558" s="1">
        <f t="shared" si="268"/>
        <v>5500</v>
      </c>
    </row>
    <row r="559" spans="1:22" ht="21.95" customHeight="1" x14ac:dyDescent="0.25">
      <c r="A559" s="18" t="s">
        <v>1329</v>
      </c>
      <c r="B559" s="31" t="s">
        <v>521</v>
      </c>
      <c r="C559" s="12">
        <f t="shared" si="272"/>
        <v>2379650</v>
      </c>
      <c r="D559" s="20">
        <f t="shared" si="266"/>
        <v>0</v>
      </c>
      <c r="E559" s="20">
        <v>0</v>
      </c>
      <c r="F559" s="20">
        <v>0</v>
      </c>
      <c r="G559" s="20">
        <v>0</v>
      </c>
      <c r="H559" s="20">
        <v>0</v>
      </c>
      <c r="I559" s="20">
        <v>0</v>
      </c>
      <c r="J559" s="20">
        <v>0</v>
      </c>
      <c r="K559" s="9">
        <v>0</v>
      </c>
      <c r="L559" s="8">
        <v>0</v>
      </c>
      <c r="M559" s="8">
        <v>396.3</v>
      </c>
      <c r="N559" s="20">
        <f t="shared" si="279"/>
        <v>2179650</v>
      </c>
      <c r="O559" s="8">
        <v>0</v>
      </c>
      <c r="P559" s="8">
        <v>0</v>
      </c>
      <c r="Q559" s="8">
        <v>0</v>
      </c>
      <c r="R559" s="20">
        <f t="shared" si="267"/>
        <v>0</v>
      </c>
      <c r="S559" s="8">
        <v>0</v>
      </c>
      <c r="T559" s="8">
        <v>0</v>
      </c>
      <c r="U559" s="8">
        <v>200000</v>
      </c>
      <c r="V559" s="1">
        <f t="shared" si="268"/>
        <v>5500</v>
      </c>
    </row>
    <row r="560" spans="1:22" ht="21.95" customHeight="1" x14ac:dyDescent="0.25">
      <c r="A560" s="18" t="s">
        <v>1330</v>
      </c>
      <c r="B560" s="31" t="s">
        <v>522</v>
      </c>
      <c r="C560" s="12">
        <f t="shared" si="272"/>
        <v>2406050</v>
      </c>
      <c r="D560" s="20">
        <f t="shared" si="266"/>
        <v>0</v>
      </c>
      <c r="E560" s="20">
        <v>0</v>
      </c>
      <c r="F560" s="20">
        <v>0</v>
      </c>
      <c r="G560" s="20">
        <v>0</v>
      </c>
      <c r="H560" s="20">
        <v>0</v>
      </c>
      <c r="I560" s="20">
        <v>0</v>
      </c>
      <c r="J560" s="20">
        <v>0</v>
      </c>
      <c r="K560" s="9">
        <v>0</v>
      </c>
      <c r="L560" s="8">
        <v>0</v>
      </c>
      <c r="M560" s="8">
        <v>401.1</v>
      </c>
      <c r="N560" s="20">
        <f t="shared" si="279"/>
        <v>2206050</v>
      </c>
      <c r="O560" s="8">
        <v>0</v>
      </c>
      <c r="P560" s="8">
        <v>0</v>
      </c>
      <c r="Q560" s="8">
        <v>0</v>
      </c>
      <c r="R560" s="20">
        <f t="shared" si="267"/>
        <v>0</v>
      </c>
      <c r="S560" s="8">
        <v>0</v>
      </c>
      <c r="T560" s="8">
        <v>0</v>
      </c>
      <c r="U560" s="8">
        <v>200000</v>
      </c>
      <c r="V560" s="1">
        <f t="shared" si="268"/>
        <v>5500</v>
      </c>
    </row>
    <row r="561" spans="1:22" ht="21.95" customHeight="1" x14ac:dyDescent="0.25">
      <c r="A561" s="18" t="s">
        <v>1331</v>
      </c>
      <c r="B561" s="31" t="s">
        <v>523</v>
      </c>
      <c r="C561" s="12">
        <f t="shared" si="272"/>
        <v>2438500</v>
      </c>
      <c r="D561" s="20">
        <f t="shared" si="266"/>
        <v>0</v>
      </c>
      <c r="E561" s="20">
        <v>0</v>
      </c>
      <c r="F561" s="20">
        <v>0</v>
      </c>
      <c r="G561" s="20">
        <v>0</v>
      </c>
      <c r="H561" s="20">
        <v>0</v>
      </c>
      <c r="I561" s="20">
        <v>0</v>
      </c>
      <c r="J561" s="20">
        <v>0</v>
      </c>
      <c r="K561" s="9">
        <v>0</v>
      </c>
      <c r="L561" s="8">
        <v>0</v>
      </c>
      <c r="M561" s="8">
        <v>407</v>
      </c>
      <c r="N561" s="20">
        <f t="shared" si="279"/>
        <v>2238500</v>
      </c>
      <c r="O561" s="8">
        <v>0</v>
      </c>
      <c r="P561" s="8">
        <v>0</v>
      </c>
      <c r="Q561" s="8">
        <v>0</v>
      </c>
      <c r="R561" s="20">
        <f t="shared" si="267"/>
        <v>0</v>
      </c>
      <c r="S561" s="8">
        <v>0</v>
      </c>
      <c r="T561" s="8">
        <v>0</v>
      </c>
      <c r="U561" s="8">
        <v>200000</v>
      </c>
      <c r="V561" s="1">
        <f t="shared" si="268"/>
        <v>5500</v>
      </c>
    </row>
    <row r="562" spans="1:22" ht="21.95" customHeight="1" x14ac:dyDescent="0.25">
      <c r="A562" s="18" t="s">
        <v>1332</v>
      </c>
      <c r="B562" s="31" t="s">
        <v>524</v>
      </c>
      <c r="C562" s="12">
        <f t="shared" si="272"/>
        <v>2423650</v>
      </c>
      <c r="D562" s="20">
        <f t="shared" si="266"/>
        <v>0</v>
      </c>
      <c r="E562" s="20">
        <v>0</v>
      </c>
      <c r="F562" s="20">
        <v>0</v>
      </c>
      <c r="G562" s="20">
        <v>0</v>
      </c>
      <c r="H562" s="20">
        <v>0</v>
      </c>
      <c r="I562" s="20">
        <v>0</v>
      </c>
      <c r="J562" s="20">
        <v>0</v>
      </c>
      <c r="K562" s="9">
        <v>0</v>
      </c>
      <c r="L562" s="8">
        <v>0</v>
      </c>
      <c r="M562" s="8">
        <v>404.3</v>
      </c>
      <c r="N562" s="20">
        <f t="shared" si="279"/>
        <v>2223650</v>
      </c>
      <c r="O562" s="8">
        <v>0</v>
      </c>
      <c r="P562" s="8">
        <v>0</v>
      </c>
      <c r="Q562" s="8">
        <v>0</v>
      </c>
      <c r="R562" s="20">
        <f t="shared" si="267"/>
        <v>0</v>
      </c>
      <c r="S562" s="8">
        <v>0</v>
      </c>
      <c r="T562" s="8">
        <v>0</v>
      </c>
      <c r="U562" s="8">
        <v>200000</v>
      </c>
      <c r="V562" s="1">
        <f t="shared" si="268"/>
        <v>5500</v>
      </c>
    </row>
    <row r="563" spans="1:22" ht="21.95" customHeight="1" x14ac:dyDescent="0.25">
      <c r="A563" s="18" t="s">
        <v>1333</v>
      </c>
      <c r="B563" s="31" t="s">
        <v>525</v>
      </c>
      <c r="C563" s="12">
        <f t="shared" si="272"/>
        <v>2420900</v>
      </c>
      <c r="D563" s="20">
        <f t="shared" si="266"/>
        <v>0</v>
      </c>
      <c r="E563" s="20">
        <v>0</v>
      </c>
      <c r="F563" s="20">
        <v>0</v>
      </c>
      <c r="G563" s="20">
        <v>0</v>
      </c>
      <c r="H563" s="20">
        <v>0</v>
      </c>
      <c r="I563" s="20">
        <v>0</v>
      </c>
      <c r="J563" s="20">
        <v>0</v>
      </c>
      <c r="K563" s="9">
        <v>0</v>
      </c>
      <c r="L563" s="8">
        <v>0</v>
      </c>
      <c r="M563" s="8">
        <v>403.8</v>
      </c>
      <c r="N563" s="20">
        <f t="shared" si="279"/>
        <v>2220900</v>
      </c>
      <c r="O563" s="8">
        <v>0</v>
      </c>
      <c r="P563" s="8">
        <v>0</v>
      </c>
      <c r="Q563" s="8">
        <v>0</v>
      </c>
      <c r="R563" s="20">
        <f t="shared" si="267"/>
        <v>0</v>
      </c>
      <c r="S563" s="8">
        <v>0</v>
      </c>
      <c r="T563" s="8">
        <v>0</v>
      </c>
      <c r="U563" s="8">
        <v>200000</v>
      </c>
      <c r="V563" s="1">
        <f t="shared" si="268"/>
        <v>5500</v>
      </c>
    </row>
    <row r="564" spans="1:22" ht="21.95" customHeight="1" x14ac:dyDescent="0.25">
      <c r="A564" s="18" t="s">
        <v>1334</v>
      </c>
      <c r="B564" s="31" t="s">
        <v>526</v>
      </c>
      <c r="C564" s="12">
        <f t="shared" si="272"/>
        <v>2420900</v>
      </c>
      <c r="D564" s="20">
        <f t="shared" si="266"/>
        <v>0</v>
      </c>
      <c r="E564" s="20">
        <v>0</v>
      </c>
      <c r="F564" s="20">
        <v>0</v>
      </c>
      <c r="G564" s="20">
        <v>0</v>
      </c>
      <c r="H564" s="20">
        <v>0</v>
      </c>
      <c r="I564" s="20">
        <v>0</v>
      </c>
      <c r="J564" s="20">
        <v>0</v>
      </c>
      <c r="K564" s="9">
        <v>0</v>
      </c>
      <c r="L564" s="8">
        <v>0</v>
      </c>
      <c r="M564" s="8">
        <v>403.8</v>
      </c>
      <c r="N564" s="20">
        <f t="shared" si="279"/>
        <v>2220900</v>
      </c>
      <c r="O564" s="8">
        <v>0</v>
      </c>
      <c r="P564" s="8">
        <v>0</v>
      </c>
      <c r="Q564" s="8">
        <v>0</v>
      </c>
      <c r="R564" s="20">
        <f t="shared" si="267"/>
        <v>0</v>
      </c>
      <c r="S564" s="8">
        <v>0</v>
      </c>
      <c r="T564" s="8">
        <v>0</v>
      </c>
      <c r="U564" s="8">
        <v>200000</v>
      </c>
      <c r="V564" s="1">
        <f t="shared" si="268"/>
        <v>5500</v>
      </c>
    </row>
    <row r="565" spans="1:22" ht="21.95" customHeight="1" x14ac:dyDescent="0.25">
      <c r="A565" s="18" t="s">
        <v>1335</v>
      </c>
      <c r="B565" s="31" t="s">
        <v>601</v>
      </c>
      <c r="C565" s="12">
        <f t="shared" si="272"/>
        <v>2437400</v>
      </c>
      <c r="D565" s="20">
        <f t="shared" si="266"/>
        <v>0</v>
      </c>
      <c r="E565" s="20">
        <v>0</v>
      </c>
      <c r="F565" s="20">
        <v>0</v>
      </c>
      <c r="G565" s="20">
        <v>0</v>
      </c>
      <c r="H565" s="20">
        <v>0</v>
      </c>
      <c r="I565" s="20">
        <v>0</v>
      </c>
      <c r="J565" s="20">
        <v>0</v>
      </c>
      <c r="K565" s="9">
        <v>0</v>
      </c>
      <c r="L565" s="8">
        <v>0</v>
      </c>
      <c r="M565" s="8">
        <v>406.8</v>
      </c>
      <c r="N565" s="20">
        <f t="shared" si="279"/>
        <v>2237400</v>
      </c>
      <c r="O565" s="8">
        <v>0</v>
      </c>
      <c r="P565" s="8">
        <v>0</v>
      </c>
      <c r="Q565" s="8">
        <v>0</v>
      </c>
      <c r="R565" s="20">
        <f t="shared" si="267"/>
        <v>0</v>
      </c>
      <c r="S565" s="8">
        <v>0</v>
      </c>
      <c r="T565" s="8">
        <v>0</v>
      </c>
      <c r="U565" s="8">
        <v>200000</v>
      </c>
      <c r="V565" s="1">
        <f t="shared" si="268"/>
        <v>5500</v>
      </c>
    </row>
    <row r="566" spans="1:22" ht="21.95" customHeight="1" x14ac:dyDescent="0.25">
      <c r="A566" s="18" t="s">
        <v>1336</v>
      </c>
      <c r="B566" s="31" t="s">
        <v>602</v>
      </c>
      <c r="C566" s="12">
        <f t="shared" si="272"/>
        <v>2349950</v>
      </c>
      <c r="D566" s="20">
        <f t="shared" si="266"/>
        <v>0</v>
      </c>
      <c r="E566" s="20">
        <v>0</v>
      </c>
      <c r="F566" s="20">
        <v>0</v>
      </c>
      <c r="G566" s="20">
        <v>0</v>
      </c>
      <c r="H566" s="20">
        <v>0</v>
      </c>
      <c r="I566" s="20">
        <v>0</v>
      </c>
      <c r="J566" s="20">
        <v>0</v>
      </c>
      <c r="K566" s="9">
        <v>0</v>
      </c>
      <c r="L566" s="8">
        <v>0</v>
      </c>
      <c r="M566" s="8">
        <v>390.9</v>
      </c>
      <c r="N566" s="20">
        <f t="shared" si="279"/>
        <v>2149950</v>
      </c>
      <c r="O566" s="8">
        <v>0</v>
      </c>
      <c r="P566" s="8">
        <v>0</v>
      </c>
      <c r="Q566" s="8">
        <v>0</v>
      </c>
      <c r="R566" s="20">
        <f t="shared" ref="R566:R629" si="280">Q566*3000</f>
        <v>0</v>
      </c>
      <c r="S566" s="8">
        <v>0</v>
      </c>
      <c r="T566" s="8">
        <v>0</v>
      </c>
      <c r="U566" s="8">
        <v>200000</v>
      </c>
      <c r="V566" s="1">
        <f t="shared" ref="V566:V629" si="281">N566/M566</f>
        <v>5500</v>
      </c>
    </row>
    <row r="567" spans="1:22" ht="21.95" customHeight="1" x14ac:dyDescent="0.25">
      <c r="A567" s="18" t="s">
        <v>1337</v>
      </c>
      <c r="B567" s="31" t="s">
        <v>603</v>
      </c>
      <c r="C567" s="12">
        <f t="shared" si="272"/>
        <v>2442900</v>
      </c>
      <c r="D567" s="20">
        <f t="shared" ref="D567:D630" si="282">SUM(E567:J567)</f>
        <v>0</v>
      </c>
      <c r="E567" s="20">
        <v>0</v>
      </c>
      <c r="F567" s="20">
        <v>0</v>
      </c>
      <c r="G567" s="20">
        <v>0</v>
      </c>
      <c r="H567" s="20">
        <v>0</v>
      </c>
      <c r="I567" s="20">
        <v>0</v>
      </c>
      <c r="J567" s="20">
        <v>0</v>
      </c>
      <c r="K567" s="9">
        <v>0</v>
      </c>
      <c r="L567" s="8">
        <v>0</v>
      </c>
      <c r="M567" s="8">
        <v>407.8</v>
      </c>
      <c r="N567" s="20">
        <f t="shared" si="279"/>
        <v>2242900</v>
      </c>
      <c r="O567" s="8">
        <v>0</v>
      </c>
      <c r="P567" s="8">
        <v>0</v>
      </c>
      <c r="Q567" s="8">
        <v>0</v>
      </c>
      <c r="R567" s="20">
        <f t="shared" si="280"/>
        <v>0</v>
      </c>
      <c r="S567" s="8">
        <v>0</v>
      </c>
      <c r="T567" s="8">
        <v>0</v>
      </c>
      <c r="U567" s="8">
        <v>200000</v>
      </c>
      <c r="V567" s="1">
        <f t="shared" si="281"/>
        <v>5500</v>
      </c>
    </row>
    <row r="568" spans="1:22" ht="21.95" customHeight="1" x14ac:dyDescent="0.25">
      <c r="A568" s="18" t="s">
        <v>1338</v>
      </c>
      <c r="B568" s="31" t="s">
        <v>604</v>
      </c>
      <c r="C568" s="12">
        <f t="shared" si="272"/>
        <v>2455000</v>
      </c>
      <c r="D568" s="20">
        <f t="shared" si="282"/>
        <v>0</v>
      </c>
      <c r="E568" s="20">
        <v>0</v>
      </c>
      <c r="F568" s="20">
        <v>0</v>
      </c>
      <c r="G568" s="20">
        <v>0</v>
      </c>
      <c r="H568" s="20">
        <v>0</v>
      </c>
      <c r="I568" s="20">
        <v>0</v>
      </c>
      <c r="J568" s="20">
        <v>0</v>
      </c>
      <c r="K568" s="9">
        <v>0</v>
      </c>
      <c r="L568" s="8">
        <v>0</v>
      </c>
      <c r="M568" s="8">
        <v>410</v>
      </c>
      <c r="N568" s="20">
        <f t="shared" si="279"/>
        <v>2255000</v>
      </c>
      <c r="O568" s="8">
        <v>0</v>
      </c>
      <c r="P568" s="8">
        <v>0</v>
      </c>
      <c r="Q568" s="8">
        <v>0</v>
      </c>
      <c r="R568" s="20">
        <f t="shared" si="280"/>
        <v>0</v>
      </c>
      <c r="S568" s="8">
        <v>0</v>
      </c>
      <c r="T568" s="8">
        <v>0</v>
      </c>
      <c r="U568" s="8">
        <v>200000</v>
      </c>
      <c r="V568" s="1">
        <f t="shared" si="281"/>
        <v>5500</v>
      </c>
    </row>
    <row r="569" spans="1:22" ht="21.95" customHeight="1" x14ac:dyDescent="0.25">
      <c r="A569" s="18" t="s">
        <v>1339</v>
      </c>
      <c r="B569" s="25" t="s">
        <v>605</v>
      </c>
      <c r="C569" s="12">
        <f t="shared" si="272"/>
        <v>2427500</v>
      </c>
      <c r="D569" s="20">
        <f t="shared" si="282"/>
        <v>0</v>
      </c>
      <c r="E569" s="20">
        <v>0</v>
      </c>
      <c r="F569" s="20">
        <v>0</v>
      </c>
      <c r="G569" s="20">
        <v>0</v>
      </c>
      <c r="H569" s="20">
        <v>0</v>
      </c>
      <c r="I569" s="20">
        <v>0</v>
      </c>
      <c r="J569" s="20">
        <v>0</v>
      </c>
      <c r="K569" s="9">
        <v>0</v>
      </c>
      <c r="L569" s="8">
        <v>0</v>
      </c>
      <c r="M569" s="8">
        <v>405</v>
      </c>
      <c r="N569" s="20">
        <f t="shared" si="279"/>
        <v>2227500</v>
      </c>
      <c r="O569" s="8">
        <v>0</v>
      </c>
      <c r="P569" s="8">
        <v>0</v>
      </c>
      <c r="Q569" s="8">
        <v>0</v>
      </c>
      <c r="R569" s="20">
        <f t="shared" si="280"/>
        <v>0</v>
      </c>
      <c r="S569" s="8">
        <v>0</v>
      </c>
      <c r="T569" s="8">
        <v>0</v>
      </c>
      <c r="U569" s="8">
        <v>200000</v>
      </c>
      <c r="V569" s="1">
        <f t="shared" si="281"/>
        <v>5500</v>
      </c>
    </row>
    <row r="570" spans="1:22" ht="21.95" customHeight="1" x14ac:dyDescent="0.25">
      <c r="A570" s="18" t="s">
        <v>1340</v>
      </c>
      <c r="B570" s="31" t="s">
        <v>790</v>
      </c>
      <c r="C570" s="12">
        <f t="shared" si="272"/>
        <v>5996025</v>
      </c>
      <c r="D570" s="20">
        <f t="shared" si="282"/>
        <v>663875</v>
      </c>
      <c r="E570" s="20">
        <f>350*[1]Прилож!$H$616</f>
        <v>98875</v>
      </c>
      <c r="F570" s="20">
        <f>800*[1]Прилож!$H$616</f>
        <v>226000</v>
      </c>
      <c r="G570" s="20">
        <f>300*[1]Прилож!$H$616</f>
        <v>84750</v>
      </c>
      <c r="H570" s="20">
        <f>500*[1]Прилож!$H$616</f>
        <v>141250</v>
      </c>
      <c r="I570" s="20">
        <f>400*[1]Прилож!$H$616</f>
        <v>113000</v>
      </c>
      <c r="J570" s="20">
        <f>350*0</f>
        <v>0</v>
      </c>
      <c r="K570" s="21">
        <v>0</v>
      </c>
      <c r="L570" s="20">
        <v>0</v>
      </c>
      <c r="M570" s="20">
        <v>551.29999999999995</v>
      </c>
      <c r="N570" s="20">
        <f t="shared" si="279"/>
        <v>3032149.9999999995</v>
      </c>
      <c r="O570" s="20">
        <v>0</v>
      </c>
      <c r="P570" s="20">
        <v>0</v>
      </c>
      <c r="Q570" s="8">
        <v>700</v>
      </c>
      <c r="R570" s="20">
        <f t="shared" si="280"/>
        <v>2100000</v>
      </c>
      <c r="S570" s="20">
        <v>0</v>
      </c>
      <c r="T570" s="8">
        <v>0</v>
      </c>
      <c r="U570" s="20">
        <v>200000</v>
      </c>
      <c r="V570" s="1">
        <f t="shared" si="281"/>
        <v>5500</v>
      </c>
    </row>
    <row r="571" spans="1:22" ht="21.95" customHeight="1" x14ac:dyDescent="0.25">
      <c r="A571" s="18" t="s">
        <v>1341</v>
      </c>
      <c r="B571" s="31" t="s">
        <v>527</v>
      </c>
      <c r="C571" s="12">
        <f t="shared" si="272"/>
        <v>3627050</v>
      </c>
      <c r="D571" s="20">
        <f t="shared" si="282"/>
        <v>0</v>
      </c>
      <c r="E571" s="20">
        <v>0</v>
      </c>
      <c r="F571" s="20">
        <v>0</v>
      </c>
      <c r="G571" s="20">
        <v>0</v>
      </c>
      <c r="H571" s="20">
        <v>0</v>
      </c>
      <c r="I571" s="20">
        <v>0</v>
      </c>
      <c r="J571" s="20">
        <v>0</v>
      </c>
      <c r="K571" s="9">
        <v>0</v>
      </c>
      <c r="L571" s="8">
        <v>0</v>
      </c>
      <c r="M571" s="8">
        <v>623.1</v>
      </c>
      <c r="N571" s="20">
        <f t="shared" ref="N571:N583" si="283">M571*5500</f>
        <v>3427050</v>
      </c>
      <c r="O571" s="8">
        <v>0</v>
      </c>
      <c r="P571" s="8">
        <v>0</v>
      </c>
      <c r="Q571" s="8">
        <v>0</v>
      </c>
      <c r="R571" s="20">
        <f t="shared" si="280"/>
        <v>0</v>
      </c>
      <c r="S571" s="8">
        <v>0</v>
      </c>
      <c r="T571" s="8">
        <v>0</v>
      </c>
      <c r="U571" s="8">
        <v>200000</v>
      </c>
      <c r="V571" s="1">
        <f t="shared" si="281"/>
        <v>5500</v>
      </c>
    </row>
    <row r="572" spans="1:22" ht="21.95" customHeight="1" x14ac:dyDescent="0.25">
      <c r="A572" s="18" t="s">
        <v>1342</v>
      </c>
      <c r="B572" s="25" t="s">
        <v>606</v>
      </c>
      <c r="C572" s="12">
        <f t="shared" si="272"/>
        <v>2630500</v>
      </c>
      <c r="D572" s="20">
        <f t="shared" si="282"/>
        <v>0</v>
      </c>
      <c r="E572" s="20">
        <v>0</v>
      </c>
      <c r="F572" s="20">
        <v>0</v>
      </c>
      <c r="G572" s="20">
        <v>0</v>
      </c>
      <c r="H572" s="20">
        <v>0</v>
      </c>
      <c r="I572" s="20">
        <v>0</v>
      </c>
      <c r="J572" s="20">
        <v>0</v>
      </c>
      <c r="K572" s="9">
        <v>0</v>
      </c>
      <c r="L572" s="8">
        <v>0</v>
      </c>
      <c r="M572" s="8">
        <v>263</v>
      </c>
      <c r="N572" s="20">
        <f t="shared" si="283"/>
        <v>1446500</v>
      </c>
      <c r="O572" s="8">
        <v>0</v>
      </c>
      <c r="P572" s="8">
        <v>0</v>
      </c>
      <c r="Q572" s="8">
        <v>328</v>
      </c>
      <c r="R572" s="20">
        <f t="shared" si="280"/>
        <v>984000</v>
      </c>
      <c r="S572" s="8">
        <v>0</v>
      </c>
      <c r="T572" s="8">
        <v>0</v>
      </c>
      <c r="U572" s="8">
        <v>200000</v>
      </c>
      <c r="V572" s="1">
        <f t="shared" si="281"/>
        <v>5500</v>
      </c>
    </row>
    <row r="573" spans="1:22" ht="21.95" customHeight="1" x14ac:dyDescent="0.25">
      <c r="A573" s="18" t="s">
        <v>1343</v>
      </c>
      <c r="B573" s="25" t="s">
        <v>528</v>
      </c>
      <c r="C573" s="12">
        <f t="shared" si="272"/>
        <v>2941200</v>
      </c>
      <c r="D573" s="20">
        <f t="shared" si="282"/>
        <v>0</v>
      </c>
      <c r="E573" s="20">
        <v>0</v>
      </c>
      <c r="F573" s="20">
        <v>0</v>
      </c>
      <c r="G573" s="20">
        <v>0</v>
      </c>
      <c r="H573" s="20">
        <v>0</v>
      </c>
      <c r="I573" s="20">
        <v>0</v>
      </c>
      <c r="J573" s="20">
        <v>0</v>
      </c>
      <c r="K573" s="9">
        <v>0</v>
      </c>
      <c r="L573" s="8">
        <v>0</v>
      </c>
      <c r="M573" s="8">
        <v>498.4</v>
      </c>
      <c r="N573" s="20">
        <f t="shared" si="283"/>
        <v>2741200</v>
      </c>
      <c r="O573" s="8">
        <v>0</v>
      </c>
      <c r="P573" s="8">
        <v>0</v>
      </c>
      <c r="Q573" s="8">
        <v>0</v>
      </c>
      <c r="R573" s="20">
        <f t="shared" si="280"/>
        <v>0</v>
      </c>
      <c r="S573" s="8">
        <v>0</v>
      </c>
      <c r="T573" s="8">
        <v>0</v>
      </c>
      <c r="U573" s="8">
        <v>200000</v>
      </c>
      <c r="V573" s="1">
        <f t="shared" si="281"/>
        <v>5500</v>
      </c>
    </row>
    <row r="574" spans="1:22" ht="21.95" customHeight="1" x14ac:dyDescent="0.25">
      <c r="A574" s="18" t="s">
        <v>1344</v>
      </c>
      <c r="B574" s="25" t="s">
        <v>529</v>
      </c>
      <c r="C574" s="12">
        <f t="shared" si="272"/>
        <v>3929000</v>
      </c>
      <c r="D574" s="20">
        <f t="shared" si="282"/>
        <v>0</v>
      </c>
      <c r="E574" s="20">
        <v>0</v>
      </c>
      <c r="F574" s="20">
        <v>0</v>
      </c>
      <c r="G574" s="20">
        <v>0</v>
      </c>
      <c r="H574" s="20">
        <v>0</v>
      </c>
      <c r="I574" s="20">
        <v>0</v>
      </c>
      <c r="J574" s="20">
        <v>0</v>
      </c>
      <c r="K574" s="9">
        <v>0</v>
      </c>
      <c r="L574" s="8">
        <v>0</v>
      </c>
      <c r="M574" s="8">
        <v>678</v>
      </c>
      <c r="N574" s="20">
        <f t="shared" si="283"/>
        <v>3729000</v>
      </c>
      <c r="O574" s="8">
        <v>0</v>
      </c>
      <c r="P574" s="8">
        <v>0</v>
      </c>
      <c r="Q574" s="8">
        <v>0</v>
      </c>
      <c r="R574" s="20">
        <f t="shared" si="280"/>
        <v>0</v>
      </c>
      <c r="S574" s="8">
        <v>0</v>
      </c>
      <c r="T574" s="8">
        <v>0</v>
      </c>
      <c r="U574" s="8">
        <v>200000</v>
      </c>
      <c r="V574" s="1">
        <f t="shared" si="281"/>
        <v>5500</v>
      </c>
    </row>
    <row r="575" spans="1:22" ht="21.95" customHeight="1" x14ac:dyDescent="0.25">
      <c r="A575" s="18" t="s">
        <v>1345</v>
      </c>
      <c r="B575" s="25" t="s">
        <v>530</v>
      </c>
      <c r="C575" s="12">
        <f t="shared" si="272"/>
        <v>2944500</v>
      </c>
      <c r="D575" s="20">
        <f t="shared" si="282"/>
        <v>0</v>
      </c>
      <c r="E575" s="20">
        <v>0</v>
      </c>
      <c r="F575" s="20">
        <v>0</v>
      </c>
      <c r="G575" s="20">
        <v>0</v>
      </c>
      <c r="H575" s="20">
        <v>0</v>
      </c>
      <c r="I575" s="20">
        <v>0</v>
      </c>
      <c r="J575" s="20">
        <v>0</v>
      </c>
      <c r="K575" s="9">
        <v>0</v>
      </c>
      <c r="L575" s="8">
        <v>0</v>
      </c>
      <c r="M575" s="8">
        <v>499</v>
      </c>
      <c r="N575" s="20">
        <f t="shared" si="283"/>
        <v>2744500</v>
      </c>
      <c r="O575" s="8">
        <v>0</v>
      </c>
      <c r="P575" s="8">
        <v>0</v>
      </c>
      <c r="Q575" s="8">
        <v>0</v>
      </c>
      <c r="R575" s="20">
        <f t="shared" si="280"/>
        <v>0</v>
      </c>
      <c r="S575" s="8">
        <v>0</v>
      </c>
      <c r="T575" s="8">
        <v>0</v>
      </c>
      <c r="U575" s="8">
        <v>200000</v>
      </c>
      <c r="V575" s="1">
        <f t="shared" si="281"/>
        <v>5500</v>
      </c>
    </row>
    <row r="576" spans="1:22" ht="21.95" customHeight="1" x14ac:dyDescent="0.25">
      <c r="A576" s="18" t="s">
        <v>1346</v>
      </c>
      <c r="B576" s="25" t="s">
        <v>531</v>
      </c>
      <c r="C576" s="12">
        <f t="shared" si="272"/>
        <v>2797100</v>
      </c>
      <c r="D576" s="20">
        <f t="shared" si="282"/>
        <v>0</v>
      </c>
      <c r="E576" s="20">
        <v>0</v>
      </c>
      <c r="F576" s="20">
        <v>0</v>
      </c>
      <c r="G576" s="20">
        <v>0</v>
      </c>
      <c r="H576" s="20">
        <v>0</v>
      </c>
      <c r="I576" s="20">
        <v>0</v>
      </c>
      <c r="J576" s="20">
        <v>0</v>
      </c>
      <c r="K576" s="9">
        <v>0</v>
      </c>
      <c r="L576" s="8">
        <v>0</v>
      </c>
      <c r="M576" s="8">
        <v>472.2</v>
      </c>
      <c r="N576" s="20">
        <f t="shared" si="283"/>
        <v>2597100</v>
      </c>
      <c r="O576" s="8">
        <v>0</v>
      </c>
      <c r="P576" s="8">
        <v>0</v>
      </c>
      <c r="Q576" s="8">
        <v>0</v>
      </c>
      <c r="R576" s="20">
        <f t="shared" si="280"/>
        <v>0</v>
      </c>
      <c r="S576" s="8">
        <v>0</v>
      </c>
      <c r="T576" s="8">
        <v>0</v>
      </c>
      <c r="U576" s="8">
        <v>200000</v>
      </c>
      <c r="V576" s="1">
        <f t="shared" si="281"/>
        <v>5500</v>
      </c>
    </row>
    <row r="577" spans="1:22" ht="21.95" customHeight="1" x14ac:dyDescent="0.25">
      <c r="A577" s="18" t="s">
        <v>1347</v>
      </c>
      <c r="B577" s="25" t="s">
        <v>469</v>
      </c>
      <c r="C577" s="12">
        <f t="shared" si="272"/>
        <v>2697100</v>
      </c>
      <c r="D577" s="20">
        <f t="shared" si="282"/>
        <v>0</v>
      </c>
      <c r="E577" s="20">
        <v>0</v>
      </c>
      <c r="F577" s="20">
        <v>0</v>
      </c>
      <c r="G577" s="20">
        <v>0</v>
      </c>
      <c r="H577" s="20">
        <v>0</v>
      </c>
      <c r="I577" s="20">
        <v>0</v>
      </c>
      <c r="J577" s="20">
        <v>0</v>
      </c>
      <c r="K577" s="21">
        <v>0</v>
      </c>
      <c r="L577" s="20">
        <v>0</v>
      </c>
      <c r="M577" s="20">
        <v>472.2</v>
      </c>
      <c r="N577" s="20">
        <f t="shared" si="283"/>
        <v>2597100</v>
      </c>
      <c r="O577" s="20">
        <v>0</v>
      </c>
      <c r="P577" s="20">
        <v>0</v>
      </c>
      <c r="Q577" s="20">
        <v>0</v>
      </c>
      <c r="R577" s="20">
        <f t="shared" si="280"/>
        <v>0</v>
      </c>
      <c r="S577" s="20">
        <v>0</v>
      </c>
      <c r="T577" s="8">
        <v>0</v>
      </c>
      <c r="U577" s="20">
        <v>100000</v>
      </c>
      <c r="V577" s="1">
        <f t="shared" si="281"/>
        <v>5500</v>
      </c>
    </row>
    <row r="578" spans="1:22" ht="21.95" customHeight="1" x14ac:dyDescent="0.25">
      <c r="A578" s="18" t="s">
        <v>1348</v>
      </c>
      <c r="B578" s="25" t="s">
        <v>470</v>
      </c>
      <c r="C578" s="12">
        <f t="shared" si="272"/>
        <v>2697100</v>
      </c>
      <c r="D578" s="20">
        <f t="shared" si="282"/>
        <v>0</v>
      </c>
      <c r="E578" s="20">
        <v>0</v>
      </c>
      <c r="F578" s="20">
        <v>0</v>
      </c>
      <c r="G578" s="20">
        <v>0</v>
      </c>
      <c r="H578" s="20">
        <v>0</v>
      </c>
      <c r="I578" s="20">
        <v>0</v>
      </c>
      <c r="J578" s="20">
        <v>0</v>
      </c>
      <c r="K578" s="21">
        <v>0</v>
      </c>
      <c r="L578" s="20">
        <v>0</v>
      </c>
      <c r="M578" s="20">
        <v>472.2</v>
      </c>
      <c r="N578" s="20">
        <f t="shared" si="283"/>
        <v>2597100</v>
      </c>
      <c r="O578" s="20">
        <v>0</v>
      </c>
      <c r="P578" s="20">
        <v>0</v>
      </c>
      <c r="Q578" s="20">
        <v>0</v>
      </c>
      <c r="R578" s="20">
        <f t="shared" si="280"/>
        <v>0</v>
      </c>
      <c r="S578" s="20">
        <v>0</v>
      </c>
      <c r="T578" s="8">
        <v>0</v>
      </c>
      <c r="U578" s="20">
        <v>100000</v>
      </c>
      <c r="V578" s="1">
        <f t="shared" si="281"/>
        <v>5500</v>
      </c>
    </row>
    <row r="579" spans="1:22" ht="21.95" customHeight="1" x14ac:dyDescent="0.25">
      <c r="A579" s="18" t="s">
        <v>1349</v>
      </c>
      <c r="B579" s="25" t="s">
        <v>532</v>
      </c>
      <c r="C579" s="12">
        <f t="shared" si="272"/>
        <v>3375149.9999999995</v>
      </c>
      <c r="D579" s="20">
        <f t="shared" si="282"/>
        <v>0</v>
      </c>
      <c r="E579" s="20">
        <v>0</v>
      </c>
      <c r="F579" s="20">
        <v>0</v>
      </c>
      <c r="G579" s="20">
        <v>0</v>
      </c>
      <c r="H579" s="20">
        <v>0</v>
      </c>
      <c r="I579" s="20">
        <v>0</v>
      </c>
      <c r="J579" s="20">
        <v>0</v>
      </c>
      <c r="K579" s="9">
        <v>0</v>
      </c>
      <c r="L579" s="8">
        <v>0</v>
      </c>
      <c r="M579" s="8">
        <v>577.29999999999995</v>
      </c>
      <c r="N579" s="20">
        <f t="shared" si="283"/>
        <v>3175149.9999999995</v>
      </c>
      <c r="O579" s="8">
        <v>0</v>
      </c>
      <c r="P579" s="8">
        <v>0</v>
      </c>
      <c r="Q579" s="8">
        <v>0</v>
      </c>
      <c r="R579" s="20">
        <f t="shared" si="280"/>
        <v>0</v>
      </c>
      <c r="S579" s="8">
        <v>0</v>
      </c>
      <c r="T579" s="8">
        <v>0</v>
      </c>
      <c r="U579" s="8">
        <v>200000</v>
      </c>
      <c r="V579" s="1">
        <f t="shared" si="281"/>
        <v>5500</v>
      </c>
    </row>
    <row r="580" spans="1:22" ht="21.95" customHeight="1" x14ac:dyDescent="0.25">
      <c r="A580" s="18" t="s">
        <v>1350</v>
      </c>
      <c r="B580" s="25" t="s">
        <v>533</v>
      </c>
      <c r="C580" s="12">
        <f t="shared" si="272"/>
        <v>3375149.9999999995</v>
      </c>
      <c r="D580" s="20">
        <f t="shared" si="282"/>
        <v>0</v>
      </c>
      <c r="E580" s="20">
        <v>0</v>
      </c>
      <c r="F580" s="20">
        <v>0</v>
      </c>
      <c r="G580" s="20">
        <v>0</v>
      </c>
      <c r="H580" s="20">
        <v>0</v>
      </c>
      <c r="I580" s="20">
        <v>0</v>
      </c>
      <c r="J580" s="20">
        <v>0</v>
      </c>
      <c r="K580" s="9">
        <v>0</v>
      </c>
      <c r="L580" s="8">
        <v>0</v>
      </c>
      <c r="M580" s="8">
        <v>577.29999999999995</v>
      </c>
      <c r="N580" s="20">
        <f t="shared" si="283"/>
        <v>3175149.9999999995</v>
      </c>
      <c r="O580" s="8">
        <v>0</v>
      </c>
      <c r="P580" s="8">
        <v>0</v>
      </c>
      <c r="Q580" s="8">
        <v>0</v>
      </c>
      <c r="R580" s="20">
        <f t="shared" si="280"/>
        <v>0</v>
      </c>
      <c r="S580" s="8">
        <v>0</v>
      </c>
      <c r="T580" s="8">
        <v>0</v>
      </c>
      <c r="U580" s="8">
        <v>200000</v>
      </c>
      <c r="V580" s="1">
        <f t="shared" si="281"/>
        <v>5500</v>
      </c>
    </row>
    <row r="581" spans="1:22" ht="21.95" customHeight="1" x14ac:dyDescent="0.25">
      <c r="A581" s="18" t="s">
        <v>1611</v>
      </c>
      <c r="B581" s="25" t="s">
        <v>607</v>
      </c>
      <c r="C581" s="12">
        <f t="shared" si="272"/>
        <v>3375149.9999999995</v>
      </c>
      <c r="D581" s="20">
        <f t="shared" si="282"/>
        <v>0</v>
      </c>
      <c r="E581" s="20">
        <v>0</v>
      </c>
      <c r="F581" s="20">
        <v>0</v>
      </c>
      <c r="G581" s="20">
        <v>0</v>
      </c>
      <c r="H581" s="20">
        <v>0</v>
      </c>
      <c r="I581" s="20">
        <v>0</v>
      </c>
      <c r="J581" s="20">
        <v>0</v>
      </c>
      <c r="K581" s="9">
        <v>0</v>
      </c>
      <c r="L581" s="8">
        <v>0</v>
      </c>
      <c r="M581" s="8">
        <v>577.29999999999995</v>
      </c>
      <c r="N581" s="20">
        <f t="shared" si="283"/>
        <v>3175149.9999999995</v>
      </c>
      <c r="O581" s="8">
        <v>0</v>
      </c>
      <c r="P581" s="8">
        <v>0</v>
      </c>
      <c r="Q581" s="8">
        <v>0</v>
      </c>
      <c r="R581" s="20">
        <f t="shared" si="280"/>
        <v>0</v>
      </c>
      <c r="S581" s="8">
        <v>0</v>
      </c>
      <c r="T581" s="8">
        <v>0</v>
      </c>
      <c r="U581" s="8">
        <v>200000</v>
      </c>
      <c r="V581" s="1">
        <f t="shared" si="281"/>
        <v>5500</v>
      </c>
    </row>
    <row r="582" spans="1:22" ht="21.95" customHeight="1" x14ac:dyDescent="0.25">
      <c r="A582" s="18" t="s">
        <v>1351</v>
      </c>
      <c r="B582" s="25" t="s">
        <v>425</v>
      </c>
      <c r="C582" s="12">
        <f t="shared" si="272"/>
        <v>1915000</v>
      </c>
      <c r="D582" s="20">
        <f t="shared" si="282"/>
        <v>0</v>
      </c>
      <c r="E582" s="20">
        <v>0</v>
      </c>
      <c r="F582" s="20">
        <v>0</v>
      </c>
      <c r="G582" s="20">
        <v>0</v>
      </c>
      <c r="H582" s="20">
        <v>0</v>
      </c>
      <c r="I582" s="20">
        <v>0</v>
      </c>
      <c r="J582" s="20">
        <v>0</v>
      </c>
      <c r="K582" s="21">
        <v>0</v>
      </c>
      <c r="L582" s="20">
        <v>0</v>
      </c>
      <c r="M582" s="20">
        <v>330</v>
      </c>
      <c r="N582" s="20">
        <f t="shared" si="283"/>
        <v>1815000</v>
      </c>
      <c r="O582" s="20">
        <v>0</v>
      </c>
      <c r="P582" s="20">
        <v>0</v>
      </c>
      <c r="Q582" s="20">
        <v>0</v>
      </c>
      <c r="R582" s="20">
        <f t="shared" si="280"/>
        <v>0</v>
      </c>
      <c r="S582" s="20">
        <v>0</v>
      </c>
      <c r="T582" s="8">
        <v>0</v>
      </c>
      <c r="U582" s="20">
        <v>100000</v>
      </c>
      <c r="V582" s="1">
        <f t="shared" si="281"/>
        <v>5500</v>
      </c>
    </row>
    <row r="583" spans="1:22" ht="21.95" customHeight="1" x14ac:dyDescent="0.25">
      <c r="A583" s="18" t="s">
        <v>1352</v>
      </c>
      <c r="B583" s="25" t="s">
        <v>534</v>
      </c>
      <c r="C583" s="12">
        <f t="shared" si="272"/>
        <v>2943950</v>
      </c>
      <c r="D583" s="20">
        <f t="shared" si="282"/>
        <v>0</v>
      </c>
      <c r="E583" s="20">
        <v>0</v>
      </c>
      <c r="F583" s="20">
        <v>0</v>
      </c>
      <c r="G583" s="20">
        <v>0</v>
      </c>
      <c r="H583" s="20">
        <v>0</v>
      </c>
      <c r="I583" s="20">
        <v>0</v>
      </c>
      <c r="J583" s="20">
        <v>0</v>
      </c>
      <c r="K583" s="9">
        <v>0</v>
      </c>
      <c r="L583" s="8">
        <v>0</v>
      </c>
      <c r="M583" s="8">
        <v>498.9</v>
      </c>
      <c r="N583" s="20">
        <f t="shared" si="283"/>
        <v>2743950</v>
      </c>
      <c r="O583" s="8">
        <v>0</v>
      </c>
      <c r="P583" s="8">
        <v>0</v>
      </c>
      <c r="Q583" s="8">
        <v>0</v>
      </c>
      <c r="R583" s="20">
        <f t="shared" si="280"/>
        <v>0</v>
      </c>
      <c r="S583" s="8">
        <v>0</v>
      </c>
      <c r="T583" s="8">
        <v>0</v>
      </c>
      <c r="U583" s="8">
        <v>200000</v>
      </c>
      <c r="V583" s="1">
        <f t="shared" si="281"/>
        <v>5500</v>
      </c>
    </row>
    <row r="584" spans="1:22" ht="21.95" customHeight="1" x14ac:dyDescent="0.25">
      <c r="A584" s="18" t="s">
        <v>1612</v>
      </c>
      <c r="B584" s="25" t="s">
        <v>608</v>
      </c>
      <c r="C584" s="12">
        <f t="shared" si="272"/>
        <v>2500626.5</v>
      </c>
      <c r="D584" s="20">
        <f t="shared" si="282"/>
        <v>2300626.5</v>
      </c>
      <c r="E584" s="20">
        <f>350*[1]Прилож!$H$646</f>
        <v>342646.5</v>
      </c>
      <c r="F584" s="20">
        <f>800*[1]Прилож!$H$646</f>
        <v>783192</v>
      </c>
      <c r="G584" s="20">
        <f>300*[1]Прилож!$H$646</f>
        <v>293697</v>
      </c>
      <c r="H584" s="20">
        <f>500*[1]Прилож!$H$646</f>
        <v>489495</v>
      </c>
      <c r="I584" s="20">
        <f>400*[1]Прилож!$H$646</f>
        <v>391596</v>
      </c>
      <c r="J584" s="20">
        <f>350*0</f>
        <v>0</v>
      </c>
      <c r="K584" s="9">
        <v>0</v>
      </c>
      <c r="L584" s="8">
        <v>0</v>
      </c>
      <c r="M584" s="8">
        <v>0</v>
      </c>
      <c r="N584" s="8">
        <v>0</v>
      </c>
      <c r="O584" s="8">
        <v>0</v>
      </c>
      <c r="P584" s="8">
        <v>0</v>
      </c>
      <c r="Q584" s="8">
        <v>0</v>
      </c>
      <c r="R584" s="20">
        <f t="shared" si="280"/>
        <v>0</v>
      </c>
      <c r="S584" s="8">
        <v>0</v>
      </c>
      <c r="T584" s="8">
        <v>0</v>
      </c>
      <c r="U584" s="8">
        <v>200000</v>
      </c>
      <c r="V584" s="1" t="e">
        <f t="shared" si="281"/>
        <v>#DIV/0!</v>
      </c>
    </row>
    <row r="585" spans="1:22" ht="21.95" customHeight="1" x14ac:dyDescent="0.25">
      <c r="A585" s="18" t="s">
        <v>1353</v>
      </c>
      <c r="B585" s="25" t="s">
        <v>535</v>
      </c>
      <c r="C585" s="12">
        <f t="shared" si="272"/>
        <v>4754000</v>
      </c>
      <c r="D585" s="20">
        <f t="shared" si="282"/>
        <v>0</v>
      </c>
      <c r="E585" s="20">
        <v>0</v>
      </c>
      <c r="F585" s="20">
        <v>0</v>
      </c>
      <c r="G585" s="20">
        <v>0</v>
      </c>
      <c r="H585" s="20">
        <v>0</v>
      </c>
      <c r="I585" s="20">
        <v>0</v>
      </c>
      <c r="J585" s="20">
        <v>0</v>
      </c>
      <c r="K585" s="9">
        <v>0</v>
      </c>
      <c r="L585" s="8">
        <v>0</v>
      </c>
      <c r="M585" s="8">
        <v>828</v>
      </c>
      <c r="N585" s="20">
        <f t="shared" ref="N585:N594" si="284">M585*5500</f>
        <v>4554000</v>
      </c>
      <c r="O585" s="8">
        <v>0</v>
      </c>
      <c r="P585" s="8">
        <v>0</v>
      </c>
      <c r="Q585" s="8">
        <v>0</v>
      </c>
      <c r="R585" s="20">
        <f t="shared" si="280"/>
        <v>0</v>
      </c>
      <c r="S585" s="8">
        <v>0</v>
      </c>
      <c r="T585" s="8">
        <v>0</v>
      </c>
      <c r="U585" s="8">
        <v>200000</v>
      </c>
      <c r="V585" s="1">
        <f t="shared" si="281"/>
        <v>5500</v>
      </c>
    </row>
    <row r="586" spans="1:22" ht="21.95" customHeight="1" x14ac:dyDescent="0.25">
      <c r="A586" s="18" t="s">
        <v>1354</v>
      </c>
      <c r="B586" s="31" t="s">
        <v>536</v>
      </c>
      <c r="C586" s="12">
        <f t="shared" si="272"/>
        <v>1696000</v>
      </c>
      <c r="D586" s="20">
        <f t="shared" si="282"/>
        <v>0</v>
      </c>
      <c r="E586" s="20">
        <v>0</v>
      </c>
      <c r="F586" s="20">
        <v>0</v>
      </c>
      <c r="G586" s="20">
        <v>0</v>
      </c>
      <c r="H586" s="20">
        <v>0</v>
      </c>
      <c r="I586" s="20">
        <v>0</v>
      </c>
      <c r="J586" s="20">
        <v>0</v>
      </c>
      <c r="K586" s="9">
        <v>0</v>
      </c>
      <c r="L586" s="8">
        <v>0</v>
      </c>
      <c r="M586" s="8">
        <v>272</v>
      </c>
      <c r="N586" s="20">
        <f t="shared" si="284"/>
        <v>1496000</v>
      </c>
      <c r="O586" s="8">
        <v>0</v>
      </c>
      <c r="P586" s="8">
        <v>0</v>
      </c>
      <c r="Q586" s="8">
        <v>0</v>
      </c>
      <c r="R586" s="20">
        <f t="shared" si="280"/>
        <v>0</v>
      </c>
      <c r="S586" s="8">
        <v>0</v>
      </c>
      <c r="T586" s="8">
        <v>0</v>
      </c>
      <c r="U586" s="8">
        <v>200000</v>
      </c>
      <c r="V586" s="1">
        <f t="shared" si="281"/>
        <v>5500</v>
      </c>
    </row>
    <row r="587" spans="1:22" ht="21.95" customHeight="1" x14ac:dyDescent="0.25">
      <c r="A587" s="18" t="s">
        <v>1355</v>
      </c>
      <c r="B587" s="31" t="s">
        <v>397</v>
      </c>
      <c r="C587" s="12">
        <f t="shared" si="272"/>
        <v>2667300</v>
      </c>
      <c r="D587" s="20">
        <f t="shared" si="282"/>
        <v>0</v>
      </c>
      <c r="E587" s="20">
        <v>0</v>
      </c>
      <c r="F587" s="20">
        <v>0</v>
      </c>
      <c r="G587" s="20">
        <v>0</v>
      </c>
      <c r="H587" s="20">
        <v>0</v>
      </c>
      <c r="I587" s="20">
        <v>0</v>
      </c>
      <c r="J587" s="20">
        <v>0</v>
      </c>
      <c r="K587" s="21">
        <v>0</v>
      </c>
      <c r="L587" s="20">
        <v>0</v>
      </c>
      <c r="M587" s="20">
        <v>448.6</v>
      </c>
      <c r="N587" s="20">
        <f t="shared" si="284"/>
        <v>2467300</v>
      </c>
      <c r="O587" s="20">
        <v>0</v>
      </c>
      <c r="P587" s="20">
        <v>0</v>
      </c>
      <c r="Q587" s="20">
        <v>0</v>
      </c>
      <c r="R587" s="20">
        <f t="shared" si="280"/>
        <v>0</v>
      </c>
      <c r="S587" s="20">
        <v>0</v>
      </c>
      <c r="T587" s="8">
        <v>0</v>
      </c>
      <c r="U587" s="20">
        <v>200000</v>
      </c>
      <c r="V587" s="1">
        <f t="shared" si="281"/>
        <v>5500</v>
      </c>
    </row>
    <row r="588" spans="1:22" ht="21.95" customHeight="1" x14ac:dyDescent="0.25">
      <c r="A588" s="18" t="s">
        <v>1356</v>
      </c>
      <c r="B588" s="25" t="s">
        <v>391</v>
      </c>
      <c r="C588" s="12">
        <f t="shared" si="272"/>
        <v>2088150</v>
      </c>
      <c r="D588" s="20">
        <f t="shared" si="282"/>
        <v>0</v>
      </c>
      <c r="E588" s="20">
        <v>0</v>
      </c>
      <c r="F588" s="20">
        <v>0</v>
      </c>
      <c r="G588" s="20">
        <v>0</v>
      </c>
      <c r="H588" s="20">
        <v>0</v>
      </c>
      <c r="I588" s="20">
        <v>0</v>
      </c>
      <c r="J588" s="20">
        <v>0</v>
      </c>
      <c r="K588" s="21">
        <v>0</v>
      </c>
      <c r="L588" s="20">
        <v>0</v>
      </c>
      <c r="M588" s="20">
        <v>343.3</v>
      </c>
      <c r="N588" s="20">
        <f t="shared" si="284"/>
        <v>1888150</v>
      </c>
      <c r="O588" s="20">
        <v>0</v>
      </c>
      <c r="P588" s="20">
        <v>0</v>
      </c>
      <c r="Q588" s="20">
        <v>0</v>
      </c>
      <c r="R588" s="20">
        <f t="shared" si="280"/>
        <v>0</v>
      </c>
      <c r="S588" s="20">
        <v>0</v>
      </c>
      <c r="T588" s="8">
        <v>0</v>
      </c>
      <c r="U588" s="20">
        <v>200000</v>
      </c>
      <c r="V588" s="1">
        <f t="shared" si="281"/>
        <v>5500</v>
      </c>
    </row>
    <row r="589" spans="1:22" ht="21.95" customHeight="1" x14ac:dyDescent="0.25">
      <c r="A589" s="18" t="s">
        <v>1357</v>
      </c>
      <c r="B589" s="25" t="s">
        <v>537</v>
      </c>
      <c r="C589" s="12">
        <f t="shared" si="272"/>
        <v>3711145</v>
      </c>
      <c r="D589" s="20">
        <f t="shared" si="282"/>
        <v>690195</v>
      </c>
      <c r="E589" s="20">
        <f>350*[1]Прилож!$H$660</f>
        <v>102795</v>
      </c>
      <c r="F589" s="20">
        <f>800*[1]Прилож!$H$660</f>
        <v>234960</v>
      </c>
      <c r="G589" s="20">
        <f>300*[1]Прилож!$H$660</f>
        <v>88110</v>
      </c>
      <c r="H589" s="20">
        <f>500*[1]Прилож!$H$660</f>
        <v>146850</v>
      </c>
      <c r="I589" s="20">
        <f>400*[1]Прилож!$H$660</f>
        <v>117480</v>
      </c>
      <c r="J589" s="20">
        <f>350*0</f>
        <v>0</v>
      </c>
      <c r="K589" s="9">
        <v>0</v>
      </c>
      <c r="L589" s="8">
        <v>0</v>
      </c>
      <c r="M589" s="8">
        <v>512.9</v>
      </c>
      <c r="N589" s="20">
        <f t="shared" si="284"/>
        <v>2820950</v>
      </c>
      <c r="O589" s="8">
        <v>0</v>
      </c>
      <c r="P589" s="8">
        <v>0</v>
      </c>
      <c r="Q589" s="8">
        <v>0</v>
      </c>
      <c r="R589" s="20">
        <f t="shared" si="280"/>
        <v>0</v>
      </c>
      <c r="S589" s="8">
        <v>0</v>
      </c>
      <c r="T589" s="8">
        <v>0</v>
      </c>
      <c r="U589" s="8">
        <v>200000</v>
      </c>
      <c r="V589" s="1">
        <f t="shared" si="281"/>
        <v>5500</v>
      </c>
    </row>
    <row r="590" spans="1:22" ht="21.95" customHeight="1" x14ac:dyDescent="0.25">
      <c r="A590" s="18" t="s">
        <v>1358</v>
      </c>
      <c r="B590" s="25" t="s">
        <v>538</v>
      </c>
      <c r="C590" s="12">
        <f t="shared" si="272"/>
        <v>1795000</v>
      </c>
      <c r="D590" s="20">
        <f t="shared" si="282"/>
        <v>0</v>
      </c>
      <c r="E590" s="20">
        <v>0</v>
      </c>
      <c r="F590" s="20">
        <v>0</v>
      </c>
      <c r="G590" s="20">
        <v>0</v>
      </c>
      <c r="H590" s="20">
        <v>0</v>
      </c>
      <c r="I590" s="20">
        <v>0</v>
      </c>
      <c r="J590" s="20">
        <v>0</v>
      </c>
      <c r="K590" s="9">
        <v>0</v>
      </c>
      <c r="L590" s="8">
        <v>0</v>
      </c>
      <c r="M590" s="8">
        <v>290</v>
      </c>
      <c r="N590" s="20">
        <f t="shared" si="284"/>
        <v>1595000</v>
      </c>
      <c r="O590" s="8">
        <v>0</v>
      </c>
      <c r="P590" s="8">
        <v>0</v>
      </c>
      <c r="Q590" s="8">
        <v>0</v>
      </c>
      <c r="R590" s="20">
        <f t="shared" si="280"/>
        <v>0</v>
      </c>
      <c r="S590" s="8">
        <v>0</v>
      </c>
      <c r="T590" s="8">
        <v>0</v>
      </c>
      <c r="U590" s="8">
        <v>200000</v>
      </c>
      <c r="V590" s="1">
        <f t="shared" si="281"/>
        <v>5500</v>
      </c>
    </row>
    <row r="591" spans="1:22" ht="21.95" customHeight="1" x14ac:dyDescent="0.25">
      <c r="A591" s="18" t="s">
        <v>1359</v>
      </c>
      <c r="B591" s="25" t="s">
        <v>539</v>
      </c>
      <c r="C591" s="12">
        <f t="shared" si="272"/>
        <v>2405500</v>
      </c>
      <c r="D591" s="20">
        <f t="shared" si="282"/>
        <v>0</v>
      </c>
      <c r="E591" s="20">
        <v>0</v>
      </c>
      <c r="F591" s="20">
        <v>0</v>
      </c>
      <c r="G591" s="20">
        <v>0</v>
      </c>
      <c r="H591" s="20">
        <v>0</v>
      </c>
      <c r="I591" s="20">
        <v>0</v>
      </c>
      <c r="J591" s="20">
        <v>0</v>
      </c>
      <c r="K591" s="9">
        <v>0</v>
      </c>
      <c r="L591" s="8">
        <v>0</v>
      </c>
      <c r="M591" s="8">
        <v>401</v>
      </c>
      <c r="N591" s="20">
        <f t="shared" si="284"/>
        <v>2205500</v>
      </c>
      <c r="O591" s="8">
        <v>0</v>
      </c>
      <c r="P591" s="8">
        <v>0</v>
      </c>
      <c r="Q591" s="8">
        <v>0</v>
      </c>
      <c r="R591" s="20">
        <f t="shared" si="280"/>
        <v>0</v>
      </c>
      <c r="S591" s="8">
        <v>0</v>
      </c>
      <c r="T591" s="8">
        <v>0</v>
      </c>
      <c r="U591" s="8">
        <v>200000</v>
      </c>
      <c r="V591" s="1">
        <f t="shared" si="281"/>
        <v>5500</v>
      </c>
    </row>
    <row r="592" spans="1:22" ht="21.95" customHeight="1" x14ac:dyDescent="0.25">
      <c r="A592" s="18" t="s">
        <v>1360</v>
      </c>
      <c r="B592" s="25" t="s">
        <v>609</v>
      </c>
      <c r="C592" s="12">
        <f t="shared" si="272"/>
        <v>5133500</v>
      </c>
      <c r="D592" s="20">
        <f t="shared" si="282"/>
        <v>0</v>
      </c>
      <c r="E592" s="20">
        <v>0</v>
      </c>
      <c r="F592" s="20">
        <v>0</v>
      </c>
      <c r="G592" s="20">
        <v>0</v>
      </c>
      <c r="H592" s="20">
        <v>0</v>
      </c>
      <c r="I592" s="20">
        <v>0</v>
      </c>
      <c r="J592" s="20">
        <v>0</v>
      </c>
      <c r="K592" s="9">
        <v>0</v>
      </c>
      <c r="L592" s="8">
        <v>0</v>
      </c>
      <c r="M592" s="8">
        <v>897</v>
      </c>
      <c r="N592" s="20">
        <f t="shared" si="284"/>
        <v>4933500</v>
      </c>
      <c r="O592" s="8">
        <v>0</v>
      </c>
      <c r="P592" s="8">
        <v>0</v>
      </c>
      <c r="Q592" s="8">
        <v>0</v>
      </c>
      <c r="R592" s="20">
        <f t="shared" si="280"/>
        <v>0</v>
      </c>
      <c r="S592" s="8">
        <v>0</v>
      </c>
      <c r="T592" s="8">
        <v>0</v>
      </c>
      <c r="U592" s="8">
        <v>200000</v>
      </c>
      <c r="V592" s="1">
        <f t="shared" si="281"/>
        <v>5500</v>
      </c>
    </row>
    <row r="593" spans="1:22" ht="21.95" customHeight="1" x14ac:dyDescent="0.25">
      <c r="A593" s="18" t="s">
        <v>1361</v>
      </c>
      <c r="B593" s="25" t="s">
        <v>610</v>
      </c>
      <c r="C593" s="12">
        <f t="shared" si="272"/>
        <v>1619000</v>
      </c>
      <c r="D593" s="20">
        <f t="shared" si="282"/>
        <v>0</v>
      </c>
      <c r="E593" s="20">
        <v>0</v>
      </c>
      <c r="F593" s="20">
        <v>0</v>
      </c>
      <c r="G593" s="20">
        <v>0</v>
      </c>
      <c r="H593" s="20">
        <v>0</v>
      </c>
      <c r="I593" s="20">
        <v>0</v>
      </c>
      <c r="J593" s="20">
        <v>0</v>
      </c>
      <c r="K593" s="9">
        <v>0</v>
      </c>
      <c r="L593" s="8">
        <v>0</v>
      </c>
      <c r="M593" s="8">
        <v>258</v>
      </c>
      <c r="N593" s="20">
        <f t="shared" si="284"/>
        <v>1419000</v>
      </c>
      <c r="O593" s="8">
        <v>0</v>
      </c>
      <c r="P593" s="8">
        <v>0</v>
      </c>
      <c r="Q593" s="8">
        <v>0</v>
      </c>
      <c r="R593" s="20">
        <f t="shared" si="280"/>
        <v>0</v>
      </c>
      <c r="S593" s="8">
        <v>0</v>
      </c>
      <c r="T593" s="8">
        <v>0</v>
      </c>
      <c r="U593" s="8">
        <v>200000</v>
      </c>
      <c r="V593" s="1">
        <f t="shared" si="281"/>
        <v>5500</v>
      </c>
    </row>
    <row r="594" spans="1:22" ht="21.95" customHeight="1" x14ac:dyDescent="0.25">
      <c r="A594" s="18" t="s">
        <v>1362</v>
      </c>
      <c r="B594" s="25" t="s">
        <v>540</v>
      </c>
      <c r="C594" s="12">
        <f t="shared" si="272"/>
        <v>1592050</v>
      </c>
      <c r="D594" s="20">
        <f t="shared" si="282"/>
        <v>0</v>
      </c>
      <c r="E594" s="20">
        <v>0</v>
      </c>
      <c r="F594" s="20">
        <v>0</v>
      </c>
      <c r="G594" s="20">
        <v>0</v>
      </c>
      <c r="H594" s="20">
        <v>0</v>
      </c>
      <c r="I594" s="20">
        <v>0</v>
      </c>
      <c r="J594" s="20">
        <v>0</v>
      </c>
      <c r="K594" s="9">
        <v>0</v>
      </c>
      <c r="L594" s="8">
        <v>0</v>
      </c>
      <c r="M594" s="8">
        <v>253.1</v>
      </c>
      <c r="N594" s="20">
        <f t="shared" si="284"/>
        <v>1392050</v>
      </c>
      <c r="O594" s="8">
        <v>0</v>
      </c>
      <c r="P594" s="8">
        <v>0</v>
      </c>
      <c r="Q594" s="8">
        <v>0</v>
      </c>
      <c r="R594" s="20">
        <f t="shared" si="280"/>
        <v>0</v>
      </c>
      <c r="S594" s="8">
        <v>0</v>
      </c>
      <c r="T594" s="8">
        <v>0</v>
      </c>
      <c r="U594" s="8">
        <v>200000</v>
      </c>
      <c r="V594" s="1">
        <f t="shared" si="281"/>
        <v>5500</v>
      </c>
    </row>
    <row r="595" spans="1:22" ht="21.95" customHeight="1" x14ac:dyDescent="0.25">
      <c r="A595" s="18" t="s">
        <v>1363</v>
      </c>
      <c r="B595" s="25" t="s">
        <v>541</v>
      </c>
      <c r="C595" s="12">
        <f t="shared" si="272"/>
        <v>1564000</v>
      </c>
      <c r="D595" s="20">
        <f t="shared" si="282"/>
        <v>0</v>
      </c>
      <c r="E595" s="20">
        <v>0</v>
      </c>
      <c r="F595" s="20">
        <v>0</v>
      </c>
      <c r="G595" s="20">
        <v>0</v>
      </c>
      <c r="H595" s="20">
        <v>0</v>
      </c>
      <c r="I595" s="20">
        <v>0</v>
      </c>
      <c r="J595" s="20">
        <v>0</v>
      </c>
      <c r="K595" s="9">
        <v>0</v>
      </c>
      <c r="L595" s="8">
        <v>0</v>
      </c>
      <c r="M595" s="8">
        <v>248</v>
      </c>
      <c r="N595" s="20">
        <f t="shared" ref="N595:N609" si="285">M595*5500</f>
        <v>1364000</v>
      </c>
      <c r="O595" s="8">
        <v>0</v>
      </c>
      <c r="P595" s="8">
        <v>0</v>
      </c>
      <c r="Q595" s="8">
        <v>0</v>
      </c>
      <c r="R595" s="20">
        <f t="shared" si="280"/>
        <v>0</v>
      </c>
      <c r="S595" s="8">
        <v>0</v>
      </c>
      <c r="T595" s="8">
        <v>0</v>
      </c>
      <c r="U595" s="8">
        <v>200000</v>
      </c>
      <c r="V595" s="1">
        <f t="shared" si="281"/>
        <v>5500</v>
      </c>
    </row>
    <row r="596" spans="1:22" ht="21.95" customHeight="1" x14ac:dyDescent="0.25">
      <c r="A596" s="18" t="s">
        <v>1364</v>
      </c>
      <c r="B596" s="25" t="s">
        <v>542</v>
      </c>
      <c r="C596" s="12">
        <f t="shared" si="272"/>
        <v>1564000</v>
      </c>
      <c r="D596" s="20">
        <f t="shared" si="282"/>
        <v>0</v>
      </c>
      <c r="E596" s="20">
        <v>0</v>
      </c>
      <c r="F596" s="20">
        <v>0</v>
      </c>
      <c r="G596" s="20">
        <v>0</v>
      </c>
      <c r="H596" s="20">
        <v>0</v>
      </c>
      <c r="I596" s="20">
        <v>0</v>
      </c>
      <c r="J596" s="20">
        <v>0</v>
      </c>
      <c r="K596" s="9">
        <v>0</v>
      </c>
      <c r="L596" s="8">
        <v>0</v>
      </c>
      <c r="M596" s="8">
        <v>248</v>
      </c>
      <c r="N596" s="20">
        <f t="shared" si="285"/>
        <v>1364000</v>
      </c>
      <c r="O596" s="8">
        <v>0</v>
      </c>
      <c r="P596" s="8">
        <v>0</v>
      </c>
      <c r="Q596" s="8">
        <v>0</v>
      </c>
      <c r="R596" s="20">
        <f t="shared" si="280"/>
        <v>0</v>
      </c>
      <c r="S596" s="8">
        <v>0</v>
      </c>
      <c r="T596" s="8">
        <v>0</v>
      </c>
      <c r="U596" s="8">
        <v>200000</v>
      </c>
      <c r="V596" s="1">
        <f t="shared" si="281"/>
        <v>5500</v>
      </c>
    </row>
    <row r="597" spans="1:22" ht="21.95" customHeight="1" x14ac:dyDescent="0.25">
      <c r="A597" s="18" t="s">
        <v>1365</v>
      </c>
      <c r="B597" s="31" t="s">
        <v>611</v>
      </c>
      <c r="C597" s="12">
        <f t="shared" si="272"/>
        <v>4325000</v>
      </c>
      <c r="D597" s="20">
        <f t="shared" si="282"/>
        <v>0</v>
      </c>
      <c r="E597" s="20">
        <v>0</v>
      </c>
      <c r="F597" s="20">
        <v>0</v>
      </c>
      <c r="G597" s="20">
        <v>0</v>
      </c>
      <c r="H597" s="20">
        <v>0</v>
      </c>
      <c r="I597" s="20">
        <v>0</v>
      </c>
      <c r="J597" s="20">
        <v>0</v>
      </c>
      <c r="K597" s="9">
        <v>0</v>
      </c>
      <c r="L597" s="8">
        <v>0</v>
      </c>
      <c r="M597" s="8">
        <v>750</v>
      </c>
      <c r="N597" s="20">
        <f t="shared" si="285"/>
        <v>4125000</v>
      </c>
      <c r="O597" s="8">
        <v>0</v>
      </c>
      <c r="P597" s="8">
        <v>0</v>
      </c>
      <c r="Q597" s="8">
        <v>0</v>
      </c>
      <c r="R597" s="20">
        <f t="shared" si="280"/>
        <v>0</v>
      </c>
      <c r="S597" s="8">
        <v>0</v>
      </c>
      <c r="T597" s="8">
        <v>0</v>
      </c>
      <c r="U597" s="8">
        <v>200000</v>
      </c>
      <c r="V597" s="1">
        <f t="shared" si="281"/>
        <v>5500</v>
      </c>
    </row>
    <row r="598" spans="1:22" ht="21.95" customHeight="1" x14ac:dyDescent="0.25">
      <c r="A598" s="18" t="s">
        <v>1366</v>
      </c>
      <c r="B598" s="31" t="s">
        <v>612</v>
      </c>
      <c r="C598" s="12">
        <f t="shared" si="272"/>
        <v>1421000</v>
      </c>
      <c r="D598" s="20">
        <f t="shared" si="282"/>
        <v>0</v>
      </c>
      <c r="E598" s="20">
        <v>0</v>
      </c>
      <c r="F598" s="20">
        <v>0</v>
      </c>
      <c r="G598" s="20">
        <v>0</v>
      </c>
      <c r="H598" s="20">
        <v>0</v>
      </c>
      <c r="I598" s="20">
        <v>0</v>
      </c>
      <c r="J598" s="20">
        <v>0</v>
      </c>
      <c r="K598" s="9">
        <v>0</v>
      </c>
      <c r="L598" s="8">
        <v>0</v>
      </c>
      <c r="M598" s="8">
        <v>222</v>
      </c>
      <c r="N598" s="20">
        <f t="shared" si="285"/>
        <v>1221000</v>
      </c>
      <c r="O598" s="8">
        <v>0</v>
      </c>
      <c r="P598" s="8">
        <v>0</v>
      </c>
      <c r="Q598" s="8">
        <v>0</v>
      </c>
      <c r="R598" s="20">
        <f t="shared" si="280"/>
        <v>0</v>
      </c>
      <c r="S598" s="8">
        <v>0</v>
      </c>
      <c r="T598" s="8">
        <v>0</v>
      </c>
      <c r="U598" s="8">
        <v>200000</v>
      </c>
      <c r="V598" s="1">
        <f t="shared" si="281"/>
        <v>5500</v>
      </c>
    </row>
    <row r="599" spans="1:22" ht="21.95" customHeight="1" x14ac:dyDescent="0.25">
      <c r="A599" s="18" t="s">
        <v>1367</v>
      </c>
      <c r="B599" s="31" t="s">
        <v>613</v>
      </c>
      <c r="C599" s="12">
        <f t="shared" si="272"/>
        <v>2141500</v>
      </c>
      <c r="D599" s="20">
        <f t="shared" si="282"/>
        <v>0</v>
      </c>
      <c r="E599" s="20">
        <v>0</v>
      </c>
      <c r="F599" s="20">
        <v>0</v>
      </c>
      <c r="G599" s="20">
        <v>0</v>
      </c>
      <c r="H599" s="20">
        <v>0</v>
      </c>
      <c r="I599" s="20">
        <v>0</v>
      </c>
      <c r="J599" s="20">
        <v>0</v>
      </c>
      <c r="K599" s="9">
        <v>0</v>
      </c>
      <c r="L599" s="8">
        <v>0</v>
      </c>
      <c r="M599" s="8">
        <v>353</v>
      </c>
      <c r="N599" s="20">
        <f t="shared" si="285"/>
        <v>1941500</v>
      </c>
      <c r="O599" s="8">
        <v>0</v>
      </c>
      <c r="P599" s="8">
        <v>0</v>
      </c>
      <c r="Q599" s="8">
        <v>0</v>
      </c>
      <c r="R599" s="20">
        <f t="shared" si="280"/>
        <v>0</v>
      </c>
      <c r="S599" s="8">
        <v>0</v>
      </c>
      <c r="T599" s="8">
        <v>0</v>
      </c>
      <c r="U599" s="8">
        <v>200000</v>
      </c>
      <c r="V599" s="1">
        <f t="shared" si="281"/>
        <v>5500</v>
      </c>
    </row>
    <row r="600" spans="1:22" ht="21.95" customHeight="1" x14ac:dyDescent="0.25">
      <c r="A600" s="18" t="s">
        <v>1368</v>
      </c>
      <c r="B600" s="25" t="s">
        <v>543</v>
      </c>
      <c r="C600" s="12">
        <f t="shared" si="272"/>
        <v>2195400</v>
      </c>
      <c r="D600" s="20">
        <f t="shared" si="282"/>
        <v>0</v>
      </c>
      <c r="E600" s="20">
        <v>0</v>
      </c>
      <c r="F600" s="20">
        <v>0</v>
      </c>
      <c r="G600" s="20">
        <v>0</v>
      </c>
      <c r="H600" s="20">
        <v>0</v>
      </c>
      <c r="I600" s="20">
        <v>0</v>
      </c>
      <c r="J600" s="20">
        <v>0</v>
      </c>
      <c r="K600" s="9">
        <v>0</v>
      </c>
      <c r="L600" s="8">
        <v>0</v>
      </c>
      <c r="M600" s="8">
        <v>362.8</v>
      </c>
      <c r="N600" s="20">
        <f t="shared" si="285"/>
        <v>1995400</v>
      </c>
      <c r="O600" s="8">
        <v>0</v>
      </c>
      <c r="P600" s="8">
        <v>0</v>
      </c>
      <c r="Q600" s="8">
        <v>0</v>
      </c>
      <c r="R600" s="20">
        <f t="shared" si="280"/>
        <v>0</v>
      </c>
      <c r="S600" s="8">
        <v>0</v>
      </c>
      <c r="T600" s="8">
        <v>0</v>
      </c>
      <c r="U600" s="8">
        <v>200000</v>
      </c>
      <c r="V600" s="1">
        <f t="shared" si="281"/>
        <v>5500</v>
      </c>
    </row>
    <row r="601" spans="1:22" ht="21.95" customHeight="1" x14ac:dyDescent="0.25">
      <c r="A601" s="18" t="s">
        <v>1369</v>
      </c>
      <c r="B601" s="25" t="s">
        <v>614</v>
      </c>
      <c r="C601" s="12">
        <f t="shared" ref="C601:C663" si="286">D601+L601+N601+P601+R601+S601+T601+U601</f>
        <v>1734500</v>
      </c>
      <c r="D601" s="20">
        <f t="shared" si="282"/>
        <v>0</v>
      </c>
      <c r="E601" s="20">
        <v>0</v>
      </c>
      <c r="F601" s="20">
        <v>0</v>
      </c>
      <c r="G601" s="20">
        <v>0</v>
      </c>
      <c r="H601" s="20">
        <v>0</v>
      </c>
      <c r="I601" s="20">
        <v>0</v>
      </c>
      <c r="J601" s="20">
        <v>0</v>
      </c>
      <c r="K601" s="9">
        <v>0</v>
      </c>
      <c r="L601" s="8">
        <v>0</v>
      </c>
      <c r="M601" s="8">
        <v>279</v>
      </c>
      <c r="N601" s="20">
        <f t="shared" si="285"/>
        <v>1534500</v>
      </c>
      <c r="O601" s="8">
        <v>0</v>
      </c>
      <c r="P601" s="8">
        <v>0</v>
      </c>
      <c r="Q601" s="8">
        <v>0</v>
      </c>
      <c r="R601" s="20">
        <f t="shared" si="280"/>
        <v>0</v>
      </c>
      <c r="S601" s="8">
        <v>0</v>
      </c>
      <c r="T601" s="8">
        <v>0</v>
      </c>
      <c r="U601" s="8">
        <v>200000</v>
      </c>
      <c r="V601" s="1">
        <f t="shared" si="281"/>
        <v>5500</v>
      </c>
    </row>
    <row r="602" spans="1:22" ht="21.95" customHeight="1" x14ac:dyDescent="0.25">
      <c r="A602" s="18" t="s">
        <v>1370</v>
      </c>
      <c r="B602" s="25" t="s">
        <v>544</v>
      </c>
      <c r="C602" s="12">
        <f t="shared" si="286"/>
        <v>1729000</v>
      </c>
      <c r="D602" s="20">
        <f t="shared" si="282"/>
        <v>0</v>
      </c>
      <c r="E602" s="20">
        <v>0</v>
      </c>
      <c r="F602" s="20">
        <v>0</v>
      </c>
      <c r="G602" s="20">
        <v>0</v>
      </c>
      <c r="H602" s="20">
        <v>0</v>
      </c>
      <c r="I602" s="20">
        <v>0</v>
      </c>
      <c r="J602" s="20">
        <v>0</v>
      </c>
      <c r="K602" s="9">
        <v>0</v>
      </c>
      <c r="L602" s="8">
        <v>0</v>
      </c>
      <c r="M602" s="8">
        <v>278</v>
      </c>
      <c r="N602" s="20">
        <f t="shared" si="285"/>
        <v>1529000</v>
      </c>
      <c r="O602" s="8">
        <v>0</v>
      </c>
      <c r="P602" s="8">
        <v>0</v>
      </c>
      <c r="Q602" s="8">
        <v>0</v>
      </c>
      <c r="R602" s="20">
        <f t="shared" si="280"/>
        <v>0</v>
      </c>
      <c r="S602" s="8">
        <v>0</v>
      </c>
      <c r="T602" s="8">
        <v>0</v>
      </c>
      <c r="U602" s="8">
        <v>200000</v>
      </c>
      <c r="V602" s="1">
        <f t="shared" si="281"/>
        <v>5500</v>
      </c>
    </row>
    <row r="603" spans="1:22" ht="21.95" customHeight="1" x14ac:dyDescent="0.25">
      <c r="A603" s="18" t="s">
        <v>907</v>
      </c>
      <c r="B603" s="25" t="s">
        <v>615</v>
      </c>
      <c r="C603" s="12">
        <f t="shared" si="286"/>
        <v>4715500</v>
      </c>
      <c r="D603" s="20">
        <f t="shared" si="282"/>
        <v>0</v>
      </c>
      <c r="E603" s="20">
        <v>0</v>
      </c>
      <c r="F603" s="20">
        <v>0</v>
      </c>
      <c r="G603" s="20">
        <v>0</v>
      </c>
      <c r="H603" s="20">
        <v>0</v>
      </c>
      <c r="I603" s="20">
        <v>0</v>
      </c>
      <c r="J603" s="20">
        <v>0</v>
      </c>
      <c r="K603" s="9">
        <v>0</v>
      </c>
      <c r="L603" s="8">
        <v>0</v>
      </c>
      <c r="M603" s="8">
        <v>821</v>
      </c>
      <c r="N603" s="20">
        <f t="shared" si="285"/>
        <v>4515500</v>
      </c>
      <c r="O603" s="8">
        <v>0</v>
      </c>
      <c r="P603" s="8">
        <v>0</v>
      </c>
      <c r="Q603" s="8">
        <v>0</v>
      </c>
      <c r="R603" s="20">
        <f t="shared" si="280"/>
        <v>0</v>
      </c>
      <c r="S603" s="8">
        <v>0</v>
      </c>
      <c r="T603" s="8">
        <v>0</v>
      </c>
      <c r="U603" s="8">
        <v>200000</v>
      </c>
      <c r="V603" s="1">
        <f t="shared" si="281"/>
        <v>5500</v>
      </c>
    </row>
    <row r="604" spans="1:22" ht="21.95" customHeight="1" x14ac:dyDescent="0.25">
      <c r="A604" s="18" t="s">
        <v>908</v>
      </c>
      <c r="B604" s="25" t="s">
        <v>616</v>
      </c>
      <c r="C604" s="12">
        <f t="shared" si="286"/>
        <v>2878500</v>
      </c>
      <c r="D604" s="20">
        <f t="shared" si="282"/>
        <v>0</v>
      </c>
      <c r="E604" s="20">
        <v>0</v>
      </c>
      <c r="F604" s="20">
        <v>0</v>
      </c>
      <c r="G604" s="20">
        <v>0</v>
      </c>
      <c r="H604" s="20">
        <v>0</v>
      </c>
      <c r="I604" s="20">
        <v>0</v>
      </c>
      <c r="J604" s="20">
        <v>0</v>
      </c>
      <c r="K604" s="9">
        <v>0</v>
      </c>
      <c r="L604" s="8">
        <v>0</v>
      </c>
      <c r="M604" s="8">
        <v>487</v>
      </c>
      <c r="N604" s="20">
        <f t="shared" si="285"/>
        <v>2678500</v>
      </c>
      <c r="O604" s="8">
        <v>0</v>
      </c>
      <c r="P604" s="8">
        <v>0</v>
      </c>
      <c r="Q604" s="8">
        <v>0</v>
      </c>
      <c r="R604" s="20">
        <f t="shared" si="280"/>
        <v>0</v>
      </c>
      <c r="S604" s="8">
        <v>0</v>
      </c>
      <c r="T604" s="8">
        <v>0</v>
      </c>
      <c r="U604" s="8">
        <v>200000</v>
      </c>
      <c r="V604" s="1">
        <f t="shared" si="281"/>
        <v>5500</v>
      </c>
    </row>
    <row r="605" spans="1:22" ht="21.95" customHeight="1" x14ac:dyDescent="0.25">
      <c r="A605" s="18" t="s">
        <v>909</v>
      </c>
      <c r="B605" s="25" t="s">
        <v>617</v>
      </c>
      <c r="C605" s="12">
        <f t="shared" si="286"/>
        <v>1628900</v>
      </c>
      <c r="D605" s="20">
        <f t="shared" si="282"/>
        <v>0</v>
      </c>
      <c r="E605" s="20">
        <v>0</v>
      </c>
      <c r="F605" s="20">
        <v>0</v>
      </c>
      <c r="G605" s="20">
        <v>0</v>
      </c>
      <c r="H605" s="20">
        <v>0</v>
      </c>
      <c r="I605" s="20">
        <v>0</v>
      </c>
      <c r="J605" s="20">
        <v>0</v>
      </c>
      <c r="K605" s="9">
        <v>0</v>
      </c>
      <c r="L605" s="8">
        <v>0</v>
      </c>
      <c r="M605" s="8">
        <v>259.8</v>
      </c>
      <c r="N605" s="20">
        <f t="shared" si="285"/>
        <v>1428900</v>
      </c>
      <c r="O605" s="8">
        <v>0</v>
      </c>
      <c r="P605" s="8">
        <v>0</v>
      </c>
      <c r="Q605" s="8">
        <v>0</v>
      </c>
      <c r="R605" s="20">
        <f t="shared" si="280"/>
        <v>0</v>
      </c>
      <c r="S605" s="8">
        <v>0</v>
      </c>
      <c r="T605" s="8">
        <v>0</v>
      </c>
      <c r="U605" s="8">
        <v>200000</v>
      </c>
      <c r="V605" s="1">
        <f t="shared" si="281"/>
        <v>5500</v>
      </c>
    </row>
    <row r="606" spans="1:22" ht="21.95" customHeight="1" x14ac:dyDescent="0.25">
      <c r="A606" s="18" t="s">
        <v>910</v>
      </c>
      <c r="B606" s="25" t="s">
        <v>618</v>
      </c>
      <c r="C606" s="12">
        <f t="shared" si="286"/>
        <v>2690950</v>
      </c>
      <c r="D606" s="20">
        <f t="shared" si="282"/>
        <v>0</v>
      </c>
      <c r="E606" s="20">
        <v>0</v>
      </c>
      <c r="F606" s="20">
        <v>0</v>
      </c>
      <c r="G606" s="20">
        <v>0</v>
      </c>
      <c r="H606" s="20">
        <v>0</v>
      </c>
      <c r="I606" s="20">
        <v>0</v>
      </c>
      <c r="J606" s="20">
        <v>0</v>
      </c>
      <c r="K606" s="9">
        <v>0</v>
      </c>
      <c r="L606" s="8">
        <v>0</v>
      </c>
      <c r="M606" s="8">
        <v>452.9</v>
      </c>
      <c r="N606" s="20">
        <f t="shared" si="285"/>
        <v>2490950</v>
      </c>
      <c r="O606" s="8">
        <v>0</v>
      </c>
      <c r="P606" s="8">
        <v>0</v>
      </c>
      <c r="Q606" s="8">
        <v>0</v>
      </c>
      <c r="R606" s="20">
        <f t="shared" si="280"/>
        <v>0</v>
      </c>
      <c r="S606" s="8">
        <v>0</v>
      </c>
      <c r="T606" s="8">
        <v>0</v>
      </c>
      <c r="U606" s="8">
        <v>200000</v>
      </c>
      <c r="V606" s="1">
        <f t="shared" si="281"/>
        <v>5500</v>
      </c>
    </row>
    <row r="607" spans="1:22" ht="21.95" customHeight="1" x14ac:dyDescent="0.25">
      <c r="A607" s="18" t="s">
        <v>911</v>
      </c>
      <c r="B607" s="25" t="s">
        <v>471</v>
      </c>
      <c r="C607" s="12">
        <f t="shared" si="286"/>
        <v>3795899.9999999995</v>
      </c>
      <c r="D607" s="20">
        <f t="shared" si="282"/>
        <v>0</v>
      </c>
      <c r="E607" s="20">
        <v>0</v>
      </c>
      <c r="F607" s="20">
        <v>0</v>
      </c>
      <c r="G607" s="20">
        <v>0</v>
      </c>
      <c r="H607" s="20">
        <v>0</v>
      </c>
      <c r="I607" s="20">
        <v>0</v>
      </c>
      <c r="J607" s="20">
        <v>0</v>
      </c>
      <c r="K607" s="21">
        <v>0</v>
      </c>
      <c r="L607" s="20">
        <v>0</v>
      </c>
      <c r="M607" s="20">
        <v>653.79999999999995</v>
      </c>
      <c r="N607" s="20">
        <f t="shared" si="285"/>
        <v>3595899.9999999995</v>
      </c>
      <c r="O607" s="20">
        <v>0</v>
      </c>
      <c r="P607" s="20">
        <v>0</v>
      </c>
      <c r="Q607" s="20">
        <v>0</v>
      </c>
      <c r="R607" s="20">
        <f t="shared" si="280"/>
        <v>0</v>
      </c>
      <c r="S607" s="20">
        <v>0</v>
      </c>
      <c r="T607" s="8">
        <v>0</v>
      </c>
      <c r="U607" s="20">
        <v>200000</v>
      </c>
      <c r="V607" s="1">
        <f t="shared" si="281"/>
        <v>5500</v>
      </c>
    </row>
    <row r="608" spans="1:22" ht="21.95" customHeight="1" x14ac:dyDescent="0.25">
      <c r="A608" s="18" t="s">
        <v>912</v>
      </c>
      <c r="B608" s="25" t="s">
        <v>619</v>
      </c>
      <c r="C608" s="12">
        <f t="shared" si="286"/>
        <v>1602500</v>
      </c>
      <c r="D608" s="20">
        <f t="shared" si="282"/>
        <v>0</v>
      </c>
      <c r="E608" s="20">
        <v>0</v>
      </c>
      <c r="F608" s="20">
        <v>0</v>
      </c>
      <c r="G608" s="20">
        <v>0</v>
      </c>
      <c r="H608" s="20">
        <v>0</v>
      </c>
      <c r="I608" s="20">
        <v>0</v>
      </c>
      <c r="J608" s="20">
        <v>0</v>
      </c>
      <c r="K608" s="9">
        <v>0</v>
      </c>
      <c r="L608" s="8">
        <v>0</v>
      </c>
      <c r="M608" s="8">
        <v>255</v>
      </c>
      <c r="N608" s="20">
        <f t="shared" si="285"/>
        <v>1402500</v>
      </c>
      <c r="O608" s="8">
        <v>0</v>
      </c>
      <c r="P608" s="8">
        <v>0</v>
      </c>
      <c r="Q608" s="8">
        <v>0</v>
      </c>
      <c r="R608" s="20">
        <f t="shared" si="280"/>
        <v>0</v>
      </c>
      <c r="S608" s="8">
        <v>0</v>
      </c>
      <c r="T608" s="8">
        <v>0</v>
      </c>
      <c r="U608" s="8">
        <v>200000</v>
      </c>
      <c r="V608" s="1">
        <f t="shared" si="281"/>
        <v>5500</v>
      </c>
    </row>
    <row r="609" spans="1:22" ht="21.95" customHeight="1" x14ac:dyDescent="0.25">
      <c r="A609" s="18" t="s">
        <v>913</v>
      </c>
      <c r="B609" s="25" t="s">
        <v>545</v>
      </c>
      <c r="C609" s="12">
        <f t="shared" si="286"/>
        <v>3762899.9999999995</v>
      </c>
      <c r="D609" s="20">
        <f t="shared" si="282"/>
        <v>0</v>
      </c>
      <c r="E609" s="20">
        <v>0</v>
      </c>
      <c r="F609" s="20">
        <v>0</v>
      </c>
      <c r="G609" s="20">
        <v>0</v>
      </c>
      <c r="H609" s="20">
        <v>0</v>
      </c>
      <c r="I609" s="20">
        <v>0</v>
      </c>
      <c r="J609" s="20">
        <v>0</v>
      </c>
      <c r="K609" s="9">
        <v>0</v>
      </c>
      <c r="L609" s="8">
        <v>0</v>
      </c>
      <c r="M609" s="8">
        <v>647.79999999999995</v>
      </c>
      <c r="N609" s="20">
        <f t="shared" si="285"/>
        <v>3562899.9999999995</v>
      </c>
      <c r="O609" s="8">
        <v>0</v>
      </c>
      <c r="P609" s="8">
        <v>0</v>
      </c>
      <c r="Q609" s="8">
        <v>0</v>
      </c>
      <c r="R609" s="20">
        <f t="shared" si="280"/>
        <v>0</v>
      </c>
      <c r="S609" s="8">
        <v>0</v>
      </c>
      <c r="T609" s="8">
        <v>0</v>
      </c>
      <c r="U609" s="8">
        <v>200000</v>
      </c>
      <c r="V609" s="1">
        <f t="shared" si="281"/>
        <v>5500</v>
      </c>
    </row>
    <row r="610" spans="1:22" ht="21.95" customHeight="1" x14ac:dyDescent="0.25">
      <c r="A610" s="18" t="s">
        <v>914</v>
      </c>
      <c r="B610" s="25" t="s">
        <v>620</v>
      </c>
      <c r="C610" s="12">
        <f t="shared" si="286"/>
        <v>2724500</v>
      </c>
      <c r="D610" s="20">
        <f t="shared" si="282"/>
        <v>0</v>
      </c>
      <c r="E610" s="20">
        <v>0</v>
      </c>
      <c r="F610" s="20">
        <v>0</v>
      </c>
      <c r="G610" s="20">
        <v>0</v>
      </c>
      <c r="H610" s="20">
        <v>0</v>
      </c>
      <c r="I610" s="20">
        <v>0</v>
      </c>
      <c r="J610" s="20">
        <v>0</v>
      </c>
      <c r="K610" s="9">
        <v>0</v>
      </c>
      <c r="L610" s="8">
        <v>0</v>
      </c>
      <c r="M610" s="8">
        <v>459</v>
      </c>
      <c r="N610" s="20">
        <f t="shared" ref="N610:N619" si="287">M610*5500</f>
        <v>2524500</v>
      </c>
      <c r="O610" s="8">
        <v>0</v>
      </c>
      <c r="P610" s="8">
        <v>0</v>
      </c>
      <c r="Q610" s="8">
        <v>0</v>
      </c>
      <c r="R610" s="20">
        <f t="shared" si="280"/>
        <v>0</v>
      </c>
      <c r="S610" s="8">
        <v>0</v>
      </c>
      <c r="T610" s="8">
        <v>0</v>
      </c>
      <c r="U610" s="8">
        <v>200000</v>
      </c>
      <c r="V610" s="1">
        <f t="shared" si="281"/>
        <v>5500</v>
      </c>
    </row>
    <row r="611" spans="1:22" ht="21.95" customHeight="1" x14ac:dyDescent="0.25">
      <c r="A611" s="18" t="s">
        <v>915</v>
      </c>
      <c r="B611" s="25" t="s">
        <v>621</v>
      </c>
      <c r="C611" s="12">
        <f t="shared" si="286"/>
        <v>2400000</v>
      </c>
      <c r="D611" s="20">
        <f t="shared" si="282"/>
        <v>0</v>
      </c>
      <c r="E611" s="20">
        <v>0</v>
      </c>
      <c r="F611" s="20">
        <v>0</v>
      </c>
      <c r="G611" s="20">
        <v>0</v>
      </c>
      <c r="H611" s="20">
        <v>0</v>
      </c>
      <c r="I611" s="20">
        <v>0</v>
      </c>
      <c r="J611" s="20">
        <v>0</v>
      </c>
      <c r="K611" s="9">
        <v>0</v>
      </c>
      <c r="L611" s="8">
        <v>0</v>
      </c>
      <c r="M611" s="8">
        <v>400</v>
      </c>
      <c r="N611" s="20">
        <f t="shared" si="287"/>
        <v>2200000</v>
      </c>
      <c r="O611" s="8">
        <v>0</v>
      </c>
      <c r="P611" s="8">
        <v>0</v>
      </c>
      <c r="Q611" s="8">
        <v>0</v>
      </c>
      <c r="R611" s="20">
        <f t="shared" si="280"/>
        <v>0</v>
      </c>
      <c r="S611" s="8">
        <v>0</v>
      </c>
      <c r="T611" s="8">
        <v>0</v>
      </c>
      <c r="U611" s="8">
        <v>200000</v>
      </c>
      <c r="V611" s="1">
        <f t="shared" si="281"/>
        <v>5500</v>
      </c>
    </row>
    <row r="612" spans="1:22" ht="21.95" customHeight="1" x14ac:dyDescent="0.25">
      <c r="A612" s="18" t="s">
        <v>916</v>
      </c>
      <c r="B612" s="31" t="s">
        <v>622</v>
      </c>
      <c r="C612" s="12">
        <f t="shared" si="286"/>
        <v>3937250</v>
      </c>
      <c r="D612" s="20">
        <f t="shared" si="282"/>
        <v>0</v>
      </c>
      <c r="E612" s="20">
        <v>0</v>
      </c>
      <c r="F612" s="20">
        <v>0</v>
      </c>
      <c r="G612" s="20">
        <v>0</v>
      </c>
      <c r="H612" s="20">
        <v>0</v>
      </c>
      <c r="I612" s="20">
        <v>0</v>
      </c>
      <c r="J612" s="20">
        <v>0</v>
      </c>
      <c r="K612" s="9">
        <v>0</v>
      </c>
      <c r="L612" s="8">
        <v>0</v>
      </c>
      <c r="M612" s="8">
        <v>679.5</v>
      </c>
      <c r="N612" s="20">
        <f t="shared" si="287"/>
        <v>3737250</v>
      </c>
      <c r="O612" s="8">
        <v>0</v>
      </c>
      <c r="P612" s="8">
        <v>0</v>
      </c>
      <c r="Q612" s="8">
        <v>0</v>
      </c>
      <c r="R612" s="20">
        <f t="shared" si="280"/>
        <v>0</v>
      </c>
      <c r="S612" s="8">
        <v>0</v>
      </c>
      <c r="T612" s="8">
        <v>0</v>
      </c>
      <c r="U612" s="8">
        <v>200000</v>
      </c>
      <c r="V612" s="1">
        <f t="shared" si="281"/>
        <v>5500</v>
      </c>
    </row>
    <row r="613" spans="1:22" ht="21.95" customHeight="1" x14ac:dyDescent="0.25">
      <c r="A613" s="18" t="s">
        <v>917</v>
      </c>
      <c r="B613" s="31" t="s">
        <v>546</v>
      </c>
      <c r="C613" s="12">
        <f t="shared" si="286"/>
        <v>8727376</v>
      </c>
      <c r="D613" s="20">
        <f t="shared" si="282"/>
        <v>2360976</v>
      </c>
      <c r="E613" s="20">
        <f>350*983.74</f>
        <v>344309</v>
      </c>
      <c r="F613" s="20">
        <f>800*983.74</f>
        <v>786992</v>
      </c>
      <c r="G613" s="20">
        <f>350*983.74</f>
        <v>344309</v>
      </c>
      <c r="H613" s="20">
        <f>500*983.74</f>
        <v>491870</v>
      </c>
      <c r="I613" s="20">
        <f>400*983.74</f>
        <v>393496</v>
      </c>
      <c r="J613" s="20">
        <v>0</v>
      </c>
      <c r="K613" s="9">
        <v>0</v>
      </c>
      <c r="L613" s="8">
        <v>0</v>
      </c>
      <c r="M613" s="8">
        <v>684.8</v>
      </c>
      <c r="N613" s="20">
        <f t="shared" si="287"/>
        <v>3766399.9999999995</v>
      </c>
      <c r="O613" s="8">
        <v>0</v>
      </c>
      <c r="P613" s="8">
        <v>0</v>
      </c>
      <c r="Q613" s="8">
        <v>800</v>
      </c>
      <c r="R613" s="20">
        <f t="shared" si="280"/>
        <v>2400000</v>
      </c>
      <c r="S613" s="8">
        <v>0</v>
      </c>
      <c r="T613" s="8">
        <v>0</v>
      </c>
      <c r="U613" s="8">
        <v>200000</v>
      </c>
      <c r="V613" s="1">
        <f t="shared" si="281"/>
        <v>5500</v>
      </c>
    </row>
    <row r="614" spans="1:22" ht="21.95" customHeight="1" x14ac:dyDescent="0.25">
      <c r="A614" s="18" t="s">
        <v>918</v>
      </c>
      <c r="B614" s="31" t="s">
        <v>623</v>
      </c>
      <c r="C614" s="12">
        <f t="shared" si="286"/>
        <v>3830000</v>
      </c>
      <c r="D614" s="20">
        <f t="shared" si="282"/>
        <v>0</v>
      </c>
      <c r="E614" s="20">
        <v>0</v>
      </c>
      <c r="F614" s="20">
        <v>0</v>
      </c>
      <c r="G614" s="20">
        <v>0</v>
      </c>
      <c r="H614" s="20">
        <v>0</v>
      </c>
      <c r="I614" s="20">
        <v>0</v>
      </c>
      <c r="J614" s="20">
        <v>0</v>
      </c>
      <c r="K614" s="9">
        <v>0</v>
      </c>
      <c r="L614" s="8">
        <v>0</v>
      </c>
      <c r="M614" s="8">
        <v>660</v>
      </c>
      <c r="N614" s="20">
        <f t="shared" si="287"/>
        <v>3630000</v>
      </c>
      <c r="O614" s="8">
        <v>0</v>
      </c>
      <c r="P614" s="8">
        <v>0</v>
      </c>
      <c r="Q614" s="8">
        <v>0</v>
      </c>
      <c r="R614" s="20">
        <f t="shared" si="280"/>
        <v>0</v>
      </c>
      <c r="S614" s="8">
        <v>0</v>
      </c>
      <c r="T614" s="8">
        <v>0</v>
      </c>
      <c r="U614" s="8">
        <v>200000</v>
      </c>
      <c r="V614" s="1">
        <f t="shared" si="281"/>
        <v>5500</v>
      </c>
    </row>
    <row r="615" spans="1:22" ht="21.95" customHeight="1" x14ac:dyDescent="0.25">
      <c r="A615" s="18" t="s">
        <v>919</v>
      </c>
      <c r="B615" s="25" t="s">
        <v>547</v>
      </c>
      <c r="C615" s="12">
        <f t="shared" si="286"/>
        <v>2517150</v>
      </c>
      <c r="D615" s="20">
        <f t="shared" si="282"/>
        <v>0</v>
      </c>
      <c r="E615" s="20">
        <v>0</v>
      </c>
      <c r="F615" s="20">
        <v>0</v>
      </c>
      <c r="G615" s="20">
        <v>0</v>
      </c>
      <c r="H615" s="20">
        <v>0</v>
      </c>
      <c r="I615" s="20">
        <v>0</v>
      </c>
      <c r="J615" s="20">
        <v>0</v>
      </c>
      <c r="K615" s="9">
        <v>0</v>
      </c>
      <c r="L615" s="8">
        <v>0</v>
      </c>
      <c r="M615" s="8">
        <v>421.3</v>
      </c>
      <c r="N615" s="20">
        <f t="shared" si="287"/>
        <v>2317150</v>
      </c>
      <c r="O615" s="8">
        <v>0</v>
      </c>
      <c r="P615" s="8">
        <v>0</v>
      </c>
      <c r="Q615" s="8">
        <v>0</v>
      </c>
      <c r="R615" s="20">
        <f t="shared" si="280"/>
        <v>0</v>
      </c>
      <c r="S615" s="8">
        <v>0</v>
      </c>
      <c r="T615" s="8">
        <v>0</v>
      </c>
      <c r="U615" s="8">
        <v>200000</v>
      </c>
      <c r="V615" s="1">
        <f t="shared" si="281"/>
        <v>5500</v>
      </c>
    </row>
    <row r="616" spans="1:22" ht="21.95" customHeight="1" x14ac:dyDescent="0.25">
      <c r="A616" s="18" t="s">
        <v>1463</v>
      </c>
      <c r="B616" s="25" t="s">
        <v>548</v>
      </c>
      <c r="C616" s="12">
        <f t="shared" si="286"/>
        <v>2527600</v>
      </c>
      <c r="D616" s="20">
        <f t="shared" si="282"/>
        <v>0</v>
      </c>
      <c r="E616" s="20">
        <v>0</v>
      </c>
      <c r="F616" s="20">
        <v>0</v>
      </c>
      <c r="G616" s="20">
        <v>0</v>
      </c>
      <c r="H616" s="20">
        <v>0</v>
      </c>
      <c r="I616" s="20">
        <v>0</v>
      </c>
      <c r="J616" s="20">
        <v>0</v>
      </c>
      <c r="K616" s="9">
        <v>0</v>
      </c>
      <c r="L616" s="8">
        <v>0</v>
      </c>
      <c r="M616" s="8">
        <v>423.2</v>
      </c>
      <c r="N616" s="20">
        <f t="shared" si="287"/>
        <v>2327600</v>
      </c>
      <c r="O616" s="8">
        <v>0</v>
      </c>
      <c r="P616" s="8">
        <v>0</v>
      </c>
      <c r="Q616" s="8">
        <v>0</v>
      </c>
      <c r="R616" s="20">
        <f t="shared" si="280"/>
        <v>0</v>
      </c>
      <c r="S616" s="8">
        <v>0</v>
      </c>
      <c r="T616" s="8">
        <v>0</v>
      </c>
      <c r="U616" s="8">
        <v>200000</v>
      </c>
      <c r="V616" s="1">
        <f t="shared" si="281"/>
        <v>5500</v>
      </c>
    </row>
    <row r="617" spans="1:22" ht="21.95" customHeight="1" x14ac:dyDescent="0.25">
      <c r="A617" s="18" t="s">
        <v>1464</v>
      </c>
      <c r="B617" s="25" t="s">
        <v>549</v>
      </c>
      <c r="C617" s="12">
        <f t="shared" si="286"/>
        <v>1631100</v>
      </c>
      <c r="D617" s="20">
        <f t="shared" si="282"/>
        <v>0</v>
      </c>
      <c r="E617" s="20">
        <v>0</v>
      </c>
      <c r="F617" s="20">
        <v>0</v>
      </c>
      <c r="G617" s="20">
        <v>0</v>
      </c>
      <c r="H617" s="20">
        <v>0</v>
      </c>
      <c r="I617" s="20">
        <v>0</v>
      </c>
      <c r="J617" s="20">
        <v>0</v>
      </c>
      <c r="K617" s="9">
        <v>0</v>
      </c>
      <c r="L617" s="8">
        <v>0</v>
      </c>
      <c r="M617" s="8">
        <v>260.2</v>
      </c>
      <c r="N617" s="20">
        <f t="shared" si="287"/>
        <v>1431100</v>
      </c>
      <c r="O617" s="8">
        <v>0</v>
      </c>
      <c r="P617" s="8">
        <v>0</v>
      </c>
      <c r="Q617" s="8">
        <v>0</v>
      </c>
      <c r="R617" s="20">
        <f t="shared" si="280"/>
        <v>0</v>
      </c>
      <c r="S617" s="8">
        <v>0</v>
      </c>
      <c r="T617" s="8">
        <v>0</v>
      </c>
      <c r="U617" s="8">
        <v>200000</v>
      </c>
      <c r="V617" s="1">
        <f t="shared" si="281"/>
        <v>5500</v>
      </c>
    </row>
    <row r="618" spans="1:22" ht="21.95" customHeight="1" x14ac:dyDescent="0.25">
      <c r="A618" s="18" t="s">
        <v>920</v>
      </c>
      <c r="B618" s="25" t="s">
        <v>625</v>
      </c>
      <c r="C618" s="12">
        <f t="shared" si="286"/>
        <v>1651449.9999999998</v>
      </c>
      <c r="D618" s="20">
        <f t="shared" si="282"/>
        <v>0</v>
      </c>
      <c r="E618" s="20">
        <v>0</v>
      </c>
      <c r="F618" s="20">
        <v>0</v>
      </c>
      <c r="G618" s="20">
        <v>0</v>
      </c>
      <c r="H618" s="20">
        <v>0</v>
      </c>
      <c r="I618" s="20">
        <v>0</v>
      </c>
      <c r="J618" s="20">
        <v>0</v>
      </c>
      <c r="K618" s="9">
        <v>0</v>
      </c>
      <c r="L618" s="8">
        <v>0</v>
      </c>
      <c r="M618" s="8">
        <v>263.89999999999998</v>
      </c>
      <c r="N618" s="20">
        <f t="shared" si="287"/>
        <v>1451449.9999999998</v>
      </c>
      <c r="O618" s="8">
        <v>0</v>
      </c>
      <c r="P618" s="8">
        <v>0</v>
      </c>
      <c r="Q618" s="8">
        <v>0</v>
      </c>
      <c r="R618" s="20">
        <f t="shared" si="280"/>
        <v>0</v>
      </c>
      <c r="S618" s="8">
        <v>0</v>
      </c>
      <c r="T618" s="8">
        <v>0</v>
      </c>
      <c r="U618" s="8">
        <v>200000</v>
      </c>
      <c r="V618" s="1">
        <f t="shared" si="281"/>
        <v>5500</v>
      </c>
    </row>
    <row r="619" spans="1:22" ht="21.95" customHeight="1" x14ac:dyDescent="0.25">
      <c r="A619" s="18" t="s">
        <v>921</v>
      </c>
      <c r="B619" s="25" t="s">
        <v>626</v>
      </c>
      <c r="C619" s="12">
        <f t="shared" si="286"/>
        <v>1639350</v>
      </c>
      <c r="D619" s="20">
        <f t="shared" si="282"/>
        <v>0</v>
      </c>
      <c r="E619" s="20">
        <v>0</v>
      </c>
      <c r="F619" s="20">
        <v>0</v>
      </c>
      <c r="G619" s="20">
        <v>0</v>
      </c>
      <c r="H619" s="20">
        <v>0</v>
      </c>
      <c r="I619" s="20">
        <v>0</v>
      </c>
      <c r="J619" s="20">
        <v>0</v>
      </c>
      <c r="K619" s="9">
        <v>0</v>
      </c>
      <c r="L619" s="8">
        <v>0</v>
      </c>
      <c r="M619" s="8">
        <v>261.7</v>
      </c>
      <c r="N619" s="20">
        <f t="shared" si="287"/>
        <v>1439350</v>
      </c>
      <c r="O619" s="8">
        <v>0</v>
      </c>
      <c r="P619" s="8">
        <v>0</v>
      </c>
      <c r="Q619" s="8">
        <v>0</v>
      </c>
      <c r="R619" s="20">
        <f t="shared" si="280"/>
        <v>0</v>
      </c>
      <c r="S619" s="8">
        <v>0</v>
      </c>
      <c r="T619" s="8">
        <v>0</v>
      </c>
      <c r="U619" s="8">
        <v>200000</v>
      </c>
      <c r="V619" s="1">
        <f t="shared" si="281"/>
        <v>5500</v>
      </c>
    </row>
    <row r="620" spans="1:22" ht="21.95" customHeight="1" x14ac:dyDescent="0.25">
      <c r="A620" s="18" t="s">
        <v>922</v>
      </c>
      <c r="B620" s="25" t="s">
        <v>624</v>
      </c>
      <c r="C620" s="12">
        <f t="shared" si="286"/>
        <v>3507079.2</v>
      </c>
      <c r="D620" s="20">
        <f t="shared" si="282"/>
        <v>0</v>
      </c>
      <c r="E620" s="20">
        <v>0</v>
      </c>
      <c r="F620" s="20">
        <v>0</v>
      </c>
      <c r="G620" s="20">
        <v>0</v>
      </c>
      <c r="H620" s="20">
        <v>0</v>
      </c>
      <c r="I620" s="20">
        <v>0</v>
      </c>
      <c r="J620" s="20">
        <v>0</v>
      </c>
      <c r="K620" s="9">
        <v>0</v>
      </c>
      <c r="L620" s="8">
        <v>0</v>
      </c>
      <c r="M620" s="8">
        <v>897.2</v>
      </c>
      <c r="N620" s="20">
        <f>M620*3686</f>
        <v>3307079.2</v>
      </c>
      <c r="O620" s="8">
        <v>0</v>
      </c>
      <c r="P620" s="8">
        <v>0</v>
      </c>
      <c r="Q620" s="8">
        <v>0</v>
      </c>
      <c r="R620" s="20">
        <f t="shared" si="280"/>
        <v>0</v>
      </c>
      <c r="S620" s="8">
        <v>0</v>
      </c>
      <c r="T620" s="8">
        <v>0</v>
      </c>
      <c r="U620" s="8">
        <v>200000</v>
      </c>
      <c r="V620" s="1">
        <f t="shared" si="281"/>
        <v>3686</v>
      </c>
    </row>
    <row r="621" spans="1:22" ht="21.95" customHeight="1" x14ac:dyDescent="0.25">
      <c r="A621" s="18" t="s">
        <v>923</v>
      </c>
      <c r="B621" s="25" t="s">
        <v>627</v>
      </c>
      <c r="C621" s="12">
        <f t="shared" si="286"/>
        <v>1284765</v>
      </c>
      <c r="D621" s="20">
        <f t="shared" si="282"/>
        <v>0</v>
      </c>
      <c r="E621" s="20">
        <v>0</v>
      </c>
      <c r="F621" s="20">
        <v>0</v>
      </c>
      <c r="G621" s="20">
        <v>0</v>
      </c>
      <c r="H621" s="20">
        <v>0</v>
      </c>
      <c r="I621" s="20">
        <v>0</v>
      </c>
      <c r="J621" s="20">
        <v>0</v>
      </c>
      <c r="K621" s="9">
        <v>0</v>
      </c>
      <c r="L621" s="8">
        <v>0</v>
      </c>
      <c r="M621" s="8">
        <v>197.23</v>
      </c>
      <c r="N621" s="20">
        <f t="shared" ref="N621:N623" si="288">M621*5500</f>
        <v>1084765</v>
      </c>
      <c r="O621" s="8">
        <v>0</v>
      </c>
      <c r="P621" s="8">
        <v>0</v>
      </c>
      <c r="Q621" s="8">
        <v>0</v>
      </c>
      <c r="R621" s="20">
        <f t="shared" si="280"/>
        <v>0</v>
      </c>
      <c r="S621" s="8">
        <v>0</v>
      </c>
      <c r="T621" s="8">
        <v>0</v>
      </c>
      <c r="U621" s="8">
        <v>200000</v>
      </c>
      <c r="V621" s="1">
        <f t="shared" si="281"/>
        <v>5500</v>
      </c>
    </row>
    <row r="622" spans="1:22" ht="21.95" customHeight="1" x14ac:dyDescent="0.25">
      <c r="A622" s="18" t="s">
        <v>924</v>
      </c>
      <c r="B622" s="25" t="s">
        <v>628</v>
      </c>
      <c r="C622" s="12">
        <f t="shared" si="286"/>
        <v>1514500</v>
      </c>
      <c r="D622" s="20">
        <f t="shared" si="282"/>
        <v>0</v>
      </c>
      <c r="E622" s="20">
        <v>0</v>
      </c>
      <c r="F622" s="20">
        <v>0</v>
      </c>
      <c r="G622" s="20">
        <v>0</v>
      </c>
      <c r="H622" s="20">
        <v>0</v>
      </c>
      <c r="I622" s="20">
        <v>0</v>
      </c>
      <c r="J622" s="20">
        <v>0</v>
      </c>
      <c r="K622" s="9">
        <v>0</v>
      </c>
      <c r="L622" s="8">
        <v>0</v>
      </c>
      <c r="M622" s="8">
        <v>239</v>
      </c>
      <c r="N622" s="20">
        <f t="shared" si="288"/>
        <v>1314500</v>
      </c>
      <c r="O622" s="8">
        <v>0</v>
      </c>
      <c r="P622" s="8">
        <v>0</v>
      </c>
      <c r="Q622" s="8">
        <v>0</v>
      </c>
      <c r="R622" s="20">
        <f t="shared" si="280"/>
        <v>0</v>
      </c>
      <c r="S622" s="8">
        <v>0</v>
      </c>
      <c r="T622" s="8">
        <v>0</v>
      </c>
      <c r="U622" s="8">
        <v>200000</v>
      </c>
      <c r="V622" s="1">
        <f t="shared" si="281"/>
        <v>5500</v>
      </c>
    </row>
    <row r="623" spans="1:22" ht="21.95" customHeight="1" x14ac:dyDescent="0.25">
      <c r="A623" s="18" t="s">
        <v>925</v>
      </c>
      <c r="B623" s="25" t="s">
        <v>629</v>
      </c>
      <c r="C623" s="12">
        <f t="shared" si="286"/>
        <v>1696000</v>
      </c>
      <c r="D623" s="20">
        <f t="shared" si="282"/>
        <v>0</v>
      </c>
      <c r="E623" s="20">
        <v>0</v>
      </c>
      <c r="F623" s="20">
        <v>0</v>
      </c>
      <c r="G623" s="20">
        <v>0</v>
      </c>
      <c r="H623" s="20">
        <v>0</v>
      </c>
      <c r="I623" s="20">
        <v>0</v>
      </c>
      <c r="J623" s="20">
        <v>0</v>
      </c>
      <c r="K623" s="9">
        <v>0</v>
      </c>
      <c r="L623" s="8">
        <v>0</v>
      </c>
      <c r="M623" s="8">
        <v>272</v>
      </c>
      <c r="N623" s="20">
        <f t="shared" si="288"/>
        <v>1496000</v>
      </c>
      <c r="O623" s="8">
        <v>0</v>
      </c>
      <c r="P623" s="8">
        <v>0</v>
      </c>
      <c r="Q623" s="8">
        <v>0</v>
      </c>
      <c r="R623" s="20">
        <f t="shared" si="280"/>
        <v>0</v>
      </c>
      <c r="S623" s="8">
        <v>0</v>
      </c>
      <c r="T623" s="8">
        <v>0</v>
      </c>
      <c r="U623" s="8">
        <v>200000</v>
      </c>
      <c r="V623" s="1">
        <f t="shared" si="281"/>
        <v>5500</v>
      </c>
    </row>
    <row r="624" spans="1:22" ht="21.95" customHeight="1" x14ac:dyDescent="0.25">
      <c r="A624" s="18" t="s">
        <v>926</v>
      </c>
      <c r="B624" s="25" t="s">
        <v>1403</v>
      </c>
      <c r="C624" s="12">
        <f t="shared" si="286"/>
        <v>23448176</v>
      </c>
      <c r="D624" s="20">
        <f t="shared" si="282"/>
        <v>2360976</v>
      </c>
      <c r="E624" s="20">
        <f>350*983.74</f>
        <v>344309</v>
      </c>
      <c r="F624" s="20">
        <f>800*983.74</f>
        <v>786992</v>
      </c>
      <c r="G624" s="20">
        <f>350*983.74</f>
        <v>344309</v>
      </c>
      <c r="H624" s="20">
        <f>500*983.74</f>
        <v>491870</v>
      </c>
      <c r="I624" s="20">
        <f>400*983.74</f>
        <v>393496</v>
      </c>
      <c r="J624" s="20">
        <v>0</v>
      </c>
      <c r="K624" s="9">
        <v>0</v>
      </c>
      <c r="L624" s="8">
        <v>0</v>
      </c>
      <c r="M624" s="8">
        <v>1200</v>
      </c>
      <c r="N624" s="20">
        <f>M624*3686</f>
        <v>4423200</v>
      </c>
      <c r="O624" s="8">
        <v>0</v>
      </c>
      <c r="P624" s="8">
        <v>0</v>
      </c>
      <c r="Q624" s="8">
        <v>5488</v>
      </c>
      <c r="R624" s="20">
        <f t="shared" si="280"/>
        <v>16464000</v>
      </c>
      <c r="S624" s="8">
        <v>0</v>
      </c>
      <c r="T624" s="8">
        <v>0</v>
      </c>
      <c r="U624" s="8">
        <v>200000</v>
      </c>
      <c r="V624" s="1">
        <f t="shared" si="281"/>
        <v>3686</v>
      </c>
    </row>
    <row r="625" spans="1:22" ht="21.95" customHeight="1" x14ac:dyDescent="0.25">
      <c r="A625" s="18" t="s">
        <v>927</v>
      </c>
      <c r="B625" s="25" t="s">
        <v>421</v>
      </c>
      <c r="C625" s="12">
        <f t="shared" si="286"/>
        <v>2015000</v>
      </c>
      <c r="D625" s="20">
        <f t="shared" si="282"/>
        <v>0</v>
      </c>
      <c r="E625" s="20">
        <v>0</v>
      </c>
      <c r="F625" s="20">
        <v>0</v>
      </c>
      <c r="G625" s="20">
        <v>0</v>
      </c>
      <c r="H625" s="20">
        <v>0</v>
      </c>
      <c r="I625" s="20">
        <v>0</v>
      </c>
      <c r="J625" s="20">
        <v>0</v>
      </c>
      <c r="K625" s="21">
        <v>0</v>
      </c>
      <c r="L625" s="20">
        <v>0</v>
      </c>
      <c r="M625" s="20">
        <v>330</v>
      </c>
      <c r="N625" s="20">
        <f t="shared" ref="N625:N632" si="289">M625*5500</f>
        <v>1815000</v>
      </c>
      <c r="O625" s="20">
        <v>0</v>
      </c>
      <c r="P625" s="20">
        <v>0</v>
      </c>
      <c r="Q625" s="20">
        <v>0</v>
      </c>
      <c r="R625" s="20">
        <f t="shared" si="280"/>
        <v>0</v>
      </c>
      <c r="S625" s="20">
        <v>0</v>
      </c>
      <c r="T625" s="8">
        <v>0</v>
      </c>
      <c r="U625" s="20">
        <v>200000</v>
      </c>
      <c r="V625" s="1">
        <f t="shared" si="281"/>
        <v>5500</v>
      </c>
    </row>
    <row r="626" spans="1:22" ht="21.95" customHeight="1" x14ac:dyDescent="0.25">
      <c r="A626" s="18" t="s">
        <v>928</v>
      </c>
      <c r="B626" s="25" t="s">
        <v>630</v>
      </c>
      <c r="C626" s="12">
        <f t="shared" si="286"/>
        <v>3660600.0000000005</v>
      </c>
      <c r="D626" s="20">
        <f t="shared" si="282"/>
        <v>0</v>
      </c>
      <c r="E626" s="20">
        <v>0</v>
      </c>
      <c r="F626" s="20">
        <v>0</v>
      </c>
      <c r="G626" s="20">
        <v>0</v>
      </c>
      <c r="H626" s="20">
        <v>0</v>
      </c>
      <c r="I626" s="20">
        <v>0</v>
      </c>
      <c r="J626" s="20">
        <v>0</v>
      </c>
      <c r="K626" s="9">
        <v>0</v>
      </c>
      <c r="L626" s="8">
        <v>0</v>
      </c>
      <c r="M626" s="8">
        <v>629.20000000000005</v>
      </c>
      <c r="N626" s="20">
        <f t="shared" si="289"/>
        <v>3460600.0000000005</v>
      </c>
      <c r="O626" s="8">
        <v>0</v>
      </c>
      <c r="P626" s="8">
        <v>0</v>
      </c>
      <c r="Q626" s="8">
        <v>0</v>
      </c>
      <c r="R626" s="20">
        <f t="shared" si="280"/>
        <v>0</v>
      </c>
      <c r="S626" s="8">
        <v>0</v>
      </c>
      <c r="T626" s="8">
        <v>0</v>
      </c>
      <c r="U626" s="8">
        <v>200000</v>
      </c>
      <c r="V626" s="1">
        <f t="shared" si="281"/>
        <v>5500</v>
      </c>
    </row>
    <row r="627" spans="1:22" ht="21.95" customHeight="1" x14ac:dyDescent="0.25">
      <c r="A627" s="18" t="s">
        <v>929</v>
      </c>
      <c r="B627" s="25" t="s">
        <v>631</v>
      </c>
      <c r="C627" s="12">
        <f t="shared" si="286"/>
        <v>3340500</v>
      </c>
      <c r="D627" s="20">
        <f t="shared" si="282"/>
        <v>0</v>
      </c>
      <c r="E627" s="20">
        <v>0</v>
      </c>
      <c r="F627" s="20">
        <v>0</v>
      </c>
      <c r="G627" s="20">
        <v>0</v>
      </c>
      <c r="H627" s="20">
        <v>0</v>
      </c>
      <c r="I627" s="20">
        <v>0</v>
      </c>
      <c r="J627" s="20">
        <v>0</v>
      </c>
      <c r="K627" s="9">
        <v>0</v>
      </c>
      <c r="L627" s="8">
        <v>0</v>
      </c>
      <c r="M627" s="8">
        <v>571</v>
      </c>
      <c r="N627" s="20">
        <f t="shared" si="289"/>
        <v>3140500</v>
      </c>
      <c r="O627" s="8">
        <v>0</v>
      </c>
      <c r="P627" s="8">
        <v>0</v>
      </c>
      <c r="Q627" s="8">
        <v>0</v>
      </c>
      <c r="R627" s="20">
        <f t="shared" si="280"/>
        <v>0</v>
      </c>
      <c r="S627" s="8">
        <v>0</v>
      </c>
      <c r="T627" s="8">
        <v>0</v>
      </c>
      <c r="U627" s="8">
        <v>200000</v>
      </c>
      <c r="V627" s="1">
        <f t="shared" si="281"/>
        <v>5500</v>
      </c>
    </row>
    <row r="628" spans="1:22" ht="21.95" customHeight="1" x14ac:dyDescent="0.25">
      <c r="A628" s="18" t="s">
        <v>930</v>
      </c>
      <c r="B628" s="25" t="s">
        <v>632</v>
      </c>
      <c r="C628" s="12">
        <f t="shared" si="286"/>
        <v>2845500</v>
      </c>
      <c r="D628" s="20">
        <f t="shared" si="282"/>
        <v>0</v>
      </c>
      <c r="E628" s="20">
        <v>0</v>
      </c>
      <c r="F628" s="20">
        <v>0</v>
      </c>
      <c r="G628" s="20">
        <v>0</v>
      </c>
      <c r="H628" s="20">
        <v>0</v>
      </c>
      <c r="I628" s="20">
        <v>0</v>
      </c>
      <c r="J628" s="20">
        <v>0</v>
      </c>
      <c r="K628" s="9">
        <v>0</v>
      </c>
      <c r="L628" s="8">
        <v>0</v>
      </c>
      <c r="M628" s="8">
        <v>481</v>
      </c>
      <c r="N628" s="20">
        <f t="shared" si="289"/>
        <v>2645500</v>
      </c>
      <c r="O628" s="8">
        <v>0</v>
      </c>
      <c r="P628" s="8">
        <v>0</v>
      </c>
      <c r="Q628" s="8">
        <v>0</v>
      </c>
      <c r="R628" s="20">
        <f t="shared" si="280"/>
        <v>0</v>
      </c>
      <c r="S628" s="8">
        <v>0</v>
      </c>
      <c r="T628" s="8">
        <v>0</v>
      </c>
      <c r="U628" s="8">
        <v>200000</v>
      </c>
      <c r="V628" s="1">
        <f t="shared" si="281"/>
        <v>5500</v>
      </c>
    </row>
    <row r="629" spans="1:22" ht="21.95" customHeight="1" x14ac:dyDescent="0.25">
      <c r="A629" s="18" t="s">
        <v>931</v>
      </c>
      <c r="B629" s="25" t="s">
        <v>633</v>
      </c>
      <c r="C629" s="12">
        <f t="shared" si="286"/>
        <v>13526500</v>
      </c>
      <c r="D629" s="20">
        <f t="shared" si="282"/>
        <v>0</v>
      </c>
      <c r="E629" s="20">
        <v>0</v>
      </c>
      <c r="F629" s="20">
        <v>0</v>
      </c>
      <c r="G629" s="20">
        <v>0</v>
      </c>
      <c r="H629" s="20">
        <v>0</v>
      </c>
      <c r="I629" s="20">
        <v>0</v>
      </c>
      <c r="J629" s="20">
        <v>0</v>
      </c>
      <c r="K629" s="9">
        <v>0</v>
      </c>
      <c r="L629" s="8">
        <v>0</v>
      </c>
      <c r="M629" s="8">
        <v>2423</v>
      </c>
      <c r="N629" s="20">
        <f t="shared" si="289"/>
        <v>13326500</v>
      </c>
      <c r="O629" s="8">
        <v>0</v>
      </c>
      <c r="P629" s="8">
        <v>0</v>
      </c>
      <c r="Q629" s="8">
        <v>0</v>
      </c>
      <c r="R629" s="20">
        <f t="shared" si="280"/>
        <v>0</v>
      </c>
      <c r="S629" s="8">
        <v>0</v>
      </c>
      <c r="T629" s="8">
        <v>0</v>
      </c>
      <c r="U629" s="8">
        <v>200000</v>
      </c>
      <c r="V629" s="1">
        <f t="shared" si="281"/>
        <v>5500</v>
      </c>
    </row>
    <row r="630" spans="1:22" ht="21.95" customHeight="1" x14ac:dyDescent="0.25">
      <c r="A630" s="18" t="s">
        <v>932</v>
      </c>
      <c r="B630" s="25" t="s">
        <v>634</v>
      </c>
      <c r="C630" s="12">
        <f t="shared" si="286"/>
        <v>3229000</v>
      </c>
      <c r="D630" s="20">
        <f t="shared" si="282"/>
        <v>0</v>
      </c>
      <c r="E630" s="20">
        <v>0</v>
      </c>
      <c r="F630" s="20">
        <v>0</v>
      </c>
      <c r="G630" s="20">
        <v>0</v>
      </c>
      <c r="H630" s="20">
        <v>0</v>
      </c>
      <c r="I630" s="20">
        <v>0</v>
      </c>
      <c r="J630" s="20">
        <v>0</v>
      </c>
      <c r="K630" s="9">
        <v>0</v>
      </c>
      <c r="L630" s="8">
        <v>0</v>
      </c>
      <c r="M630" s="8">
        <v>278</v>
      </c>
      <c r="N630" s="20">
        <f t="shared" si="289"/>
        <v>1529000</v>
      </c>
      <c r="O630" s="8">
        <v>0</v>
      </c>
      <c r="P630" s="8">
        <v>0</v>
      </c>
      <c r="Q630" s="8">
        <v>500</v>
      </c>
      <c r="R630" s="20">
        <f t="shared" ref="R630:R693" si="290">Q630*3000</f>
        <v>1500000</v>
      </c>
      <c r="S630" s="8">
        <v>0</v>
      </c>
      <c r="T630" s="8">
        <v>0</v>
      </c>
      <c r="U630" s="8">
        <v>200000</v>
      </c>
      <c r="V630" s="1">
        <f t="shared" ref="V630:V693" si="291">N630/M630</f>
        <v>5500</v>
      </c>
    </row>
    <row r="631" spans="1:22" ht="21.95" customHeight="1" x14ac:dyDescent="0.25">
      <c r="A631" s="18" t="s">
        <v>933</v>
      </c>
      <c r="B631" s="31" t="s">
        <v>635</v>
      </c>
      <c r="C631" s="12">
        <f t="shared" si="286"/>
        <v>1734500</v>
      </c>
      <c r="D631" s="20">
        <f t="shared" ref="D631:D692" si="292">SUM(E631:J631)</f>
        <v>0</v>
      </c>
      <c r="E631" s="20">
        <v>0</v>
      </c>
      <c r="F631" s="20">
        <v>0</v>
      </c>
      <c r="G631" s="20">
        <v>0</v>
      </c>
      <c r="H631" s="20">
        <v>0</v>
      </c>
      <c r="I631" s="20">
        <v>0</v>
      </c>
      <c r="J631" s="20">
        <v>0</v>
      </c>
      <c r="K631" s="9">
        <v>0</v>
      </c>
      <c r="L631" s="8">
        <v>0</v>
      </c>
      <c r="M631" s="8">
        <v>279</v>
      </c>
      <c r="N631" s="20">
        <f t="shared" si="289"/>
        <v>1534500</v>
      </c>
      <c r="O631" s="8">
        <v>0</v>
      </c>
      <c r="P631" s="8">
        <v>0</v>
      </c>
      <c r="Q631" s="8">
        <v>0</v>
      </c>
      <c r="R631" s="20">
        <f t="shared" si="290"/>
        <v>0</v>
      </c>
      <c r="S631" s="8">
        <v>0</v>
      </c>
      <c r="T631" s="8">
        <v>0</v>
      </c>
      <c r="U631" s="8">
        <v>200000</v>
      </c>
      <c r="V631" s="1">
        <f t="shared" si="291"/>
        <v>5500</v>
      </c>
    </row>
    <row r="632" spans="1:22" ht="21.95" customHeight="1" x14ac:dyDescent="0.25">
      <c r="A632" s="18" t="s">
        <v>934</v>
      </c>
      <c r="B632" s="25" t="s">
        <v>550</v>
      </c>
      <c r="C632" s="12">
        <f t="shared" si="286"/>
        <v>2889500</v>
      </c>
      <c r="D632" s="20">
        <f t="shared" si="292"/>
        <v>0</v>
      </c>
      <c r="E632" s="20">
        <v>0</v>
      </c>
      <c r="F632" s="20">
        <v>0</v>
      </c>
      <c r="G632" s="20">
        <v>0</v>
      </c>
      <c r="H632" s="20">
        <v>0</v>
      </c>
      <c r="I632" s="20">
        <v>0</v>
      </c>
      <c r="J632" s="20">
        <v>0</v>
      </c>
      <c r="K632" s="9">
        <v>0</v>
      </c>
      <c r="L632" s="8">
        <v>0</v>
      </c>
      <c r="M632" s="8">
        <v>489</v>
      </c>
      <c r="N632" s="20">
        <f t="shared" si="289"/>
        <v>2689500</v>
      </c>
      <c r="O632" s="8">
        <v>0</v>
      </c>
      <c r="P632" s="8">
        <v>0</v>
      </c>
      <c r="Q632" s="8">
        <v>0</v>
      </c>
      <c r="R632" s="20">
        <f t="shared" si="290"/>
        <v>0</v>
      </c>
      <c r="S632" s="8">
        <v>0</v>
      </c>
      <c r="T632" s="8">
        <v>0</v>
      </c>
      <c r="U632" s="8">
        <v>200000</v>
      </c>
      <c r="V632" s="1">
        <f t="shared" si="291"/>
        <v>5500</v>
      </c>
    </row>
    <row r="633" spans="1:22" ht="21.95" customHeight="1" x14ac:dyDescent="0.25">
      <c r="A633" s="18" t="s">
        <v>935</v>
      </c>
      <c r="B633" s="25" t="s">
        <v>1588</v>
      </c>
      <c r="C633" s="12">
        <f t="shared" si="286"/>
        <v>13400000</v>
      </c>
      <c r="D633" s="20">
        <f t="shared" si="292"/>
        <v>0</v>
      </c>
      <c r="E633" s="20">
        <v>0</v>
      </c>
      <c r="F633" s="20">
        <v>0</v>
      </c>
      <c r="G633" s="20">
        <v>0</v>
      </c>
      <c r="H633" s="20">
        <v>0</v>
      </c>
      <c r="I633" s="20">
        <v>0</v>
      </c>
      <c r="J633" s="20">
        <v>0</v>
      </c>
      <c r="K633" s="9">
        <v>6</v>
      </c>
      <c r="L633" s="8">
        <f>K633*2150000</f>
        <v>12900000</v>
      </c>
      <c r="M633" s="8">
        <v>0</v>
      </c>
      <c r="N633" s="8">
        <v>0</v>
      </c>
      <c r="O633" s="8">
        <v>0</v>
      </c>
      <c r="P633" s="8">
        <v>0</v>
      </c>
      <c r="Q633" s="8">
        <v>0</v>
      </c>
      <c r="R633" s="20">
        <f t="shared" si="290"/>
        <v>0</v>
      </c>
      <c r="S633" s="8">
        <v>0</v>
      </c>
      <c r="T633" s="8">
        <v>0</v>
      </c>
      <c r="U633" s="8">
        <v>500000</v>
      </c>
      <c r="V633" s="1" t="e">
        <f t="shared" si="291"/>
        <v>#DIV/0!</v>
      </c>
    </row>
    <row r="634" spans="1:22" ht="21.95" customHeight="1" x14ac:dyDescent="0.25">
      <c r="A634" s="18" t="s">
        <v>936</v>
      </c>
      <c r="B634" s="25" t="s">
        <v>636</v>
      </c>
      <c r="C634" s="12">
        <f t="shared" si="286"/>
        <v>1932500</v>
      </c>
      <c r="D634" s="20">
        <f t="shared" si="292"/>
        <v>0</v>
      </c>
      <c r="E634" s="20">
        <v>0</v>
      </c>
      <c r="F634" s="20">
        <v>0</v>
      </c>
      <c r="G634" s="20">
        <v>0</v>
      </c>
      <c r="H634" s="20">
        <v>0</v>
      </c>
      <c r="I634" s="20">
        <v>0</v>
      </c>
      <c r="J634" s="20">
        <v>0</v>
      </c>
      <c r="K634" s="9">
        <v>0</v>
      </c>
      <c r="L634" s="8">
        <v>0</v>
      </c>
      <c r="M634" s="8">
        <v>315</v>
      </c>
      <c r="N634" s="20">
        <f t="shared" ref="N634:N635" si="293">M634*5500</f>
        <v>1732500</v>
      </c>
      <c r="O634" s="8">
        <v>0</v>
      </c>
      <c r="P634" s="8">
        <v>0</v>
      </c>
      <c r="Q634" s="8">
        <v>0</v>
      </c>
      <c r="R634" s="20">
        <f t="shared" si="290"/>
        <v>0</v>
      </c>
      <c r="S634" s="8">
        <v>0</v>
      </c>
      <c r="T634" s="8">
        <v>0</v>
      </c>
      <c r="U634" s="8">
        <v>200000</v>
      </c>
      <c r="V634" s="1">
        <f t="shared" si="291"/>
        <v>5500</v>
      </c>
    </row>
    <row r="635" spans="1:22" ht="21.95" customHeight="1" x14ac:dyDescent="0.25">
      <c r="A635" s="18" t="s">
        <v>937</v>
      </c>
      <c r="B635" s="31" t="s">
        <v>551</v>
      </c>
      <c r="C635" s="12">
        <f t="shared" si="286"/>
        <v>1932500</v>
      </c>
      <c r="D635" s="20">
        <f t="shared" si="292"/>
        <v>0</v>
      </c>
      <c r="E635" s="20">
        <v>0</v>
      </c>
      <c r="F635" s="20">
        <v>0</v>
      </c>
      <c r="G635" s="20">
        <v>0</v>
      </c>
      <c r="H635" s="20">
        <v>0</v>
      </c>
      <c r="I635" s="20">
        <v>0</v>
      </c>
      <c r="J635" s="20">
        <v>0</v>
      </c>
      <c r="K635" s="9">
        <v>0</v>
      </c>
      <c r="L635" s="8">
        <v>0</v>
      </c>
      <c r="M635" s="8">
        <v>315</v>
      </c>
      <c r="N635" s="20">
        <f t="shared" si="293"/>
        <v>1732500</v>
      </c>
      <c r="O635" s="8">
        <v>0</v>
      </c>
      <c r="P635" s="8">
        <v>0</v>
      </c>
      <c r="Q635" s="8">
        <v>0</v>
      </c>
      <c r="R635" s="20">
        <f t="shared" si="290"/>
        <v>0</v>
      </c>
      <c r="S635" s="8">
        <v>0</v>
      </c>
      <c r="T635" s="8">
        <v>0</v>
      </c>
      <c r="U635" s="8">
        <v>200000</v>
      </c>
      <c r="V635" s="1">
        <f t="shared" si="291"/>
        <v>5500</v>
      </c>
    </row>
    <row r="636" spans="1:22" ht="21.95" customHeight="1" x14ac:dyDescent="0.25">
      <c r="A636" s="18" t="s">
        <v>938</v>
      </c>
      <c r="B636" s="25" t="s">
        <v>472</v>
      </c>
      <c r="C636" s="12">
        <f t="shared" si="286"/>
        <v>11871200</v>
      </c>
      <c r="D636" s="20">
        <f t="shared" si="292"/>
        <v>11671200</v>
      </c>
      <c r="E636" s="20">
        <f>350*4863</f>
        <v>1702050</v>
      </c>
      <c r="F636" s="20">
        <f>800*4863</f>
        <v>3890400</v>
      </c>
      <c r="G636" s="20">
        <f>350*4863</f>
        <v>1702050</v>
      </c>
      <c r="H636" s="20">
        <f>500*4863</f>
        <v>2431500</v>
      </c>
      <c r="I636" s="20">
        <f>400*4863</f>
        <v>1945200</v>
      </c>
      <c r="J636" s="20">
        <v>0</v>
      </c>
      <c r="K636" s="21">
        <v>0</v>
      </c>
      <c r="L636" s="20">
        <v>0</v>
      </c>
      <c r="M636" s="20">
        <v>0</v>
      </c>
      <c r="N636" s="20">
        <v>0</v>
      </c>
      <c r="O636" s="20">
        <v>0</v>
      </c>
      <c r="P636" s="20">
        <v>0</v>
      </c>
      <c r="Q636" s="20">
        <v>0</v>
      </c>
      <c r="R636" s="20">
        <f t="shared" si="290"/>
        <v>0</v>
      </c>
      <c r="S636" s="20">
        <v>0</v>
      </c>
      <c r="T636" s="8">
        <v>0</v>
      </c>
      <c r="U636" s="20">
        <v>200000</v>
      </c>
      <c r="V636" s="1" t="e">
        <f t="shared" si="291"/>
        <v>#DIV/0!</v>
      </c>
    </row>
    <row r="637" spans="1:22" ht="21.95" customHeight="1" x14ac:dyDescent="0.25">
      <c r="A637" s="18" t="s">
        <v>939</v>
      </c>
      <c r="B637" s="25" t="s">
        <v>458</v>
      </c>
      <c r="C637" s="12">
        <f t="shared" si="286"/>
        <v>19886000</v>
      </c>
      <c r="D637" s="20">
        <f t="shared" si="292"/>
        <v>19686000</v>
      </c>
      <c r="E637" s="20">
        <f>350*8202.5</f>
        <v>2870875</v>
      </c>
      <c r="F637" s="20">
        <f>800*8202.5</f>
        <v>6562000</v>
      </c>
      <c r="G637" s="20">
        <f>350*8202.5</f>
        <v>2870875</v>
      </c>
      <c r="H637" s="20">
        <f>500*8202.5</f>
        <v>4101250</v>
      </c>
      <c r="I637" s="20">
        <f>400*8202.5</f>
        <v>3281000</v>
      </c>
      <c r="J637" s="20">
        <v>0</v>
      </c>
      <c r="K637" s="21">
        <v>0</v>
      </c>
      <c r="L637" s="20">
        <v>0</v>
      </c>
      <c r="M637" s="20">
        <v>0</v>
      </c>
      <c r="N637" s="20">
        <v>0</v>
      </c>
      <c r="O637" s="20">
        <v>0</v>
      </c>
      <c r="P637" s="20">
        <v>0</v>
      </c>
      <c r="Q637" s="20">
        <v>0</v>
      </c>
      <c r="R637" s="20">
        <f t="shared" si="290"/>
        <v>0</v>
      </c>
      <c r="S637" s="20">
        <v>0</v>
      </c>
      <c r="T637" s="8">
        <v>0</v>
      </c>
      <c r="U637" s="20">
        <v>200000</v>
      </c>
      <c r="V637" s="1" t="e">
        <f t="shared" si="291"/>
        <v>#DIV/0!</v>
      </c>
    </row>
    <row r="638" spans="1:22" ht="21.95" customHeight="1" x14ac:dyDescent="0.25">
      <c r="A638" s="18" t="s">
        <v>940</v>
      </c>
      <c r="B638" s="25" t="s">
        <v>638</v>
      </c>
      <c r="C638" s="12">
        <f t="shared" si="286"/>
        <v>3511000</v>
      </c>
      <c r="D638" s="20">
        <f t="shared" si="292"/>
        <v>0</v>
      </c>
      <c r="E638" s="20">
        <v>0</v>
      </c>
      <c r="F638" s="20">
        <v>0</v>
      </c>
      <c r="G638" s="20">
        <v>0</v>
      </c>
      <c r="H638" s="20">
        <v>0</v>
      </c>
      <c r="I638" s="20">
        <v>0</v>
      </c>
      <c r="J638" s="20">
        <v>0</v>
      </c>
      <c r="K638" s="9">
        <v>0</v>
      </c>
      <c r="L638" s="8">
        <v>0</v>
      </c>
      <c r="M638" s="8">
        <v>602</v>
      </c>
      <c r="N638" s="20">
        <f t="shared" ref="N638:N645" si="294">M638*5500</f>
        <v>3311000</v>
      </c>
      <c r="O638" s="8">
        <v>0</v>
      </c>
      <c r="P638" s="8">
        <v>0</v>
      </c>
      <c r="Q638" s="8">
        <v>0</v>
      </c>
      <c r="R638" s="20">
        <f t="shared" si="290"/>
        <v>0</v>
      </c>
      <c r="S638" s="8">
        <v>0</v>
      </c>
      <c r="T638" s="8">
        <v>0</v>
      </c>
      <c r="U638" s="8">
        <v>200000</v>
      </c>
      <c r="V638" s="1">
        <f t="shared" si="291"/>
        <v>5500</v>
      </c>
    </row>
    <row r="639" spans="1:22" ht="21.95" customHeight="1" x14ac:dyDescent="0.25">
      <c r="A639" s="18" t="s">
        <v>941</v>
      </c>
      <c r="B639" s="25" t="s">
        <v>552</v>
      </c>
      <c r="C639" s="12">
        <f t="shared" si="286"/>
        <v>4160000</v>
      </c>
      <c r="D639" s="20">
        <f t="shared" si="292"/>
        <v>0</v>
      </c>
      <c r="E639" s="20">
        <v>0</v>
      </c>
      <c r="F639" s="20">
        <v>0</v>
      </c>
      <c r="G639" s="20">
        <v>0</v>
      </c>
      <c r="H639" s="20">
        <v>0</v>
      </c>
      <c r="I639" s="20">
        <v>0</v>
      </c>
      <c r="J639" s="20">
        <v>0</v>
      </c>
      <c r="K639" s="9">
        <v>0</v>
      </c>
      <c r="L639" s="8">
        <v>0</v>
      </c>
      <c r="M639" s="8">
        <v>720</v>
      </c>
      <c r="N639" s="20">
        <f t="shared" si="294"/>
        <v>3960000</v>
      </c>
      <c r="O639" s="8">
        <v>0</v>
      </c>
      <c r="P639" s="8">
        <v>0</v>
      </c>
      <c r="Q639" s="8">
        <v>0</v>
      </c>
      <c r="R639" s="20">
        <f t="shared" si="290"/>
        <v>0</v>
      </c>
      <c r="S639" s="8">
        <v>0</v>
      </c>
      <c r="T639" s="8">
        <v>0</v>
      </c>
      <c r="U639" s="8">
        <v>200000</v>
      </c>
      <c r="V639" s="1">
        <f t="shared" si="291"/>
        <v>5500</v>
      </c>
    </row>
    <row r="640" spans="1:22" ht="21.95" customHeight="1" x14ac:dyDescent="0.25">
      <c r="A640" s="18" t="s">
        <v>942</v>
      </c>
      <c r="B640" s="25" t="s">
        <v>637</v>
      </c>
      <c r="C640" s="12">
        <f t="shared" si="286"/>
        <v>3747500</v>
      </c>
      <c r="D640" s="20">
        <f t="shared" si="292"/>
        <v>0</v>
      </c>
      <c r="E640" s="20">
        <v>0</v>
      </c>
      <c r="F640" s="20">
        <v>0</v>
      </c>
      <c r="G640" s="20">
        <v>0</v>
      </c>
      <c r="H640" s="20">
        <v>0</v>
      </c>
      <c r="I640" s="20">
        <v>0</v>
      </c>
      <c r="J640" s="20">
        <v>0</v>
      </c>
      <c r="K640" s="9">
        <v>0</v>
      </c>
      <c r="L640" s="8">
        <v>0</v>
      </c>
      <c r="M640" s="8">
        <v>645</v>
      </c>
      <c r="N640" s="20">
        <f t="shared" si="294"/>
        <v>3547500</v>
      </c>
      <c r="O640" s="8">
        <v>0</v>
      </c>
      <c r="P640" s="8">
        <v>0</v>
      </c>
      <c r="Q640" s="8">
        <v>0</v>
      </c>
      <c r="R640" s="20">
        <f t="shared" si="290"/>
        <v>0</v>
      </c>
      <c r="S640" s="8">
        <v>0</v>
      </c>
      <c r="T640" s="8">
        <v>0</v>
      </c>
      <c r="U640" s="8">
        <v>200000</v>
      </c>
      <c r="V640" s="1">
        <f t="shared" si="291"/>
        <v>5500</v>
      </c>
    </row>
    <row r="641" spans="1:22" ht="21.95" customHeight="1" x14ac:dyDescent="0.25">
      <c r="A641" s="18" t="s">
        <v>943</v>
      </c>
      <c r="B641" s="25" t="s">
        <v>639</v>
      </c>
      <c r="C641" s="12">
        <f t="shared" si="286"/>
        <v>11238112</v>
      </c>
      <c r="D641" s="20">
        <f t="shared" si="292"/>
        <v>2918112</v>
      </c>
      <c r="E641" s="20">
        <f>350*1215.88</f>
        <v>425558.00000000006</v>
      </c>
      <c r="F641" s="20">
        <f>800*1215.88</f>
        <v>972704.00000000012</v>
      </c>
      <c r="G641" s="20">
        <f>350*1215.88</f>
        <v>425558.00000000006</v>
      </c>
      <c r="H641" s="20">
        <f>500*1215.88</f>
        <v>607940</v>
      </c>
      <c r="I641" s="20">
        <f>400*1215.88</f>
        <v>486352.00000000006</v>
      </c>
      <c r="J641" s="20">
        <v>0</v>
      </c>
      <c r="K641" s="9">
        <v>0</v>
      </c>
      <c r="L641" s="8">
        <v>0</v>
      </c>
      <c r="M641" s="8">
        <v>908</v>
      </c>
      <c r="N641" s="20">
        <f t="shared" si="294"/>
        <v>4994000</v>
      </c>
      <c r="O641" s="8">
        <v>0</v>
      </c>
      <c r="P641" s="8">
        <v>0</v>
      </c>
      <c r="Q641" s="8">
        <v>1042</v>
      </c>
      <c r="R641" s="20">
        <f t="shared" si="290"/>
        <v>3126000</v>
      </c>
      <c r="S641" s="8">
        <v>0</v>
      </c>
      <c r="T641" s="8">
        <v>0</v>
      </c>
      <c r="U641" s="8">
        <v>200000</v>
      </c>
      <c r="V641" s="1">
        <f t="shared" si="291"/>
        <v>5500</v>
      </c>
    </row>
    <row r="642" spans="1:22" ht="21.95" customHeight="1" x14ac:dyDescent="0.25">
      <c r="A642" s="18" t="s">
        <v>944</v>
      </c>
      <c r="B642" s="25" t="s">
        <v>553</v>
      </c>
      <c r="C642" s="12">
        <f t="shared" si="286"/>
        <v>2301000</v>
      </c>
      <c r="D642" s="20">
        <f t="shared" si="292"/>
        <v>0</v>
      </c>
      <c r="E642" s="20">
        <v>0</v>
      </c>
      <c r="F642" s="20">
        <v>0</v>
      </c>
      <c r="G642" s="20">
        <v>0</v>
      </c>
      <c r="H642" s="20">
        <v>0</v>
      </c>
      <c r="I642" s="20">
        <v>0</v>
      </c>
      <c r="J642" s="20">
        <v>0</v>
      </c>
      <c r="K642" s="9">
        <v>0</v>
      </c>
      <c r="L642" s="8">
        <v>0</v>
      </c>
      <c r="M642" s="8">
        <v>382</v>
      </c>
      <c r="N642" s="20">
        <f t="shared" si="294"/>
        <v>2101000</v>
      </c>
      <c r="O642" s="8">
        <v>0</v>
      </c>
      <c r="P642" s="8">
        <v>0</v>
      </c>
      <c r="Q642" s="8">
        <v>0</v>
      </c>
      <c r="R642" s="20">
        <f t="shared" si="290"/>
        <v>0</v>
      </c>
      <c r="S642" s="8">
        <v>0</v>
      </c>
      <c r="T642" s="8">
        <v>0</v>
      </c>
      <c r="U642" s="8">
        <v>200000</v>
      </c>
      <c r="V642" s="1">
        <f t="shared" si="291"/>
        <v>5500</v>
      </c>
    </row>
    <row r="643" spans="1:22" ht="21.95" customHeight="1" x14ac:dyDescent="0.25">
      <c r="A643" s="18" t="s">
        <v>945</v>
      </c>
      <c r="B643" s="25" t="s">
        <v>554</v>
      </c>
      <c r="C643" s="12">
        <f t="shared" si="286"/>
        <v>2290000</v>
      </c>
      <c r="D643" s="20">
        <f t="shared" si="292"/>
        <v>0</v>
      </c>
      <c r="E643" s="20">
        <v>0</v>
      </c>
      <c r="F643" s="20">
        <v>0</v>
      </c>
      <c r="G643" s="20">
        <v>0</v>
      </c>
      <c r="H643" s="20">
        <v>0</v>
      </c>
      <c r="I643" s="20">
        <v>0</v>
      </c>
      <c r="J643" s="20">
        <v>0</v>
      </c>
      <c r="K643" s="9">
        <v>0</v>
      </c>
      <c r="L643" s="8">
        <v>0</v>
      </c>
      <c r="M643" s="8">
        <v>380</v>
      </c>
      <c r="N643" s="20">
        <f t="shared" si="294"/>
        <v>2090000</v>
      </c>
      <c r="O643" s="8">
        <v>0</v>
      </c>
      <c r="P643" s="8">
        <v>0</v>
      </c>
      <c r="Q643" s="8">
        <v>0</v>
      </c>
      <c r="R643" s="20">
        <f t="shared" si="290"/>
        <v>0</v>
      </c>
      <c r="S643" s="8">
        <v>0</v>
      </c>
      <c r="T643" s="8">
        <v>0</v>
      </c>
      <c r="U643" s="8">
        <v>200000</v>
      </c>
      <c r="V643" s="1">
        <f t="shared" si="291"/>
        <v>5500</v>
      </c>
    </row>
    <row r="644" spans="1:22" ht="21.95" customHeight="1" x14ac:dyDescent="0.25">
      <c r="A644" s="18" t="s">
        <v>1371</v>
      </c>
      <c r="B644" s="25" t="s">
        <v>640</v>
      </c>
      <c r="C644" s="12">
        <f t="shared" si="286"/>
        <v>1685000</v>
      </c>
      <c r="D644" s="20">
        <f t="shared" si="292"/>
        <v>0</v>
      </c>
      <c r="E644" s="20">
        <v>0</v>
      </c>
      <c r="F644" s="20">
        <v>0</v>
      </c>
      <c r="G644" s="20">
        <v>0</v>
      </c>
      <c r="H644" s="20">
        <v>0</v>
      </c>
      <c r="I644" s="20">
        <v>0</v>
      </c>
      <c r="J644" s="20">
        <v>0</v>
      </c>
      <c r="K644" s="9">
        <v>0</v>
      </c>
      <c r="L644" s="8">
        <v>0</v>
      </c>
      <c r="M644" s="8">
        <v>270</v>
      </c>
      <c r="N644" s="20">
        <f t="shared" si="294"/>
        <v>1485000</v>
      </c>
      <c r="O644" s="8">
        <v>0</v>
      </c>
      <c r="P644" s="8">
        <v>0</v>
      </c>
      <c r="Q644" s="8">
        <v>0</v>
      </c>
      <c r="R644" s="20">
        <f t="shared" si="290"/>
        <v>0</v>
      </c>
      <c r="S644" s="8">
        <v>0</v>
      </c>
      <c r="T644" s="8">
        <v>0</v>
      </c>
      <c r="U644" s="8">
        <v>200000</v>
      </c>
      <c r="V644" s="1">
        <f t="shared" si="291"/>
        <v>5500</v>
      </c>
    </row>
    <row r="645" spans="1:22" ht="21.95" customHeight="1" x14ac:dyDescent="0.25">
      <c r="A645" s="18" t="s">
        <v>1623</v>
      </c>
      <c r="B645" s="25" t="s">
        <v>641</v>
      </c>
      <c r="C645" s="12">
        <f t="shared" si="286"/>
        <v>1679500</v>
      </c>
      <c r="D645" s="20">
        <f t="shared" si="292"/>
        <v>0</v>
      </c>
      <c r="E645" s="20">
        <v>0</v>
      </c>
      <c r="F645" s="20">
        <v>0</v>
      </c>
      <c r="G645" s="20">
        <v>0</v>
      </c>
      <c r="H645" s="20">
        <v>0</v>
      </c>
      <c r="I645" s="20">
        <v>0</v>
      </c>
      <c r="J645" s="20">
        <v>0</v>
      </c>
      <c r="K645" s="9">
        <v>0</v>
      </c>
      <c r="L645" s="8">
        <v>0</v>
      </c>
      <c r="M645" s="8">
        <v>269</v>
      </c>
      <c r="N645" s="20">
        <f t="shared" si="294"/>
        <v>1479500</v>
      </c>
      <c r="O645" s="8">
        <v>0</v>
      </c>
      <c r="P645" s="8">
        <v>0</v>
      </c>
      <c r="Q645" s="8">
        <v>0</v>
      </c>
      <c r="R645" s="20">
        <f t="shared" si="290"/>
        <v>0</v>
      </c>
      <c r="S645" s="8">
        <v>0</v>
      </c>
      <c r="T645" s="8">
        <v>0</v>
      </c>
      <c r="U645" s="8">
        <v>200000</v>
      </c>
      <c r="V645" s="1">
        <f t="shared" si="291"/>
        <v>5500</v>
      </c>
    </row>
    <row r="646" spans="1:22" ht="21.95" customHeight="1" x14ac:dyDescent="0.25">
      <c r="A646" s="18" t="s">
        <v>946</v>
      </c>
      <c r="B646" s="25" t="s">
        <v>642</v>
      </c>
      <c r="C646" s="12">
        <f t="shared" si="286"/>
        <v>858235</v>
      </c>
      <c r="D646" s="20">
        <f t="shared" si="292"/>
        <v>658235</v>
      </c>
      <c r="E646" s="8">
        <f>350*280.1</f>
        <v>98035.000000000015</v>
      </c>
      <c r="F646" s="8">
        <f>800*280.1</f>
        <v>224080.00000000003</v>
      </c>
      <c r="G646" s="8">
        <f>300*280.1</f>
        <v>84030</v>
      </c>
      <c r="H646" s="8">
        <f>500*280.1</f>
        <v>140050</v>
      </c>
      <c r="I646" s="8">
        <f>400*280.1</f>
        <v>112040.00000000001</v>
      </c>
      <c r="J646" s="8">
        <f>350*0</f>
        <v>0</v>
      </c>
      <c r="K646" s="9">
        <v>0</v>
      </c>
      <c r="L646" s="8">
        <v>0</v>
      </c>
      <c r="M646" s="8">
        <v>0</v>
      </c>
      <c r="N646" s="8">
        <v>0</v>
      </c>
      <c r="O646" s="8">
        <v>0</v>
      </c>
      <c r="P646" s="8">
        <v>0</v>
      </c>
      <c r="Q646" s="8">
        <v>0</v>
      </c>
      <c r="R646" s="20">
        <f t="shared" si="290"/>
        <v>0</v>
      </c>
      <c r="S646" s="8">
        <v>0</v>
      </c>
      <c r="T646" s="8">
        <v>0</v>
      </c>
      <c r="U646" s="8">
        <v>200000</v>
      </c>
      <c r="V646" s="1" t="e">
        <f t="shared" si="291"/>
        <v>#DIV/0!</v>
      </c>
    </row>
    <row r="647" spans="1:22" ht="21.95" customHeight="1" x14ac:dyDescent="0.25">
      <c r="A647" s="18" t="s">
        <v>947</v>
      </c>
      <c r="B647" s="25" t="s">
        <v>643</v>
      </c>
      <c r="C647" s="12">
        <f t="shared" si="286"/>
        <v>1317050</v>
      </c>
      <c r="D647" s="20">
        <f t="shared" si="292"/>
        <v>0</v>
      </c>
      <c r="E647" s="20">
        <v>0</v>
      </c>
      <c r="F647" s="20">
        <v>0</v>
      </c>
      <c r="G647" s="20">
        <v>0</v>
      </c>
      <c r="H647" s="20">
        <v>0</v>
      </c>
      <c r="I647" s="20">
        <v>0</v>
      </c>
      <c r="J647" s="20">
        <v>0</v>
      </c>
      <c r="K647" s="9">
        <v>0</v>
      </c>
      <c r="L647" s="8">
        <v>0</v>
      </c>
      <c r="M647" s="8">
        <v>203.1</v>
      </c>
      <c r="N647" s="20">
        <f t="shared" ref="N647" si="295">M647*5500</f>
        <v>1117050</v>
      </c>
      <c r="O647" s="8">
        <v>0</v>
      </c>
      <c r="P647" s="8">
        <v>0</v>
      </c>
      <c r="Q647" s="8">
        <v>0</v>
      </c>
      <c r="R647" s="20">
        <f t="shared" si="290"/>
        <v>0</v>
      </c>
      <c r="S647" s="8">
        <v>0</v>
      </c>
      <c r="T647" s="8">
        <v>0</v>
      </c>
      <c r="U647" s="8">
        <v>200000</v>
      </c>
      <c r="V647" s="1">
        <f t="shared" si="291"/>
        <v>5500</v>
      </c>
    </row>
    <row r="648" spans="1:22" ht="21.95" customHeight="1" x14ac:dyDescent="0.25">
      <c r="A648" s="18" t="s">
        <v>948</v>
      </c>
      <c r="B648" s="25" t="s">
        <v>644</v>
      </c>
      <c r="C648" s="12">
        <f t="shared" si="286"/>
        <v>1956730</v>
      </c>
      <c r="D648" s="20">
        <f t="shared" si="292"/>
        <v>685730</v>
      </c>
      <c r="E648" s="8">
        <f>350*291.8</f>
        <v>102130</v>
      </c>
      <c r="F648" s="8">
        <f>800*291.8</f>
        <v>233440</v>
      </c>
      <c r="G648" s="8">
        <f>300*291.8</f>
        <v>87540</v>
      </c>
      <c r="H648" s="8">
        <f>500*291.8</f>
        <v>145900</v>
      </c>
      <c r="I648" s="8">
        <f>400*291.8</f>
        <v>116720</v>
      </c>
      <c r="J648" s="8">
        <f>350*0</f>
        <v>0</v>
      </c>
      <c r="K648" s="9">
        <v>0</v>
      </c>
      <c r="L648" s="8">
        <v>0</v>
      </c>
      <c r="M648" s="8">
        <v>0</v>
      </c>
      <c r="N648" s="8">
        <v>0</v>
      </c>
      <c r="O648" s="8">
        <v>0</v>
      </c>
      <c r="P648" s="8">
        <v>0</v>
      </c>
      <c r="Q648" s="8">
        <v>357</v>
      </c>
      <c r="R648" s="20">
        <f t="shared" si="290"/>
        <v>1071000</v>
      </c>
      <c r="S648" s="8">
        <v>0</v>
      </c>
      <c r="T648" s="8">
        <v>0</v>
      </c>
      <c r="U648" s="8">
        <v>200000</v>
      </c>
      <c r="V648" s="1" t="e">
        <f t="shared" si="291"/>
        <v>#DIV/0!</v>
      </c>
    </row>
    <row r="649" spans="1:22" ht="21.95" customHeight="1" x14ac:dyDescent="0.25">
      <c r="A649" s="18" t="s">
        <v>949</v>
      </c>
      <c r="B649" s="25" t="s">
        <v>645</v>
      </c>
      <c r="C649" s="12">
        <f t="shared" si="286"/>
        <v>1619000</v>
      </c>
      <c r="D649" s="20">
        <f t="shared" si="292"/>
        <v>0</v>
      </c>
      <c r="E649" s="20">
        <v>0</v>
      </c>
      <c r="F649" s="20">
        <v>0</v>
      </c>
      <c r="G649" s="20">
        <v>0</v>
      </c>
      <c r="H649" s="20">
        <v>0</v>
      </c>
      <c r="I649" s="20">
        <v>0</v>
      </c>
      <c r="J649" s="20">
        <v>0</v>
      </c>
      <c r="K649" s="9">
        <v>0</v>
      </c>
      <c r="L649" s="8">
        <v>0</v>
      </c>
      <c r="M649" s="8">
        <v>258</v>
      </c>
      <c r="N649" s="20">
        <f t="shared" ref="N649:N665" si="296">M649*5500</f>
        <v>1419000</v>
      </c>
      <c r="O649" s="8">
        <v>0</v>
      </c>
      <c r="P649" s="8">
        <v>0</v>
      </c>
      <c r="Q649" s="8">
        <v>0</v>
      </c>
      <c r="R649" s="20">
        <f t="shared" si="290"/>
        <v>0</v>
      </c>
      <c r="S649" s="8">
        <v>0</v>
      </c>
      <c r="T649" s="8">
        <v>0</v>
      </c>
      <c r="U649" s="8">
        <v>200000</v>
      </c>
      <c r="V649" s="1">
        <f t="shared" si="291"/>
        <v>5500</v>
      </c>
    </row>
    <row r="650" spans="1:22" ht="21.95" customHeight="1" x14ac:dyDescent="0.25">
      <c r="A650" s="18" t="s">
        <v>950</v>
      </c>
      <c r="B650" s="25" t="s">
        <v>646</v>
      </c>
      <c r="C650" s="12">
        <f t="shared" si="286"/>
        <v>1762000</v>
      </c>
      <c r="D650" s="20">
        <f t="shared" si="292"/>
        <v>0</v>
      </c>
      <c r="E650" s="20">
        <v>0</v>
      </c>
      <c r="F650" s="20">
        <v>0</v>
      </c>
      <c r="G650" s="20">
        <v>0</v>
      </c>
      <c r="H650" s="20">
        <v>0</v>
      </c>
      <c r="I650" s="20">
        <v>0</v>
      </c>
      <c r="J650" s="20">
        <v>0</v>
      </c>
      <c r="K650" s="9">
        <v>0</v>
      </c>
      <c r="L650" s="8">
        <v>0</v>
      </c>
      <c r="M650" s="8">
        <v>284</v>
      </c>
      <c r="N650" s="20">
        <f t="shared" si="296"/>
        <v>1562000</v>
      </c>
      <c r="O650" s="8">
        <v>0</v>
      </c>
      <c r="P650" s="8">
        <v>0</v>
      </c>
      <c r="Q650" s="8">
        <v>0</v>
      </c>
      <c r="R650" s="20">
        <f t="shared" si="290"/>
        <v>0</v>
      </c>
      <c r="S650" s="8">
        <v>0</v>
      </c>
      <c r="T650" s="8">
        <v>0</v>
      </c>
      <c r="U650" s="8">
        <v>200000</v>
      </c>
      <c r="V650" s="1">
        <f t="shared" si="291"/>
        <v>5500</v>
      </c>
    </row>
    <row r="651" spans="1:22" ht="21.95" customHeight="1" x14ac:dyDescent="0.25">
      <c r="A651" s="18" t="s">
        <v>951</v>
      </c>
      <c r="B651" s="25" t="s">
        <v>647</v>
      </c>
      <c r="C651" s="12">
        <f t="shared" si="286"/>
        <v>3551149.9999999995</v>
      </c>
      <c r="D651" s="20">
        <f t="shared" si="292"/>
        <v>0</v>
      </c>
      <c r="E651" s="20">
        <v>0</v>
      </c>
      <c r="F651" s="20">
        <v>0</v>
      </c>
      <c r="G651" s="20">
        <v>0</v>
      </c>
      <c r="H651" s="20">
        <v>0</v>
      </c>
      <c r="I651" s="20">
        <v>0</v>
      </c>
      <c r="J651" s="20">
        <v>0</v>
      </c>
      <c r="K651" s="9">
        <v>0</v>
      </c>
      <c r="L651" s="8">
        <v>0</v>
      </c>
      <c r="M651" s="8">
        <v>609.29999999999995</v>
      </c>
      <c r="N651" s="20">
        <f t="shared" si="296"/>
        <v>3351149.9999999995</v>
      </c>
      <c r="O651" s="8">
        <v>0</v>
      </c>
      <c r="P651" s="8">
        <v>0</v>
      </c>
      <c r="Q651" s="8">
        <v>0</v>
      </c>
      <c r="R651" s="20">
        <f t="shared" si="290"/>
        <v>0</v>
      </c>
      <c r="S651" s="8">
        <v>0</v>
      </c>
      <c r="T651" s="8">
        <v>0</v>
      </c>
      <c r="U651" s="8">
        <v>200000</v>
      </c>
      <c r="V651" s="1">
        <f t="shared" si="291"/>
        <v>5500</v>
      </c>
    </row>
    <row r="652" spans="1:22" ht="21.95" customHeight="1" x14ac:dyDescent="0.25">
      <c r="A652" s="18" t="s">
        <v>952</v>
      </c>
      <c r="B652" s="25" t="s">
        <v>648</v>
      </c>
      <c r="C652" s="12">
        <f t="shared" si="286"/>
        <v>1905000</v>
      </c>
      <c r="D652" s="20">
        <f t="shared" si="292"/>
        <v>0</v>
      </c>
      <c r="E652" s="20">
        <v>0</v>
      </c>
      <c r="F652" s="20">
        <v>0</v>
      </c>
      <c r="G652" s="20">
        <v>0</v>
      </c>
      <c r="H652" s="20">
        <v>0</v>
      </c>
      <c r="I652" s="20">
        <v>0</v>
      </c>
      <c r="J652" s="20">
        <v>0</v>
      </c>
      <c r="K652" s="9">
        <v>0</v>
      </c>
      <c r="L652" s="8">
        <v>0</v>
      </c>
      <c r="M652" s="8">
        <v>310</v>
      </c>
      <c r="N652" s="20">
        <f t="shared" si="296"/>
        <v>1705000</v>
      </c>
      <c r="O652" s="8">
        <v>0</v>
      </c>
      <c r="P652" s="8">
        <v>0</v>
      </c>
      <c r="Q652" s="8">
        <v>0</v>
      </c>
      <c r="R652" s="20">
        <f t="shared" si="290"/>
        <v>0</v>
      </c>
      <c r="S652" s="8">
        <v>0</v>
      </c>
      <c r="T652" s="8">
        <v>0</v>
      </c>
      <c r="U652" s="8">
        <v>200000</v>
      </c>
      <c r="V652" s="1">
        <f t="shared" si="291"/>
        <v>5500</v>
      </c>
    </row>
    <row r="653" spans="1:22" ht="21.95" customHeight="1" x14ac:dyDescent="0.25">
      <c r="A653" s="18" t="s">
        <v>953</v>
      </c>
      <c r="B653" s="25" t="s">
        <v>555</v>
      </c>
      <c r="C653" s="12">
        <f t="shared" si="286"/>
        <v>1899500</v>
      </c>
      <c r="D653" s="20">
        <f t="shared" si="292"/>
        <v>0</v>
      </c>
      <c r="E653" s="20">
        <v>0</v>
      </c>
      <c r="F653" s="20">
        <v>0</v>
      </c>
      <c r="G653" s="20">
        <v>0</v>
      </c>
      <c r="H653" s="20">
        <v>0</v>
      </c>
      <c r="I653" s="20">
        <v>0</v>
      </c>
      <c r="J653" s="20">
        <v>0</v>
      </c>
      <c r="K653" s="9">
        <v>0</v>
      </c>
      <c r="L653" s="8">
        <v>0</v>
      </c>
      <c r="M653" s="8">
        <v>309</v>
      </c>
      <c r="N653" s="20">
        <f t="shared" si="296"/>
        <v>1699500</v>
      </c>
      <c r="O653" s="8">
        <v>0</v>
      </c>
      <c r="P653" s="8">
        <v>0</v>
      </c>
      <c r="Q653" s="8">
        <v>0</v>
      </c>
      <c r="R653" s="20">
        <f t="shared" si="290"/>
        <v>0</v>
      </c>
      <c r="S653" s="8">
        <v>0</v>
      </c>
      <c r="T653" s="8">
        <v>0</v>
      </c>
      <c r="U653" s="8">
        <v>200000</v>
      </c>
      <c r="V653" s="1">
        <f t="shared" si="291"/>
        <v>5500</v>
      </c>
    </row>
    <row r="654" spans="1:22" ht="21.95" customHeight="1" x14ac:dyDescent="0.25">
      <c r="A654" s="18" t="s">
        <v>954</v>
      </c>
      <c r="B654" s="25" t="s">
        <v>649</v>
      </c>
      <c r="C654" s="12">
        <f t="shared" si="286"/>
        <v>1828000</v>
      </c>
      <c r="D654" s="20">
        <f t="shared" si="292"/>
        <v>0</v>
      </c>
      <c r="E654" s="20">
        <v>0</v>
      </c>
      <c r="F654" s="20">
        <v>0</v>
      </c>
      <c r="G654" s="20">
        <v>0</v>
      </c>
      <c r="H654" s="20">
        <v>0</v>
      </c>
      <c r="I654" s="20">
        <v>0</v>
      </c>
      <c r="J654" s="20">
        <v>0</v>
      </c>
      <c r="K654" s="9">
        <v>0</v>
      </c>
      <c r="L654" s="8">
        <v>0</v>
      </c>
      <c r="M654" s="8">
        <v>296</v>
      </c>
      <c r="N654" s="20">
        <f t="shared" si="296"/>
        <v>1628000</v>
      </c>
      <c r="O654" s="8">
        <v>0</v>
      </c>
      <c r="P654" s="8">
        <v>0</v>
      </c>
      <c r="Q654" s="8">
        <v>0</v>
      </c>
      <c r="R654" s="20">
        <f t="shared" si="290"/>
        <v>0</v>
      </c>
      <c r="S654" s="8">
        <v>0</v>
      </c>
      <c r="T654" s="8">
        <v>0</v>
      </c>
      <c r="U654" s="8">
        <v>200000</v>
      </c>
      <c r="V654" s="1">
        <f t="shared" si="291"/>
        <v>5500</v>
      </c>
    </row>
    <row r="655" spans="1:22" ht="21.95" customHeight="1" x14ac:dyDescent="0.25">
      <c r="A655" s="18" t="s">
        <v>955</v>
      </c>
      <c r="B655" s="25" t="s">
        <v>650</v>
      </c>
      <c r="C655" s="12">
        <f t="shared" si="286"/>
        <v>1179000</v>
      </c>
      <c r="D655" s="20">
        <f t="shared" si="292"/>
        <v>0</v>
      </c>
      <c r="E655" s="20">
        <v>0</v>
      </c>
      <c r="F655" s="20">
        <v>0</v>
      </c>
      <c r="G655" s="20">
        <v>0</v>
      </c>
      <c r="H655" s="20">
        <v>0</v>
      </c>
      <c r="I655" s="20">
        <v>0</v>
      </c>
      <c r="J655" s="20">
        <v>0</v>
      </c>
      <c r="K655" s="9">
        <v>0</v>
      </c>
      <c r="L655" s="8">
        <v>0</v>
      </c>
      <c r="M655" s="8">
        <v>178</v>
      </c>
      <c r="N655" s="20">
        <f t="shared" si="296"/>
        <v>979000</v>
      </c>
      <c r="O655" s="8">
        <v>0</v>
      </c>
      <c r="P655" s="8">
        <v>0</v>
      </c>
      <c r="Q655" s="8">
        <v>0</v>
      </c>
      <c r="R655" s="20">
        <f t="shared" si="290"/>
        <v>0</v>
      </c>
      <c r="S655" s="8">
        <v>0</v>
      </c>
      <c r="T655" s="8">
        <v>0</v>
      </c>
      <c r="U655" s="8">
        <v>200000</v>
      </c>
      <c r="V655" s="1">
        <f t="shared" si="291"/>
        <v>5500</v>
      </c>
    </row>
    <row r="656" spans="1:22" ht="21.95" customHeight="1" x14ac:dyDescent="0.25">
      <c r="A656" s="18" t="s">
        <v>956</v>
      </c>
      <c r="B656" s="25" t="s">
        <v>651</v>
      </c>
      <c r="C656" s="12">
        <f t="shared" si="286"/>
        <v>1628900</v>
      </c>
      <c r="D656" s="20">
        <f t="shared" si="292"/>
        <v>0</v>
      </c>
      <c r="E656" s="20">
        <v>0</v>
      </c>
      <c r="F656" s="20">
        <v>0</v>
      </c>
      <c r="G656" s="20">
        <v>0</v>
      </c>
      <c r="H656" s="20">
        <v>0</v>
      </c>
      <c r="I656" s="20">
        <v>0</v>
      </c>
      <c r="J656" s="20">
        <v>0</v>
      </c>
      <c r="K656" s="9">
        <v>0</v>
      </c>
      <c r="L656" s="8">
        <v>0</v>
      </c>
      <c r="M656" s="8">
        <v>259.8</v>
      </c>
      <c r="N656" s="20">
        <f t="shared" si="296"/>
        <v>1428900</v>
      </c>
      <c r="O656" s="8">
        <v>0</v>
      </c>
      <c r="P656" s="8">
        <v>0</v>
      </c>
      <c r="Q656" s="8">
        <v>0</v>
      </c>
      <c r="R656" s="20">
        <f t="shared" si="290"/>
        <v>0</v>
      </c>
      <c r="S656" s="8">
        <v>0</v>
      </c>
      <c r="T656" s="8">
        <v>0</v>
      </c>
      <c r="U656" s="8">
        <v>200000</v>
      </c>
      <c r="V656" s="1">
        <f t="shared" si="291"/>
        <v>5500</v>
      </c>
    </row>
    <row r="657" spans="1:22" ht="21.95" customHeight="1" x14ac:dyDescent="0.25">
      <c r="A657" s="18" t="s">
        <v>957</v>
      </c>
      <c r="B657" s="25" t="s">
        <v>652</v>
      </c>
      <c r="C657" s="12">
        <f t="shared" si="286"/>
        <v>2944500</v>
      </c>
      <c r="D657" s="20">
        <f t="shared" si="292"/>
        <v>0</v>
      </c>
      <c r="E657" s="20">
        <v>0</v>
      </c>
      <c r="F657" s="20">
        <v>0</v>
      </c>
      <c r="G657" s="20">
        <v>0</v>
      </c>
      <c r="H657" s="20">
        <v>0</v>
      </c>
      <c r="I657" s="20">
        <v>0</v>
      </c>
      <c r="J657" s="20">
        <v>0</v>
      </c>
      <c r="K657" s="9">
        <v>0</v>
      </c>
      <c r="L657" s="8">
        <v>0</v>
      </c>
      <c r="M657" s="8">
        <v>499</v>
      </c>
      <c r="N657" s="20">
        <f t="shared" si="296"/>
        <v>2744500</v>
      </c>
      <c r="O657" s="8">
        <v>0</v>
      </c>
      <c r="P657" s="8">
        <v>0</v>
      </c>
      <c r="Q657" s="8">
        <v>0</v>
      </c>
      <c r="R657" s="20">
        <f t="shared" si="290"/>
        <v>0</v>
      </c>
      <c r="S657" s="8">
        <v>0</v>
      </c>
      <c r="T657" s="8">
        <v>0</v>
      </c>
      <c r="U657" s="8">
        <v>200000</v>
      </c>
      <c r="V657" s="1">
        <f t="shared" si="291"/>
        <v>5500</v>
      </c>
    </row>
    <row r="658" spans="1:22" ht="21.95" customHeight="1" x14ac:dyDescent="0.25">
      <c r="A658" s="18" t="s">
        <v>958</v>
      </c>
      <c r="B658" s="25" t="s">
        <v>556</v>
      </c>
      <c r="C658" s="12">
        <f t="shared" si="286"/>
        <v>2044150</v>
      </c>
      <c r="D658" s="20">
        <f t="shared" si="292"/>
        <v>0</v>
      </c>
      <c r="E658" s="20">
        <v>0</v>
      </c>
      <c r="F658" s="20">
        <v>0</v>
      </c>
      <c r="G658" s="20">
        <v>0</v>
      </c>
      <c r="H658" s="20">
        <v>0</v>
      </c>
      <c r="I658" s="20">
        <v>0</v>
      </c>
      <c r="J658" s="20">
        <v>0</v>
      </c>
      <c r="K658" s="9">
        <v>0</v>
      </c>
      <c r="L658" s="8">
        <v>0</v>
      </c>
      <c r="M658" s="8">
        <v>335.3</v>
      </c>
      <c r="N658" s="20">
        <f t="shared" si="296"/>
        <v>1844150</v>
      </c>
      <c r="O658" s="8">
        <v>0</v>
      </c>
      <c r="P658" s="8">
        <v>0</v>
      </c>
      <c r="Q658" s="8">
        <v>0</v>
      </c>
      <c r="R658" s="20">
        <f t="shared" si="290"/>
        <v>0</v>
      </c>
      <c r="S658" s="8">
        <v>0</v>
      </c>
      <c r="T658" s="8">
        <v>0</v>
      </c>
      <c r="U658" s="8">
        <v>200000</v>
      </c>
      <c r="V658" s="1">
        <f t="shared" si="291"/>
        <v>5500</v>
      </c>
    </row>
    <row r="659" spans="1:22" ht="21.95" customHeight="1" x14ac:dyDescent="0.25">
      <c r="A659" s="18" t="s">
        <v>959</v>
      </c>
      <c r="B659" s="25" t="s">
        <v>653</v>
      </c>
      <c r="C659" s="12">
        <f t="shared" si="286"/>
        <v>3197500</v>
      </c>
      <c r="D659" s="20">
        <f t="shared" si="292"/>
        <v>0</v>
      </c>
      <c r="E659" s="20">
        <v>0</v>
      </c>
      <c r="F659" s="20">
        <v>0</v>
      </c>
      <c r="G659" s="20">
        <v>0</v>
      </c>
      <c r="H659" s="20">
        <v>0</v>
      </c>
      <c r="I659" s="20">
        <v>0</v>
      </c>
      <c r="J659" s="20">
        <v>0</v>
      </c>
      <c r="K659" s="9">
        <v>0</v>
      </c>
      <c r="L659" s="8">
        <v>0</v>
      </c>
      <c r="M659" s="8">
        <v>545</v>
      </c>
      <c r="N659" s="20">
        <f t="shared" si="296"/>
        <v>2997500</v>
      </c>
      <c r="O659" s="8">
        <v>0</v>
      </c>
      <c r="P659" s="8">
        <v>0</v>
      </c>
      <c r="Q659" s="8">
        <v>0</v>
      </c>
      <c r="R659" s="20">
        <f t="shared" si="290"/>
        <v>0</v>
      </c>
      <c r="S659" s="8">
        <v>0</v>
      </c>
      <c r="T659" s="8">
        <v>0</v>
      </c>
      <c r="U659" s="8">
        <v>200000</v>
      </c>
      <c r="V659" s="1">
        <f t="shared" si="291"/>
        <v>5500</v>
      </c>
    </row>
    <row r="660" spans="1:22" ht="21.95" customHeight="1" x14ac:dyDescent="0.25">
      <c r="A660" s="18" t="s">
        <v>960</v>
      </c>
      <c r="B660" s="25" t="s">
        <v>654</v>
      </c>
      <c r="C660" s="12">
        <f t="shared" si="286"/>
        <v>3016000</v>
      </c>
      <c r="D660" s="20">
        <f t="shared" si="292"/>
        <v>0</v>
      </c>
      <c r="E660" s="20">
        <v>0</v>
      </c>
      <c r="F660" s="20">
        <v>0</v>
      </c>
      <c r="G660" s="20">
        <v>0</v>
      </c>
      <c r="H660" s="20">
        <v>0</v>
      </c>
      <c r="I660" s="20">
        <v>0</v>
      </c>
      <c r="J660" s="20">
        <v>0</v>
      </c>
      <c r="K660" s="9">
        <v>0</v>
      </c>
      <c r="L660" s="8">
        <v>0</v>
      </c>
      <c r="M660" s="8">
        <v>512</v>
      </c>
      <c r="N660" s="20">
        <f t="shared" si="296"/>
        <v>2816000</v>
      </c>
      <c r="O660" s="8">
        <v>0</v>
      </c>
      <c r="P660" s="8">
        <v>0</v>
      </c>
      <c r="Q660" s="8">
        <v>0</v>
      </c>
      <c r="R660" s="20">
        <f t="shared" si="290"/>
        <v>0</v>
      </c>
      <c r="S660" s="8">
        <v>0</v>
      </c>
      <c r="T660" s="8">
        <v>0</v>
      </c>
      <c r="U660" s="8">
        <v>200000</v>
      </c>
      <c r="V660" s="1">
        <f t="shared" si="291"/>
        <v>5500</v>
      </c>
    </row>
    <row r="661" spans="1:22" ht="21.95" customHeight="1" x14ac:dyDescent="0.25">
      <c r="A661" s="18" t="s">
        <v>961</v>
      </c>
      <c r="B661" s="25" t="s">
        <v>655</v>
      </c>
      <c r="C661" s="12">
        <f t="shared" si="286"/>
        <v>2521000</v>
      </c>
      <c r="D661" s="20">
        <f t="shared" si="292"/>
        <v>0</v>
      </c>
      <c r="E661" s="20">
        <v>0</v>
      </c>
      <c r="F661" s="20">
        <v>0</v>
      </c>
      <c r="G661" s="20">
        <v>0</v>
      </c>
      <c r="H661" s="20">
        <v>0</v>
      </c>
      <c r="I661" s="20">
        <v>0</v>
      </c>
      <c r="J661" s="20">
        <v>0</v>
      </c>
      <c r="K661" s="9">
        <v>0</v>
      </c>
      <c r="L661" s="8">
        <v>0</v>
      </c>
      <c r="M661" s="8">
        <v>422</v>
      </c>
      <c r="N661" s="20">
        <f t="shared" si="296"/>
        <v>2321000</v>
      </c>
      <c r="O661" s="8">
        <v>0</v>
      </c>
      <c r="P661" s="8">
        <v>0</v>
      </c>
      <c r="Q661" s="8">
        <v>0</v>
      </c>
      <c r="R661" s="20">
        <f t="shared" si="290"/>
        <v>0</v>
      </c>
      <c r="S661" s="8">
        <v>0</v>
      </c>
      <c r="T661" s="8">
        <v>0</v>
      </c>
      <c r="U661" s="8">
        <v>200000</v>
      </c>
      <c r="V661" s="1">
        <f t="shared" si="291"/>
        <v>5500</v>
      </c>
    </row>
    <row r="662" spans="1:22" ht="21.95" customHeight="1" x14ac:dyDescent="0.25">
      <c r="A662" s="18" t="s">
        <v>962</v>
      </c>
      <c r="B662" s="25" t="s">
        <v>440</v>
      </c>
      <c r="C662" s="12">
        <f t="shared" si="286"/>
        <v>6893200</v>
      </c>
      <c r="D662" s="20">
        <f t="shared" si="292"/>
        <v>2053200</v>
      </c>
      <c r="E662" s="20">
        <f>350*855.5</f>
        <v>299425</v>
      </c>
      <c r="F662" s="20">
        <f>800*855.5</f>
        <v>684400</v>
      </c>
      <c r="G662" s="20">
        <f>350*855.5</f>
        <v>299425</v>
      </c>
      <c r="H662" s="20">
        <f>500*855.5</f>
        <v>427750</v>
      </c>
      <c r="I662" s="20">
        <f>400*855.5</f>
        <v>342200</v>
      </c>
      <c r="J662" s="20">
        <v>0</v>
      </c>
      <c r="K662" s="21">
        <v>0</v>
      </c>
      <c r="L662" s="20">
        <v>0</v>
      </c>
      <c r="M662" s="20">
        <v>480</v>
      </c>
      <c r="N662" s="20">
        <f t="shared" si="296"/>
        <v>2640000</v>
      </c>
      <c r="O662" s="20">
        <v>0</v>
      </c>
      <c r="P662" s="20">
        <v>0</v>
      </c>
      <c r="Q662" s="20">
        <v>700</v>
      </c>
      <c r="R662" s="20">
        <f t="shared" si="290"/>
        <v>2100000</v>
      </c>
      <c r="S662" s="20">
        <v>0</v>
      </c>
      <c r="T662" s="8">
        <v>0</v>
      </c>
      <c r="U662" s="20">
        <v>100000</v>
      </c>
      <c r="V662" s="1">
        <f t="shared" si="291"/>
        <v>5500</v>
      </c>
    </row>
    <row r="663" spans="1:22" ht="21.95" customHeight="1" x14ac:dyDescent="0.25">
      <c r="A663" s="18" t="s">
        <v>963</v>
      </c>
      <c r="B663" s="25" t="s">
        <v>557</v>
      </c>
      <c r="C663" s="12">
        <f t="shared" si="286"/>
        <v>2659600</v>
      </c>
      <c r="D663" s="20">
        <f t="shared" si="292"/>
        <v>0</v>
      </c>
      <c r="E663" s="20">
        <v>0</v>
      </c>
      <c r="F663" s="20">
        <v>0</v>
      </c>
      <c r="G663" s="20">
        <v>0</v>
      </c>
      <c r="H663" s="20">
        <v>0</v>
      </c>
      <c r="I663" s="20">
        <v>0</v>
      </c>
      <c r="J663" s="20">
        <v>0</v>
      </c>
      <c r="K663" s="9">
        <v>0</v>
      </c>
      <c r="L663" s="8">
        <v>0</v>
      </c>
      <c r="M663" s="8">
        <v>447.2</v>
      </c>
      <c r="N663" s="20">
        <f t="shared" si="296"/>
        <v>2459600</v>
      </c>
      <c r="O663" s="8">
        <v>0</v>
      </c>
      <c r="P663" s="8">
        <v>0</v>
      </c>
      <c r="Q663" s="8">
        <v>0</v>
      </c>
      <c r="R663" s="20">
        <f t="shared" si="290"/>
        <v>0</v>
      </c>
      <c r="S663" s="8">
        <v>0</v>
      </c>
      <c r="T663" s="8">
        <v>0</v>
      </c>
      <c r="U663" s="8">
        <v>200000</v>
      </c>
      <c r="V663" s="1">
        <f t="shared" si="291"/>
        <v>5500</v>
      </c>
    </row>
    <row r="664" spans="1:22" ht="21.95" customHeight="1" x14ac:dyDescent="0.25">
      <c r="A664" s="18" t="s">
        <v>964</v>
      </c>
      <c r="B664" s="31" t="s">
        <v>558</v>
      </c>
      <c r="C664" s="12">
        <f t="shared" ref="C664:C727" si="297">D664+L664+N664+P664+R664+S664+T664+U664</f>
        <v>3995000</v>
      </c>
      <c r="D664" s="20">
        <f t="shared" si="292"/>
        <v>0</v>
      </c>
      <c r="E664" s="20">
        <v>0</v>
      </c>
      <c r="F664" s="20">
        <v>0</v>
      </c>
      <c r="G664" s="20">
        <v>0</v>
      </c>
      <c r="H664" s="20">
        <v>0</v>
      </c>
      <c r="I664" s="20">
        <v>0</v>
      </c>
      <c r="J664" s="20">
        <v>0</v>
      </c>
      <c r="K664" s="9">
        <v>0</v>
      </c>
      <c r="L664" s="8">
        <v>0</v>
      </c>
      <c r="M664" s="8">
        <v>690</v>
      </c>
      <c r="N664" s="20">
        <f t="shared" si="296"/>
        <v>3795000</v>
      </c>
      <c r="O664" s="8">
        <v>0</v>
      </c>
      <c r="P664" s="8">
        <v>0</v>
      </c>
      <c r="Q664" s="8">
        <v>0</v>
      </c>
      <c r="R664" s="20">
        <f t="shared" si="290"/>
        <v>0</v>
      </c>
      <c r="S664" s="8">
        <v>0</v>
      </c>
      <c r="T664" s="8">
        <v>0</v>
      </c>
      <c r="U664" s="8">
        <v>200000</v>
      </c>
      <c r="V664" s="1">
        <f t="shared" si="291"/>
        <v>5500</v>
      </c>
    </row>
    <row r="665" spans="1:22" ht="21.95" customHeight="1" x14ac:dyDescent="0.25">
      <c r="A665" s="18" t="s">
        <v>965</v>
      </c>
      <c r="B665" s="31" t="s">
        <v>559</v>
      </c>
      <c r="C665" s="12">
        <f t="shared" si="297"/>
        <v>4077500</v>
      </c>
      <c r="D665" s="20">
        <f t="shared" si="292"/>
        <v>0</v>
      </c>
      <c r="E665" s="20">
        <v>0</v>
      </c>
      <c r="F665" s="20">
        <v>0</v>
      </c>
      <c r="G665" s="20">
        <v>0</v>
      </c>
      <c r="H665" s="20">
        <v>0</v>
      </c>
      <c r="I665" s="20">
        <v>0</v>
      </c>
      <c r="J665" s="20">
        <v>0</v>
      </c>
      <c r="K665" s="9">
        <v>0</v>
      </c>
      <c r="L665" s="8">
        <v>0</v>
      </c>
      <c r="M665" s="8">
        <v>705</v>
      </c>
      <c r="N665" s="20">
        <f t="shared" si="296"/>
        <v>3877500</v>
      </c>
      <c r="O665" s="8">
        <v>0</v>
      </c>
      <c r="P665" s="8">
        <v>0</v>
      </c>
      <c r="Q665" s="8">
        <v>0</v>
      </c>
      <c r="R665" s="20">
        <f t="shared" si="290"/>
        <v>0</v>
      </c>
      <c r="S665" s="8">
        <v>0</v>
      </c>
      <c r="T665" s="8">
        <v>0</v>
      </c>
      <c r="U665" s="8">
        <v>200000</v>
      </c>
      <c r="V665" s="1">
        <f t="shared" si="291"/>
        <v>5500</v>
      </c>
    </row>
    <row r="666" spans="1:22" ht="21.95" customHeight="1" x14ac:dyDescent="0.25">
      <c r="A666" s="18" t="s">
        <v>966</v>
      </c>
      <c r="B666" s="25" t="s">
        <v>560</v>
      </c>
      <c r="C666" s="12">
        <f t="shared" si="297"/>
        <v>19414400</v>
      </c>
      <c r="D666" s="20">
        <f t="shared" si="292"/>
        <v>10154400</v>
      </c>
      <c r="E666" s="20">
        <f>350*4231</f>
        <v>1480850</v>
      </c>
      <c r="F666" s="20">
        <f>800*4231</f>
        <v>3384800</v>
      </c>
      <c r="G666" s="20">
        <f>350*4231</f>
        <v>1480850</v>
      </c>
      <c r="H666" s="20">
        <f>500*4231</f>
        <v>2115500</v>
      </c>
      <c r="I666" s="20">
        <f>400*4231</f>
        <v>1692400</v>
      </c>
      <c r="J666" s="20">
        <v>0</v>
      </c>
      <c r="K666" s="9">
        <v>0</v>
      </c>
      <c r="L666" s="8">
        <v>0</v>
      </c>
      <c r="M666" s="8">
        <v>0</v>
      </c>
      <c r="N666" s="8">
        <v>0</v>
      </c>
      <c r="O666" s="8">
        <v>0</v>
      </c>
      <c r="P666" s="8">
        <v>0</v>
      </c>
      <c r="Q666" s="8">
        <v>3020</v>
      </c>
      <c r="R666" s="20">
        <f t="shared" si="290"/>
        <v>9060000</v>
      </c>
      <c r="S666" s="8">
        <v>0</v>
      </c>
      <c r="T666" s="8">
        <v>0</v>
      </c>
      <c r="U666" s="8">
        <v>200000</v>
      </c>
      <c r="V666" s="1" t="e">
        <f t="shared" si="291"/>
        <v>#DIV/0!</v>
      </c>
    </row>
    <row r="667" spans="1:22" ht="21.95" customHeight="1" x14ac:dyDescent="0.25">
      <c r="A667" s="18" t="s">
        <v>967</v>
      </c>
      <c r="B667" s="31" t="s">
        <v>656</v>
      </c>
      <c r="C667" s="12">
        <f t="shared" si="297"/>
        <v>5568000</v>
      </c>
      <c r="D667" s="20">
        <f t="shared" si="292"/>
        <v>0</v>
      </c>
      <c r="E667" s="20">
        <v>0</v>
      </c>
      <c r="F667" s="20">
        <v>0</v>
      </c>
      <c r="G667" s="20">
        <v>0</v>
      </c>
      <c r="H667" s="20">
        <v>0</v>
      </c>
      <c r="I667" s="20">
        <v>0</v>
      </c>
      <c r="J667" s="20">
        <v>0</v>
      </c>
      <c r="K667" s="9">
        <v>0</v>
      </c>
      <c r="L667" s="8">
        <v>0</v>
      </c>
      <c r="M667" s="8">
        <v>976</v>
      </c>
      <c r="N667" s="20">
        <f t="shared" ref="N667:N670" si="298">M667*5500</f>
        <v>5368000</v>
      </c>
      <c r="O667" s="8">
        <v>0</v>
      </c>
      <c r="P667" s="8">
        <v>0</v>
      </c>
      <c r="Q667" s="8">
        <v>0</v>
      </c>
      <c r="R667" s="20">
        <f t="shared" si="290"/>
        <v>0</v>
      </c>
      <c r="S667" s="8">
        <v>0</v>
      </c>
      <c r="T667" s="8">
        <v>0</v>
      </c>
      <c r="U667" s="8">
        <v>200000</v>
      </c>
      <c r="V667" s="1">
        <f t="shared" si="291"/>
        <v>5500</v>
      </c>
    </row>
    <row r="668" spans="1:22" ht="21.95" customHeight="1" x14ac:dyDescent="0.25">
      <c r="A668" s="18" t="s">
        <v>1465</v>
      </c>
      <c r="B668" s="31" t="s">
        <v>657</v>
      </c>
      <c r="C668" s="12">
        <f t="shared" si="297"/>
        <v>4732000</v>
      </c>
      <c r="D668" s="20">
        <f t="shared" si="292"/>
        <v>0</v>
      </c>
      <c r="E668" s="20">
        <v>0</v>
      </c>
      <c r="F668" s="20">
        <v>0</v>
      </c>
      <c r="G668" s="20">
        <v>0</v>
      </c>
      <c r="H668" s="20">
        <v>0</v>
      </c>
      <c r="I668" s="20">
        <v>0</v>
      </c>
      <c r="J668" s="20">
        <v>0</v>
      </c>
      <c r="K668" s="9">
        <v>0</v>
      </c>
      <c r="L668" s="8">
        <v>0</v>
      </c>
      <c r="M668" s="8">
        <v>824</v>
      </c>
      <c r="N668" s="20">
        <f t="shared" si="298"/>
        <v>4532000</v>
      </c>
      <c r="O668" s="8">
        <v>0</v>
      </c>
      <c r="P668" s="8">
        <v>0</v>
      </c>
      <c r="Q668" s="8">
        <v>0</v>
      </c>
      <c r="R668" s="20">
        <f t="shared" si="290"/>
        <v>0</v>
      </c>
      <c r="S668" s="8">
        <v>0</v>
      </c>
      <c r="T668" s="8">
        <v>0</v>
      </c>
      <c r="U668" s="8">
        <v>200000</v>
      </c>
      <c r="V668" s="1">
        <f t="shared" si="291"/>
        <v>5500</v>
      </c>
    </row>
    <row r="669" spans="1:22" ht="21.95" customHeight="1" x14ac:dyDescent="0.25">
      <c r="A669" s="18" t="s">
        <v>968</v>
      </c>
      <c r="B669" s="25" t="s">
        <v>474</v>
      </c>
      <c r="C669" s="12">
        <f t="shared" si="297"/>
        <v>1797300.0000000002</v>
      </c>
      <c r="D669" s="20">
        <f t="shared" si="292"/>
        <v>0</v>
      </c>
      <c r="E669" s="20">
        <v>0</v>
      </c>
      <c r="F669" s="20">
        <v>0</v>
      </c>
      <c r="G669" s="20">
        <v>0</v>
      </c>
      <c r="H669" s="20">
        <v>0</v>
      </c>
      <c r="I669" s="20">
        <v>0</v>
      </c>
      <c r="J669" s="20">
        <v>0</v>
      </c>
      <c r="K669" s="21">
        <v>0</v>
      </c>
      <c r="L669" s="20">
        <v>0</v>
      </c>
      <c r="M669" s="20">
        <v>308.60000000000002</v>
      </c>
      <c r="N669" s="20">
        <f t="shared" si="298"/>
        <v>1697300.0000000002</v>
      </c>
      <c r="O669" s="20">
        <v>0</v>
      </c>
      <c r="P669" s="20">
        <v>0</v>
      </c>
      <c r="Q669" s="20">
        <v>0</v>
      </c>
      <c r="R669" s="20">
        <f t="shared" si="290"/>
        <v>0</v>
      </c>
      <c r="S669" s="20">
        <v>0</v>
      </c>
      <c r="T669" s="8">
        <v>0</v>
      </c>
      <c r="U669" s="20">
        <v>100000</v>
      </c>
      <c r="V669" s="1">
        <f t="shared" si="291"/>
        <v>5500</v>
      </c>
    </row>
    <row r="670" spans="1:22" ht="21.95" customHeight="1" x14ac:dyDescent="0.25">
      <c r="A670" s="18" t="s">
        <v>969</v>
      </c>
      <c r="B670" s="25" t="s">
        <v>408</v>
      </c>
      <c r="C670" s="12">
        <f t="shared" si="297"/>
        <v>5268636</v>
      </c>
      <c r="D670" s="20">
        <f t="shared" si="292"/>
        <v>918636</v>
      </c>
      <c r="E670" s="8">
        <f>350*496.56</f>
        <v>173796</v>
      </c>
      <c r="F670" s="8">
        <f>800*496.56</f>
        <v>397248</v>
      </c>
      <c r="G670" s="8">
        <f>300*496.56</f>
        <v>148968</v>
      </c>
      <c r="H670" s="8">
        <f>500*0</f>
        <v>0</v>
      </c>
      <c r="I670" s="8">
        <f>400*496.56</f>
        <v>198624</v>
      </c>
      <c r="J670" s="8">
        <f>350*0</f>
        <v>0</v>
      </c>
      <c r="K670" s="21">
        <v>0</v>
      </c>
      <c r="L670" s="20">
        <v>0</v>
      </c>
      <c r="M670" s="20">
        <v>500</v>
      </c>
      <c r="N670" s="20">
        <f t="shared" si="298"/>
        <v>2750000</v>
      </c>
      <c r="O670" s="20">
        <v>0</v>
      </c>
      <c r="P670" s="20">
        <v>0</v>
      </c>
      <c r="Q670" s="20">
        <v>500</v>
      </c>
      <c r="R670" s="20">
        <f t="shared" si="290"/>
        <v>1500000</v>
      </c>
      <c r="S670" s="20">
        <v>0</v>
      </c>
      <c r="T670" s="8">
        <v>0</v>
      </c>
      <c r="U670" s="20">
        <v>100000</v>
      </c>
      <c r="V670" s="1">
        <f t="shared" si="291"/>
        <v>5500</v>
      </c>
    </row>
    <row r="671" spans="1:22" ht="21.95" customHeight="1" x14ac:dyDescent="0.25">
      <c r="A671" s="18" t="s">
        <v>970</v>
      </c>
      <c r="B671" s="25" t="s">
        <v>658</v>
      </c>
      <c r="C671" s="12">
        <f t="shared" si="297"/>
        <v>2954720</v>
      </c>
      <c r="D671" s="20">
        <f t="shared" si="292"/>
        <v>2754720</v>
      </c>
      <c r="E671" s="20">
        <f>350*1147.8</f>
        <v>401730</v>
      </c>
      <c r="F671" s="20">
        <f>800*1147.8</f>
        <v>918240</v>
      </c>
      <c r="G671" s="20">
        <f>350*1147.8</f>
        <v>401730</v>
      </c>
      <c r="H671" s="20">
        <f>500*1147.8</f>
        <v>573900</v>
      </c>
      <c r="I671" s="20">
        <f>400*1147.8</f>
        <v>459120</v>
      </c>
      <c r="J671" s="20">
        <v>0</v>
      </c>
      <c r="K671" s="9">
        <v>0</v>
      </c>
      <c r="L671" s="8">
        <v>0</v>
      </c>
      <c r="M671" s="8">
        <v>0</v>
      </c>
      <c r="N671" s="8">
        <v>0</v>
      </c>
      <c r="O671" s="8">
        <v>0</v>
      </c>
      <c r="P671" s="8">
        <v>0</v>
      </c>
      <c r="Q671" s="8">
        <v>0</v>
      </c>
      <c r="R671" s="20">
        <f t="shared" si="290"/>
        <v>0</v>
      </c>
      <c r="S671" s="8">
        <v>0</v>
      </c>
      <c r="T671" s="8">
        <v>0</v>
      </c>
      <c r="U671" s="8">
        <v>200000</v>
      </c>
      <c r="V671" s="1" t="e">
        <f t="shared" si="291"/>
        <v>#DIV/0!</v>
      </c>
    </row>
    <row r="672" spans="1:22" ht="21.95" customHeight="1" x14ac:dyDescent="0.25">
      <c r="A672" s="18" t="s">
        <v>971</v>
      </c>
      <c r="B672" s="25" t="s">
        <v>561</v>
      </c>
      <c r="C672" s="12">
        <f t="shared" si="297"/>
        <v>5927600</v>
      </c>
      <c r="D672" s="20">
        <f t="shared" si="292"/>
        <v>5727600</v>
      </c>
      <c r="E672" s="20">
        <f>350*2386.5</f>
        <v>835275</v>
      </c>
      <c r="F672" s="20">
        <f>800*2386.5</f>
        <v>1909200</v>
      </c>
      <c r="G672" s="20">
        <f>350*2386.5</f>
        <v>835275</v>
      </c>
      <c r="H672" s="20">
        <f>500*2386.5</f>
        <v>1193250</v>
      </c>
      <c r="I672" s="20">
        <f>400*2386.5</f>
        <v>954600</v>
      </c>
      <c r="J672" s="20">
        <v>0</v>
      </c>
      <c r="K672" s="9">
        <v>0</v>
      </c>
      <c r="L672" s="8">
        <v>0</v>
      </c>
      <c r="M672" s="8">
        <v>0</v>
      </c>
      <c r="N672" s="8">
        <v>0</v>
      </c>
      <c r="O672" s="8">
        <v>0</v>
      </c>
      <c r="P672" s="8">
        <v>0</v>
      </c>
      <c r="Q672" s="8">
        <v>0</v>
      </c>
      <c r="R672" s="20">
        <f t="shared" si="290"/>
        <v>0</v>
      </c>
      <c r="S672" s="8">
        <v>0</v>
      </c>
      <c r="T672" s="8">
        <v>0</v>
      </c>
      <c r="U672" s="8">
        <v>200000</v>
      </c>
      <c r="V672" s="1" t="e">
        <f t="shared" si="291"/>
        <v>#DIV/0!</v>
      </c>
    </row>
    <row r="673" spans="1:22" ht="21.95" customHeight="1" x14ac:dyDescent="0.25">
      <c r="A673" s="18" t="s">
        <v>972</v>
      </c>
      <c r="B673" s="25" t="s">
        <v>659</v>
      </c>
      <c r="C673" s="12">
        <f t="shared" si="297"/>
        <v>2902184</v>
      </c>
      <c r="D673" s="20">
        <f t="shared" si="292"/>
        <v>2702184</v>
      </c>
      <c r="E673" s="20">
        <f>350*1125.91</f>
        <v>394068.5</v>
      </c>
      <c r="F673" s="20">
        <f>800*1125.91</f>
        <v>900728.00000000012</v>
      </c>
      <c r="G673" s="20">
        <f>350*1125.91</f>
        <v>394068.5</v>
      </c>
      <c r="H673" s="20">
        <f>500*1125.91</f>
        <v>562955</v>
      </c>
      <c r="I673" s="20">
        <f>400*1125.91</f>
        <v>450364.00000000006</v>
      </c>
      <c r="J673" s="20">
        <v>0</v>
      </c>
      <c r="K673" s="9">
        <v>0</v>
      </c>
      <c r="L673" s="8">
        <v>0</v>
      </c>
      <c r="M673" s="8">
        <v>0</v>
      </c>
      <c r="N673" s="8">
        <v>0</v>
      </c>
      <c r="O673" s="8">
        <v>0</v>
      </c>
      <c r="P673" s="8">
        <v>0</v>
      </c>
      <c r="Q673" s="8">
        <v>0</v>
      </c>
      <c r="R673" s="20">
        <f t="shared" si="290"/>
        <v>0</v>
      </c>
      <c r="S673" s="8">
        <v>0</v>
      </c>
      <c r="T673" s="8">
        <v>0</v>
      </c>
      <c r="U673" s="8">
        <v>200000</v>
      </c>
      <c r="V673" s="1" t="e">
        <f t="shared" si="291"/>
        <v>#DIV/0!</v>
      </c>
    </row>
    <row r="674" spans="1:22" ht="21.95" customHeight="1" x14ac:dyDescent="0.25">
      <c r="A674" s="18" t="s">
        <v>973</v>
      </c>
      <c r="B674" s="25" t="s">
        <v>660</v>
      </c>
      <c r="C674" s="12">
        <f t="shared" si="297"/>
        <v>2748320</v>
      </c>
      <c r="D674" s="20">
        <f t="shared" si="292"/>
        <v>2548320</v>
      </c>
      <c r="E674" s="20">
        <f>350*1061.8</f>
        <v>371630</v>
      </c>
      <c r="F674" s="20">
        <f>800*1061.8</f>
        <v>849440</v>
      </c>
      <c r="G674" s="20">
        <f>350*1061.8</f>
        <v>371630</v>
      </c>
      <c r="H674" s="20">
        <f>500*1061.8</f>
        <v>530900</v>
      </c>
      <c r="I674" s="20">
        <f>400*1061.8</f>
        <v>424720</v>
      </c>
      <c r="J674" s="20">
        <v>0</v>
      </c>
      <c r="K674" s="9">
        <v>0</v>
      </c>
      <c r="L674" s="8">
        <v>0</v>
      </c>
      <c r="M674" s="8">
        <v>0</v>
      </c>
      <c r="N674" s="8">
        <v>0</v>
      </c>
      <c r="O674" s="8">
        <v>0</v>
      </c>
      <c r="P674" s="8">
        <v>0</v>
      </c>
      <c r="Q674" s="8">
        <v>0</v>
      </c>
      <c r="R674" s="20">
        <f t="shared" si="290"/>
        <v>0</v>
      </c>
      <c r="S674" s="8">
        <v>0</v>
      </c>
      <c r="T674" s="8">
        <v>0</v>
      </c>
      <c r="U674" s="8">
        <v>200000</v>
      </c>
      <c r="V674" s="1" t="e">
        <f t="shared" si="291"/>
        <v>#DIV/0!</v>
      </c>
    </row>
    <row r="675" spans="1:22" ht="21.95" customHeight="1" x14ac:dyDescent="0.25">
      <c r="A675" s="18" t="s">
        <v>974</v>
      </c>
      <c r="B675" s="25" t="s">
        <v>562</v>
      </c>
      <c r="C675" s="12">
        <f t="shared" si="297"/>
        <v>1712500</v>
      </c>
      <c r="D675" s="20">
        <f t="shared" si="292"/>
        <v>0</v>
      </c>
      <c r="E675" s="20">
        <v>0</v>
      </c>
      <c r="F675" s="20">
        <v>0</v>
      </c>
      <c r="G675" s="20">
        <v>0</v>
      </c>
      <c r="H675" s="20">
        <v>0</v>
      </c>
      <c r="I675" s="20">
        <v>0</v>
      </c>
      <c r="J675" s="20">
        <v>0</v>
      </c>
      <c r="K675" s="9">
        <v>0</v>
      </c>
      <c r="L675" s="8">
        <v>0</v>
      </c>
      <c r="M675" s="8">
        <v>275</v>
      </c>
      <c r="N675" s="20">
        <f t="shared" ref="N675" si="299">M675*5500</f>
        <v>1512500</v>
      </c>
      <c r="O675" s="8">
        <v>0</v>
      </c>
      <c r="P675" s="8">
        <v>0</v>
      </c>
      <c r="Q675" s="8">
        <v>0</v>
      </c>
      <c r="R675" s="20">
        <f t="shared" si="290"/>
        <v>0</v>
      </c>
      <c r="S675" s="8">
        <v>0</v>
      </c>
      <c r="T675" s="8">
        <v>0</v>
      </c>
      <c r="U675" s="8">
        <v>200000</v>
      </c>
      <c r="V675" s="1">
        <f t="shared" si="291"/>
        <v>5500</v>
      </c>
    </row>
    <row r="676" spans="1:22" ht="21.95" customHeight="1" x14ac:dyDescent="0.25">
      <c r="A676" s="18" t="s">
        <v>1372</v>
      </c>
      <c r="B676" s="25" t="s">
        <v>661</v>
      </c>
      <c r="C676" s="12">
        <f t="shared" si="297"/>
        <v>1729000</v>
      </c>
      <c r="D676" s="20">
        <f t="shared" si="292"/>
        <v>0</v>
      </c>
      <c r="E676" s="20">
        <v>0</v>
      </c>
      <c r="F676" s="20">
        <v>0</v>
      </c>
      <c r="G676" s="20">
        <v>0</v>
      </c>
      <c r="H676" s="20">
        <v>0</v>
      </c>
      <c r="I676" s="20">
        <v>0</v>
      </c>
      <c r="J676" s="20">
        <v>0</v>
      </c>
      <c r="K676" s="9">
        <v>0</v>
      </c>
      <c r="L676" s="8">
        <v>0</v>
      </c>
      <c r="M676" s="8">
        <v>278</v>
      </c>
      <c r="N676" s="20">
        <f t="shared" ref="N676:N689" si="300">M676*5500</f>
        <v>1529000</v>
      </c>
      <c r="O676" s="8">
        <v>0</v>
      </c>
      <c r="P676" s="8">
        <v>0</v>
      </c>
      <c r="Q676" s="8">
        <v>0</v>
      </c>
      <c r="R676" s="20">
        <f t="shared" si="290"/>
        <v>0</v>
      </c>
      <c r="S676" s="8">
        <v>0</v>
      </c>
      <c r="T676" s="8">
        <v>0</v>
      </c>
      <c r="U676" s="8">
        <v>200000</v>
      </c>
      <c r="V676" s="1">
        <f t="shared" si="291"/>
        <v>5500</v>
      </c>
    </row>
    <row r="677" spans="1:22" ht="21.95" customHeight="1" x14ac:dyDescent="0.25">
      <c r="A677" s="18" t="s">
        <v>975</v>
      </c>
      <c r="B677" s="25" t="s">
        <v>662</v>
      </c>
      <c r="C677" s="12">
        <f t="shared" si="297"/>
        <v>2400000</v>
      </c>
      <c r="D677" s="20">
        <f t="shared" si="292"/>
        <v>0</v>
      </c>
      <c r="E677" s="20">
        <v>0</v>
      </c>
      <c r="F677" s="20">
        <v>0</v>
      </c>
      <c r="G677" s="20">
        <v>0</v>
      </c>
      <c r="H677" s="20">
        <v>0</v>
      </c>
      <c r="I677" s="20">
        <v>0</v>
      </c>
      <c r="J677" s="20">
        <v>0</v>
      </c>
      <c r="K677" s="9">
        <v>0</v>
      </c>
      <c r="L677" s="8">
        <v>0</v>
      </c>
      <c r="M677" s="8">
        <v>400</v>
      </c>
      <c r="N677" s="20">
        <f t="shared" si="300"/>
        <v>2200000</v>
      </c>
      <c r="O677" s="8">
        <v>0</v>
      </c>
      <c r="P677" s="8">
        <v>0</v>
      </c>
      <c r="Q677" s="8">
        <v>0</v>
      </c>
      <c r="R677" s="20">
        <f t="shared" si="290"/>
        <v>0</v>
      </c>
      <c r="S677" s="8">
        <v>0</v>
      </c>
      <c r="T677" s="8">
        <v>0</v>
      </c>
      <c r="U677" s="8">
        <v>200000</v>
      </c>
      <c r="V677" s="1">
        <f t="shared" si="291"/>
        <v>5500</v>
      </c>
    </row>
    <row r="678" spans="1:22" ht="21.95" customHeight="1" x14ac:dyDescent="0.25">
      <c r="A678" s="18" t="s">
        <v>976</v>
      </c>
      <c r="B678" s="25" t="s">
        <v>563</v>
      </c>
      <c r="C678" s="12">
        <f t="shared" si="297"/>
        <v>1624500</v>
      </c>
      <c r="D678" s="20">
        <f t="shared" si="292"/>
        <v>0</v>
      </c>
      <c r="E678" s="20">
        <v>0</v>
      </c>
      <c r="F678" s="20">
        <v>0</v>
      </c>
      <c r="G678" s="20">
        <v>0</v>
      </c>
      <c r="H678" s="20">
        <v>0</v>
      </c>
      <c r="I678" s="20">
        <v>0</v>
      </c>
      <c r="J678" s="20">
        <v>0</v>
      </c>
      <c r="K678" s="9">
        <v>0</v>
      </c>
      <c r="L678" s="8">
        <v>0</v>
      </c>
      <c r="M678" s="8">
        <v>259</v>
      </c>
      <c r="N678" s="20">
        <f t="shared" si="300"/>
        <v>1424500</v>
      </c>
      <c r="O678" s="8">
        <v>0</v>
      </c>
      <c r="P678" s="8">
        <v>0</v>
      </c>
      <c r="Q678" s="8">
        <v>0</v>
      </c>
      <c r="R678" s="20">
        <f t="shared" si="290"/>
        <v>0</v>
      </c>
      <c r="S678" s="8">
        <v>0</v>
      </c>
      <c r="T678" s="8">
        <v>0</v>
      </c>
      <c r="U678" s="8">
        <v>200000</v>
      </c>
      <c r="V678" s="1">
        <f t="shared" si="291"/>
        <v>5500</v>
      </c>
    </row>
    <row r="679" spans="1:22" ht="21.95" customHeight="1" x14ac:dyDescent="0.25">
      <c r="A679" s="18" t="s">
        <v>977</v>
      </c>
      <c r="B679" s="25" t="s">
        <v>564</v>
      </c>
      <c r="C679" s="12">
        <f t="shared" si="297"/>
        <v>3843436</v>
      </c>
      <c r="D679" s="20">
        <f t="shared" si="292"/>
        <v>1029936</v>
      </c>
      <c r="E679" s="20">
        <f>350*429.14</f>
        <v>150199</v>
      </c>
      <c r="F679" s="20">
        <f>800*429.14</f>
        <v>343312</v>
      </c>
      <c r="G679" s="20">
        <f>350*429.14</f>
        <v>150199</v>
      </c>
      <c r="H679" s="20">
        <f>500*429.14</f>
        <v>214570</v>
      </c>
      <c r="I679" s="20">
        <f>400*429.14</f>
        <v>171656</v>
      </c>
      <c r="J679" s="20">
        <v>0</v>
      </c>
      <c r="K679" s="9">
        <v>0</v>
      </c>
      <c r="L679" s="8">
        <v>0</v>
      </c>
      <c r="M679" s="8">
        <v>251</v>
      </c>
      <c r="N679" s="20">
        <f t="shared" si="300"/>
        <v>1380500</v>
      </c>
      <c r="O679" s="8">
        <v>0</v>
      </c>
      <c r="P679" s="8">
        <v>0</v>
      </c>
      <c r="Q679" s="8">
        <v>411</v>
      </c>
      <c r="R679" s="20">
        <f t="shared" si="290"/>
        <v>1233000</v>
      </c>
      <c r="S679" s="8">
        <v>0</v>
      </c>
      <c r="T679" s="8">
        <v>0</v>
      </c>
      <c r="U679" s="8">
        <v>200000</v>
      </c>
      <c r="V679" s="1">
        <f t="shared" si="291"/>
        <v>5500</v>
      </c>
    </row>
    <row r="680" spans="1:22" ht="21.95" customHeight="1" x14ac:dyDescent="0.25">
      <c r="A680" s="18" t="s">
        <v>978</v>
      </c>
      <c r="B680" s="25" t="s">
        <v>663</v>
      </c>
      <c r="C680" s="12">
        <f t="shared" si="297"/>
        <v>2702500</v>
      </c>
      <c r="D680" s="20">
        <f t="shared" si="292"/>
        <v>0</v>
      </c>
      <c r="E680" s="20">
        <v>0</v>
      </c>
      <c r="F680" s="20">
        <v>0</v>
      </c>
      <c r="G680" s="20">
        <v>0</v>
      </c>
      <c r="H680" s="20">
        <v>0</v>
      </c>
      <c r="I680" s="20">
        <v>0</v>
      </c>
      <c r="J680" s="20">
        <v>0</v>
      </c>
      <c r="K680" s="9">
        <v>0</v>
      </c>
      <c r="L680" s="8">
        <v>0</v>
      </c>
      <c r="M680" s="8">
        <v>455</v>
      </c>
      <c r="N680" s="20">
        <f t="shared" si="300"/>
        <v>2502500</v>
      </c>
      <c r="O680" s="8">
        <v>0</v>
      </c>
      <c r="P680" s="8">
        <v>0</v>
      </c>
      <c r="Q680" s="8">
        <v>0</v>
      </c>
      <c r="R680" s="20">
        <f t="shared" si="290"/>
        <v>0</v>
      </c>
      <c r="S680" s="8">
        <v>0</v>
      </c>
      <c r="T680" s="8">
        <v>0</v>
      </c>
      <c r="U680" s="8">
        <v>200000</v>
      </c>
      <c r="V680" s="1">
        <f t="shared" si="291"/>
        <v>5500</v>
      </c>
    </row>
    <row r="681" spans="1:22" ht="21.95" customHeight="1" x14ac:dyDescent="0.25">
      <c r="A681" s="18" t="s">
        <v>979</v>
      </c>
      <c r="B681" s="25" t="s">
        <v>664</v>
      </c>
      <c r="C681" s="12">
        <f t="shared" si="297"/>
        <v>1674000</v>
      </c>
      <c r="D681" s="20">
        <f t="shared" si="292"/>
        <v>0</v>
      </c>
      <c r="E681" s="20">
        <v>0</v>
      </c>
      <c r="F681" s="20">
        <v>0</v>
      </c>
      <c r="G681" s="20">
        <v>0</v>
      </c>
      <c r="H681" s="20">
        <v>0</v>
      </c>
      <c r="I681" s="20">
        <v>0</v>
      </c>
      <c r="J681" s="20">
        <v>0</v>
      </c>
      <c r="K681" s="9">
        <v>0</v>
      </c>
      <c r="L681" s="8">
        <v>0</v>
      </c>
      <c r="M681" s="8">
        <v>268</v>
      </c>
      <c r="N681" s="20">
        <f t="shared" si="300"/>
        <v>1474000</v>
      </c>
      <c r="O681" s="8">
        <v>0</v>
      </c>
      <c r="P681" s="8">
        <v>0</v>
      </c>
      <c r="Q681" s="8">
        <v>0</v>
      </c>
      <c r="R681" s="20">
        <f t="shared" si="290"/>
        <v>0</v>
      </c>
      <c r="S681" s="8">
        <v>0</v>
      </c>
      <c r="T681" s="8">
        <v>0</v>
      </c>
      <c r="U681" s="8">
        <v>200000</v>
      </c>
      <c r="V681" s="1">
        <f t="shared" si="291"/>
        <v>5500</v>
      </c>
    </row>
    <row r="682" spans="1:22" ht="21.95" customHeight="1" x14ac:dyDescent="0.25">
      <c r="A682" s="18" t="s">
        <v>980</v>
      </c>
      <c r="B682" s="25" t="s">
        <v>665</v>
      </c>
      <c r="C682" s="12">
        <f t="shared" si="297"/>
        <v>1674000</v>
      </c>
      <c r="D682" s="20">
        <f t="shared" si="292"/>
        <v>0</v>
      </c>
      <c r="E682" s="20">
        <v>0</v>
      </c>
      <c r="F682" s="20">
        <v>0</v>
      </c>
      <c r="G682" s="20">
        <v>0</v>
      </c>
      <c r="H682" s="20">
        <v>0</v>
      </c>
      <c r="I682" s="20">
        <v>0</v>
      </c>
      <c r="J682" s="20">
        <v>0</v>
      </c>
      <c r="K682" s="9">
        <v>0</v>
      </c>
      <c r="L682" s="8">
        <v>0</v>
      </c>
      <c r="M682" s="8">
        <v>268</v>
      </c>
      <c r="N682" s="20">
        <f t="shared" si="300"/>
        <v>1474000</v>
      </c>
      <c r="O682" s="8">
        <v>0</v>
      </c>
      <c r="P682" s="8">
        <v>0</v>
      </c>
      <c r="Q682" s="8">
        <v>0</v>
      </c>
      <c r="R682" s="20">
        <f t="shared" si="290"/>
        <v>0</v>
      </c>
      <c r="S682" s="8">
        <v>0</v>
      </c>
      <c r="T682" s="8">
        <v>0</v>
      </c>
      <c r="U682" s="8">
        <v>200000</v>
      </c>
      <c r="V682" s="1">
        <f t="shared" si="291"/>
        <v>5500</v>
      </c>
    </row>
    <row r="683" spans="1:22" ht="21.95" customHeight="1" x14ac:dyDescent="0.25">
      <c r="A683" s="18" t="s">
        <v>981</v>
      </c>
      <c r="B683" s="25" t="s">
        <v>666</v>
      </c>
      <c r="C683" s="12">
        <f t="shared" si="297"/>
        <v>1646500</v>
      </c>
      <c r="D683" s="20">
        <f t="shared" si="292"/>
        <v>0</v>
      </c>
      <c r="E683" s="20">
        <v>0</v>
      </c>
      <c r="F683" s="20">
        <v>0</v>
      </c>
      <c r="G683" s="20">
        <v>0</v>
      </c>
      <c r="H683" s="20">
        <v>0</v>
      </c>
      <c r="I683" s="20">
        <v>0</v>
      </c>
      <c r="J683" s="20">
        <v>0</v>
      </c>
      <c r="K683" s="9">
        <v>0</v>
      </c>
      <c r="L683" s="8">
        <v>0</v>
      </c>
      <c r="M683" s="8">
        <v>263</v>
      </c>
      <c r="N683" s="20">
        <f t="shared" si="300"/>
        <v>1446500</v>
      </c>
      <c r="O683" s="8">
        <v>0</v>
      </c>
      <c r="P683" s="8">
        <v>0</v>
      </c>
      <c r="Q683" s="8">
        <v>0</v>
      </c>
      <c r="R683" s="20">
        <f t="shared" si="290"/>
        <v>0</v>
      </c>
      <c r="S683" s="8">
        <v>0</v>
      </c>
      <c r="T683" s="8">
        <v>0</v>
      </c>
      <c r="U683" s="8">
        <v>200000</v>
      </c>
      <c r="V683" s="1">
        <f t="shared" si="291"/>
        <v>5500</v>
      </c>
    </row>
    <row r="684" spans="1:22" ht="21.95" customHeight="1" x14ac:dyDescent="0.25">
      <c r="A684" s="18" t="s">
        <v>982</v>
      </c>
      <c r="B684" s="25" t="s">
        <v>667</v>
      </c>
      <c r="C684" s="12">
        <f t="shared" si="297"/>
        <v>1297250</v>
      </c>
      <c r="D684" s="20">
        <f t="shared" si="292"/>
        <v>0</v>
      </c>
      <c r="E684" s="20">
        <v>0</v>
      </c>
      <c r="F684" s="20">
        <v>0</v>
      </c>
      <c r="G684" s="20">
        <v>0</v>
      </c>
      <c r="H684" s="20">
        <v>0</v>
      </c>
      <c r="I684" s="20">
        <v>0</v>
      </c>
      <c r="J684" s="20">
        <v>0</v>
      </c>
      <c r="K684" s="9">
        <v>0</v>
      </c>
      <c r="L684" s="8">
        <v>0</v>
      </c>
      <c r="M684" s="8">
        <v>199.5</v>
      </c>
      <c r="N684" s="20">
        <f t="shared" si="300"/>
        <v>1097250</v>
      </c>
      <c r="O684" s="8">
        <v>0</v>
      </c>
      <c r="P684" s="8">
        <v>0</v>
      </c>
      <c r="Q684" s="8">
        <v>0</v>
      </c>
      <c r="R684" s="20">
        <f t="shared" si="290"/>
        <v>0</v>
      </c>
      <c r="S684" s="8">
        <v>0</v>
      </c>
      <c r="T684" s="8">
        <v>0</v>
      </c>
      <c r="U684" s="8">
        <v>200000</v>
      </c>
      <c r="V684" s="1">
        <f t="shared" si="291"/>
        <v>5500</v>
      </c>
    </row>
    <row r="685" spans="1:22" ht="21.95" customHeight="1" x14ac:dyDescent="0.25">
      <c r="A685" s="18" t="s">
        <v>983</v>
      </c>
      <c r="B685" s="25" t="s">
        <v>565</v>
      </c>
      <c r="C685" s="12">
        <f t="shared" si="297"/>
        <v>2383500</v>
      </c>
      <c r="D685" s="20">
        <f t="shared" si="292"/>
        <v>0</v>
      </c>
      <c r="E685" s="20">
        <v>0</v>
      </c>
      <c r="F685" s="20">
        <v>0</v>
      </c>
      <c r="G685" s="20">
        <v>0</v>
      </c>
      <c r="H685" s="20">
        <v>0</v>
      </c>
      <c r="I685" s="20">
        <v>0</v>
      </c>
      <c r="J685" s="20">
        <v>0</v>
      </c>
      <c r="K685" s="9">
        <v>0</v>
      </c>
      <c r="L685" s="8">
        <v>0</v>
      </c>
      <c r="M685" s="8">
        <v>397</v>
      </c>
      <c r="N685" s="20">
        <f t="shared" si="300"/>
        <v>2183500</v>
      </c>
      <c r="O685" s="8">
        <v>0</v>
      </c>
      <c r="P685" s="8">
        <v>0</v>
      </c>
      <c r="Q685" s="8">
        <v>0</v>
      </c>
      <c r="R685" s="20">
        <f t="shared" si="290"/>
        <v>0</v>
      </c>
      <c r="S685" s="8">
        <v>0</v>
      </c>
      <c r="T685" s="8">
        <v>0</v>
      </c>
      <c r="U685" s="8">
        <v>200000</v>
      </c>
      <c r="V685" s="1">
        <f t="shared" si="291"/>
        <v>5500</v>
      </c>
    </row>
    <row r="686" spans="1:22" ht="21.95" customHeight="1" x14ac:dyDescent="0.25">
      <c r="A686" s="18" t="s">
        <v>984</v>
      </c>
      <c r="B686" s="25" t="s">
        <v>668</v>
      </c>
      <c r="C686" s="12">
        <f t="shared" si="297"/>
        <v>1578300</v>
      </c>
      <c r="D686" s="20">
        <f t="shared" si="292"/>
        <v>0</v>
      </c>
      <c r="E686" s="20">
        <v>0</v>
      </c>
      <c r="F686" s="20">
        <v>0</v>
      </c>
      <c r="G686" s="20">
        <v>0</v>
      </c>
      <c r="H686" s="20">
        <v>0</v>
      </c>
      <c r="I686" s="20">
        <v>0</v>
      </c>
      <c r="J686" s="20">
        <v>0</v>
      </c>
      <c r="K686" s="9">
        <v>0</v>
      </c>
      <c r="L686" s="8">
        <v>0</v>
      </c>
      <c r="M686" s="8">
        <v>250.6</v>
      </c>
      <c r="N686" s="20">
        <f t="shared" si="300"/>
        <v>1378300</v>
      </c>
      <c r="O686" s="8">
        <v>0</v>
      </c>
      <c r="P686" s="8">
        <v>0</v>
      </c>
      <c r="Q686" s="8">
        <v>0</v>
      </c>
      <c r="R686" s="20">
        <f t="shared" si="290"/>
        <v>0</v>
      </c>
      <c r="S686" s="8">
        <v>0</v>
      </c>
      <c r="T686" s="8">
        <v>0</v>
      </c>
      <c r="U686" s="8">
        <v>200000</v>
      </c>
      <c r="V686" s="1">
        <f t="shared" si="291"/>
        <v>5500</v>
      </c>
    </row>
    <row r="687" spans="1:22" ht="21.95" customHeight="1" x14ac:dyDescent="0.25">
      <c r="A687" s="18" t="s">
        <v>985</v>
      </c>
      <c r="B687" s="25" t="s">
        <v>669</v>
      </c>
      <c r="C687" s="12">
        <f t="shared" si="297"/>
        <v>1590400</v>
      </c>
      <c r="D687" s="20">
        <f t="shared" si="292"/>
        <v>0</v>
      </c>
      <c r="E687" s="20">
        <v>0</v>
      </c>
      <c r="F687" s="20">
        <v>0</v>
      </c>
      <c r="G687" s="20">
        <v>0</v>
      </c>
      <c r="H687" s="20">
        <v>0</v>
      </c>
      <c r="I687" s="20">
        <v>0</v>
      </c>
      <c r="J687" s="20">
        <v>0</v>
      </c>
      <c r="K687" s="9">
        <v>0</v>
      </c>
      <c r="L687" s="8">
        <v>0</v>
      </c>
      <c r="M687" s="8">
        <v>252.8</v>
      </c>
      <c r="N687" s="20">
        <f t="shared" si="300"/>
        <v>1390400</v>
      </c>
      <c r="O687" s="8">
        <v>0</v>
      </c>
      <c r="P687" s="8">
        <v>0</v>
      </c>
      <c r="Q687" s="8">
        <v>0</v>
      </c>
      <c r="R687" s="20">
        <f t="shared" si="290"/>
        <v>0</v>
      </c>
      <c r="S687" s="8">
        <v>0</v>
      </c>
      <c r="T687" s="8">
        <v>0</v>
      </c>
      <c r="U687" s="8">
        <v>200000</v>
      </c>
      <c r="V687" s="1">
        <f t="shared" si="291"/>
        <v>5500</v>
      </c>
    </row>
    <row r="688" spans="1:22" ht="21.95" customHeight="1" x14ac:dyDescent="0.25">
      <c r="A688" s="18" t="s">
        <v>986</v>
      </c>
      <c r="B688" s="25" t="s">
        <v>670</v>
      </c>
      <c r="C688" s="12">
        <f t="shared" si="297"/>
        <v>1654199.9999999998</v>
      </c>
      <c r="D688" s="20">
        <f t="shared" si="292"/>
        <v>0</v>
      </c>
      <c r="E688" s="20">
        <v>0</v>
      </c>
      <c r="F688" s="20">
        <v>0</v>
      </c>
      <c r="G688" s="20">
        <v>0</v>
      </c>
      <c r="H688" s="20">
        <v>0</v>
      </c>
      <c r="I688" s="20">
        <v>0</v>
      </c>
      <c r="J688" s="20">
        <v>0</v>
      </c>
      <c r="K688" s="9">
        <v>0</v>
      </c>
      <c r="L688" s="8">
        <v>0</v>
      </c>
      <c r="M688" s="8">
        <v>264.39999999999998</v>
      </c>
      <c r="N688" s="20">
        <f t="shared" si="300"/>
        <v>1454199.9999999998</v>
      </c>
      <c r="O688" s="8">
        <v>0</v>
      </c>
      <c r="P688" s="8">
        <v>0</v>
      </c>
      <c r="Q688" s="8">
        <v>0</v>
      </c>
      <c r="R688" s="20">
        <f t="shared" si="290"/>
        <v>0</v>
      </c>
      <c r="S688" s="8">
        <v>0</v>
      </c>
      <c r="T688" s="8">
        <v>0</v>
      </c>
      <c r="U688" s="8">
        <v>200000</v>
      </c>
      <c r="V688" s="1">
        <f t="shared" si="291"/>
        <v>5500</v>
      </c>
    </row>
    <row r="689" spans="1:22" ht="21.95" customHeight="1" x14ac:dyDescent="0.25">
      <c r="A689" s="18" t="s">
        <v>987</v>
      </c>
      <c r="B689" s="25" t="s">
        <v>566</v>
      </c>
      <c r="C689" s="12">
        <f t="shared" si="297"/>
        <v>1548600</v>
      </c>
      <c r="D689" s="20">
        <f t="shared" si="292"/>
        <v>0</v>
      </c>
      <c r="E689" s="20">
        <v>0</v>
      </c>
      <c r="F689" s="20">
        <v>0</v>
      </c>
      <c r="G689" s="20">
        <v>0</v>
      </c>
      <c r="H689" s="20">
        <v>0</v>
      </c>
      <c r="I689" s="20">
        <v>0</v>
      </c>
      <c r="J689" s="20">
        <v>0</v>
      </c>
      <c r="K689" s="9">
        <v>0</v>
      </c>
      <c r="L689" s="8">
        <v>0</v>
      </c>
      <c r="M689" s="8">
        <v>245.2</v>
      </c>
      <c r="N689" s="20">
        <f t="shared" si="300"/>
        <v>1348600</v>
      </c>
      <c r="O689" s="8">
        <v>0</v>
      </c>
      <c r="P689" s="8">
        <v>0</v>
      </c>
      <c r="Q689" s="8">
        <v>0</v>
      </c>
      <c r="R689" s="20">
        <f t="shared" si="290"/>
        <v>0</v>
      </c>
      <c r="S689" s="8">
        <v>0</v>
      </c>
      <c r="T689" s="8">
        <v>0</v>
      </c>
      <c r="U689" s="8">
        <v>200000</v>
      </c>
      <c r="V689" s="1">
        <f t="shared" si="291"/>
        <v>5500</v>
      </c>
    </row>
    <row r="690" spans="1:22" ht="21.95" customHeight="1" x14ac:dyDescent="0.25">
      <c r="A690" s="18" t="s">
        <v>988</v>
      </c>
      <c r="B690" s="25" t="s">
        <v>477</v>
      </c>
      <c r="C690" s="12">
        <f t="shared" si="297"/>
        <v>1641000</v>
      </c>
      <c r="D690" s="20">
        <f t="shared" si="292"/>
        <v>0</v>
      </c>
      <c r="E690" s="20">
        <v>0</v>
      </c>
      <c r="F690" s="20">
        <v>0</v>
      </c>
      <c r="G690" s="20">
        <v>0</v>
      </c>
      <c r="H690" s="20">
        <v>0</v>
      </c>
      <c r="I690" s="20">
        <v>0</v>
      </c>
      <c r="J690" s="20">
        <v>0</v>
      </c>
      <c r="K690" s="21">
        <v>0</v>
      </c>
      <c r="L690" s="20">
        <v>0</v>
      </c>
      <c r="M690" s="20">
        <v>262</v>
      </c>
      <c r="N690" s="20">
        <f t="shared" ref="N690:N706" si="301">M690*5500</f>
        <v>1441000</v>
      </c>
      <c r="O690" s="20">
        <v>0</v>
      </c>
      <c r="P690" s="20">
        <v>0</v>
      </c>
      <c r="Q690" s="20">
        <v>0</v>
      </c>
      <c r="R690" s="20">
        <f t="shared" si="290"/>
        <v>0</v>
      </c>
      <c r="S690" s="20">
        <v>0</v>
      </c>
      <c r="T690" s="8">
        <v>0</v>
      </c>
      <c r="U690" s="20">
        <v>200000</v>
      </c>
      <c r="V690" s="1">
        <f t="shared" si="291"/>
        <v>5500</v>
      </c>
    </row>
    <row r="691" spans="1:22" ht="21.95" customHeight="1" x14ac:dyDescent="0.25">
      <c r="A691" s="18" t="s">
        <v>989</v>
      </c>
      <c r="B691" s="25" t="s">
        <v>671</v>
      </c>
      <c r="C691" s="12">
        <f t="shared" si="297"/>
        <v>2188800</v>
      </c>
      <c r="D691" s="20">
        <f t="shared" si="292"/>
        <v>0</v>
      </c>
      <c r="E691" s="20">
        <v>0</v>
      </c>
      <c r="F691" s="20">
        <v>0</v>
      </c>
      <c r="G691" s="20">
        <v>0</v>
      </c>
      <c r="H691" s="20">
        <v>0</v>
      </c>
      <c r="I691" s="20">
        <v>0</v>
      </c>
      <c r="J691" s="20">
        <v>0</v>
      </c>
      <c r="K691" s="9">
        <v>0</v>
      </c>
      <c r="L691" s="8">
        <v>0</v>
      </c>
      <c r="M691" s="8">
        <v>361.6</v>
      </c>
      <c r="N691" s="20">
        <f t="shared" si="301"/>
        <v>1988800.0000000002</v>
      </c>
      <c r="O691" s="8">
        <v>0</v>
      </c>
      <c r="P691" s="8">
        <v>0</v>
      </c>
      <c r="Q691" s="8">
        <v>0</v>
      </c>
      <c r="R691" s="20">
        <f t="shared" si="290"/>
        <v>0</v>
      </c>
      <c r="S691" s="8">
        <v>0</v>
      </c>
      <c r="T691" s="8">
        <v>0</v>
      </c>
      <c r="U691" s="8">
        <v>200000</v>
      </c>
      <c r="V691" s="1">
        <f t="shared" si="291"/>
        <v>5500</v>
      </c>
    </row>
    <row r="692" spans="1:22" ht="21.95" customHeight="1" x14ac:dyDescent="0.25">
      <c r="A692" s="18" t="s">
        <v>990</v>
      </c>
      <c r="B692" s="25" t="s">
        <v>567</v>
      </c>
      <c r="C692" s="12">
        <f t="shared" si="297"/>
        <v>1547500</v>
      </c>
      <c r="D692" s="20">
        <f t="shared" si="292"/>
        <v>0</v>
      </c>
      <c r="E692" s="20">
        <v>0</v>
      </c>
      <c r="F692" s="20">
        <v>0</v>
      </c>
      <c r="G692" s="20">
        <v>0</v>
      </c>
      <c r="H692" s="20">
        <v>0</v>
      </c>
      <c r="I692" s="20">
        <v>0</v>
      </c>
      <c r="J692" s="20">
        <v>0</v>
      </c>
      <c r="K692" s="9">
        <v>0</v>
      </c>
      <c r="L692" s="8">
        <v>0</v>
      </c>
      <c r="M692" s="8">
        <v>245</v>
      </c>
      <c r="N692" s="20">
        <f t="shared" si="301"/>
        <v>1347500</v>
      </c>
      <c r="O692" s="8">
        <v>0</v>
      </c>
      <c r="P692" s="8">
        <v>0</v>
      </c>
      <c r="Q692" s="8">
        <v>0</v>
      </c>
      <c r="R692" s="20">
        <f t="shared" si="290"/>
        <v>0</v>
      </c>
      <c r="S692" s="8">
        <v>0</v>
      </c>
      <c r="T692" s="8">
        <v>0</v>
      </c>
      <c r="U692" s="8">
        <v>200000</v>
      </c>
      <c r="V692" s="1">
        <f t="shared" si="291"/>
        <v>5500</v>
      </c>
    </row>
    <row r="693" spans="1:22" ht="21.95" customHeight="1" x14ac:dyDescent="0.25">
      <c r="A693" s="18" t="s">
        <v>991</v>
      </c>
      <c r="B693" s="25" t="s">
        <v>568</v>
      </c>
      <c r="C693" s="12">
        <f t="shared" si="297"/>
        <v>1552450</v>
      </c>
      <c r="D693" s="20">
        <f t="shared" ref="D693:D706" si="302">SUM(E693:J693)</f>
        <v>0</v>
      </c>
      <c r="E693" s="20">
        <v>0</v>
      </c>
      <c r="F693" s="20">
        <v>0</v>
      </c>
      <c r="G693" s="20">
        <v>0</v>
      </c>
      <c r="H693" s="20">
        <v>0</v>
      </c>
      <c r="I693" s="20">
        <v>0</v>
      </c>
      <c r="J693" s="20">
        <v>0</v>
      </c>
      <c r="K693" s="9">
        <v>0</v>
      </c>
      <c r="L693" s="8">
        <v>0</v>
      </c>
      <c r="M693" s="8">
        <v>245.9</v>
      </c>
      <c r="N693" s="20">
        <f t="shared" si="301"/>
        <v>1352450</v>
      </c>
      <c r="O693" s="8">
        <v>0</v>
      </c>
      <c r="P693" s="8">
        <v>0</v>
      </c>
      <c r="Q693" s="8">
        <v>0</v>
      </c>
      <c r="R693" s="20">
        <f t="shared" si="290"/>
        <v>0</v>
      </c>
      <c r="S693" s="8">
        <v>0</v>
      </c>
      <c r="T693" s="8">
        <v>0</v>
      </c>
      <c r="U693" s="8">
        <v>200000</v>
      </c>
      <c r="V693" s="1">
        <f t="shared" si="291"/>
        <v>5500</v>
      </c>
    </row>
    <row r="694" spans="1:22" ht="21.95" customHeight="1" x14ac:dyDescent="0.25">
      <c r="A694" s="18" t="s">
        <v>992</v>
      </c>
      <c r="B694" s="25" t="s">
        <v>569</v>
      </c>
      <c r="C694" s="12">
        <f t="shared" si="297"/>
        <v>1545300</v>
      </c>
      <c r="D694" s="20">
        <f t="shared" si="302"/>
        <v>0</v>
      </c>
      <c r="E694" s="20">
        <v>0</v>
      </c>
      <c r="F694" s="20">
        <v>0</v>
      </c>
      <c r="G694" s="20">
        <v>0</v>
      </c>
      <c r="H694" s="20">
        <v>0</v>
      </c>
      <c r="I694" s="20">
        <v>0</v>
      </c>
      <c r="J694" s="20">
        <v>0</v>
      </c>
      <c r="K694" s="9">
        <v>0</v>
      </c>
      <c r="L694" s="8">
        <v>0</v>
      </c>
      <c r="M694" s="8">
        <v>244.6</v>
      </c>
      <c r="N694" s="20">
        <f t="shared" si="301"/>
        <v>1345300</v>
      </c>
      <c r="O694" s="8">
        <v>0</v>
      </c>
      <c r="P694" s="8">
        <v>0</v>
      </c>
      <c r="Q694" s="8">
        <v>0</v>
      </c>
      <c r="R694" s="20">
        <f t="shared" ref="R694:R706" si="303">Q694*3000</f>
        <v>0</v>
      </c>
      <c r="S694" s="8">
        <v>0</v>
      </c>
      <c r="T694" s="8">
        <v>0</v>
      </c>
      <c r="U694" s="8">
        <v>200000</v>
      </c>
      <c r="V694" s="1">
        <f t="shared" ref="V694:V706" si="304">N694/M694</f>
        <v>5500</v>
      </c>
    </row>
    <row r="695" spans="1:22" ht="21.95" customHeight="1" x14ac:dyDescent="0.25">
      <c r="A695" s="18" t="s">
        <v>1624</v>
      </c>
      <c r="B695" s="25" t="s">
        <v>570</v>
      </c>
      <c r="C695" s="12">
        <f t="shared" si="297"/>
        <v>1580500</v>
      </c>
      <c r="D695" s="20">
        <f t="shared" si="302"/>
        <v>0</v>
      </c>
      <c r="E695" s="20">
        <v>0</v>
      </c>
      <c r="F695" s="20">
        <v>0</v>
      </c>
      <c r="G695" s="20">
        <v>0</v>
      </c>
      <c r="H695" s="20">
        <v>0</v>
      </c>
      <c r="I695" s="20">
        <v>0</v>
      </c>
      <c r="J695" s="20">
        <v>0</v>
      </c>
      <c r="K695" s="9">
        <v>0</v>
      </c>
      <c r="L695" s="8">
        <v>0</v>
      </c>
      <c r="M695" s="8">
        <v>251</v>
      </c>
      <c r="N695" s="20">
        <f t="shared" si="301"/>
        <v>1380500</v>
      </c>
      <c r="O695" s="8">
        <v>0</v>
      </c>
      <c r="P695" s="8">
        <v>0</v>
      </c>
      <c r="Q695" s="8">
        <v>0</v>
      </c>
      <c r="R695" s="20">
        <f t="shared" si="303"/>
        <v>0</v>
      </c>
      <c r="S695" s="8">
        <v>0</v>
      </c>
      <c r="T695" s="8">
        <v>0</v>
      </c>
      <c r="U695" s="8">
        <v>200000</v>
      </c>
      <c r="V695" s="1">
        <f t="shared" si="304"/>
        <v>5500</v>
      </c>
    </row>
    <row r="696" spans="1:22" ht="21.95" customHeight="1" x14ac:dyDescent="0.25">
      <c r="A696" s="18" t="s">
        <v>993</v>
      </c>
      <c r="B696" s="25" t="s">
        <v>571</v>
      </c>
      <c r="C696" s="12">
        <f t="shared" si="297"/>
        <v>1555200</v>
      </c>
      <c r="D696" s="20">
        <f t="shared" si="302"/>
        <v>0</v>
      </c>
      <c r="E696" s="20">
        <v>0</v>
      </c>
      <c r="F696" s="20">
        <v>0</v>
      </c>
      <c r="G696" s="20">
        <v>0</v>
      </c>
      <c r="H696" s="20">
        <v>0</v>
      </c>
      <c r="I696" s="20">
        <v>0</v>
      </c>
      <c r="J696" s="20">
        <v>0</v>
      </c>
      <c r="K696" s="9">
        <v>0</v>
      </c>
      <c r="L696" s="8">
        <v>0</v>
      </c>
      <c r="M696" s="8">
        <v>246.4</v>
      </c>
      <c r="N696" s="20">
        <f t="shared" si="301"/>
        <v>1355200</v>
      </c>
      <c r="O696" s="8">
        <v>0</v>
      </c>
      <c r="P696" s="8">
        <v>0</v>
      </c>
      <c r="Q696" s="8">
        <v>0</v>
      </c>
      <c r="R696" s="20">
        <f t="shared" si="303"/>
        <v>0</v>
      </c>
      <c r="S696" s="8">
        <v>0</v>
      </c>
      <c r="T696" s="8">
        <v>0</v>
      </c>
      <c r="U696" s="8">
        <v>200000</v>
      </c>
      <c r="V696" s="1">
        <f t="shared" si="304"/>
        <v>5500</v>
      </c>
    </row>
    <row r="697" spans="1:22" ht="21.95" customHeight="1" x14ac:dyDescent="0.25">
      <c r="A697" s="18" t="s">
        <v>994</v>
      </c>
      <c r="B697" s="25" t="s">
        <v>572</v>
      </c>
      <c r="C697" s="12">
        <f t="shared" si="297"/>
        <v>1553000</v>
      </c>
      <c r="D697" s="20">
        <f t="shared" si="302"/>
        <v>0</v>
      </c>
      <c r="E697" s="20">
        <v>0</v>
      </c>
      <c r="F697" s="20">
        <v>0</v>
      </c>
      <c r="G697" s="20">
        <v>0</v>
      </c>
      <c r="H697" s="20">
        <v>0</v>
      </c>
      <c r="I697" s="20">
        <v>0</v>
      </c>
      <c r="J697" s="20">
        <v>0</v>
      </c>
      <c r="K697" s="9">
        <v>0</v>
      </c>
      <c r="L697" s="8">
        <v>0</v>
      </c>
      <c r="M697" s="8">
        <v>246</v>
      </c>
      <c r="N697" s="20">
        <f t="shared" si="301"/>
        <v>1353000</v>
      </c>
      <c r="O697" s="8">
        <v>0</v>
      </c>
      <c r="P697" s="8">
        <v>0</v>
      </c>
      <c r="Q697" s="8">
        <v>0</v>
      </c>
      <c r="R697" s="20">
        <f t="shared" si="303"/>
        <v>0</v>
      </c>
      <c r="S697" s="8">
        <v>0</v>
      </c>
      <c r="T697" s="8">
        <v>0</v>
      </c>
      <c r="U697" s="8">
        <v>200000</v>
      </c>
      <c r="V697" s="1">
        <f t="shared" si="304"/>
        <v>5500</v>
      </c>
    </row>
    <row r="698" spans="1:22" ht="21.95" customHeight="1" x14ac:dyDescent="0.25">
      <c r="A698" s="18" t="s">
        <v>995</v>
      </c>
      <c r="B698" s="25" t="s">
        <v>573</v>
      </c>
      <c r="C698" s="12">
        <f t="shared" si="297"/>
        <v>2304850</v>
      </c>
      <c r="D698" s="20">
        <f t="shared" si="302"/>
        <v>0</v>
      </c>
      <c r="E698" s="20">
        <v>0</v>
      </c>
      <c r="F698" s="20">
        <v>0</v>
      </c>
      <c r="G698" s="20">
        <v>0</v>
      </c>
      <c r="H698" s="20">
        <v>0</v>
      </c>
      <c r="I698" s="20">
        <v>0</v>
      </c>
      <c r="J698" s="20">
        <v>0</v>
      </c>
      <c r="K698" s="9">
        <v>0</v>
      </c>
      <c r="L698" s="8">
        <v>0</v>
      </c>
      <c r="M698" s="8">
        <v>382.7</v>
      </c>
      <c r="N698" s="20">
        <f t="shared" si="301"/>
        <v>2104850</v>
      </c>
      <c r="O698" s="8">
        <v>0</v>
      </c>
      <c r="P698" s="8">
        <v>0</v>
      </c>
      <c r="Q698" s="8">
        <v>0</v>
      </c>
      <c r="R698" s="20">
        <f t="shared" si="303"/>
        <v>0</v>
      </c>
      <c r="S698" s="8">
        <v>0</v>
      </c>
      <c r="T698" s="8">
        <v>0</v>
      </c>
      <c r="U698" s="8">
        <v>200000</v>
      </c>
      <c r="V698" s="1">
        <f t="shared" si="304"/>
        <v>5500</v>
      </c>
    </row>
    <row r="699" spans="1:22" ht="21.95" customHeight="1" x14ac:dyDescent="0.25">
      <c r="A699" s="18" t="s">
        <v>996</v>
      </c>
      <c r="B699" s="25" t="s">
        <v>574</v>
      </c>
      <c r="C699" s="12">
        <f t="shared" si="297"/>
        <v>1580500</v>
      </c>
      <c r="D699" s="20">
        <f t="shared" si="302"/>
        <v>0</v>
      </c>
      <c r="E699" s="20">
        <v>0</v>
      </c>
      <c r="F699" s="20">
        <v>0</v>
      </c>
      <c r="G699" s="20">
        <v>0</v>
      </c>
      <c r="H699" s="20">
        <v>0</v>
      </c>
      <c r="I699" s="20">
        <v>0</v>
      </c>
      <c r="J699" s="20">
        <v>0</v>
      </c>
      <c r="K699" s="9">
        <v>0</v>
      </c>
      <c r="L699" s="8">
        <v>0</v>
      </c>
      <c r="M699" s="8">
        <v>251</v>
      </c>
      <c r="N699" s="20">
        <f t="shared" si="301"/>
        <v>1380500</v>
      </c>
      <c r="O699" s="8">
        <v>0</v>
      </c>
      <c r="P699" s="8">
        <v>0</v>
      </c>
      <c r="Q699" s="8">
        <v>0</v>
      </c>
      <c r="R699" s="20">
        <f t="shared" si="303"/>
        <v>0</v>
      </c>
      <c r="S699" s="8">
        <v>0</v>
      </c>
      <c r="T699" s="8">
        <v>0</v>
      </c>
      <c r="U699" s="8">
        <v>200000</v>
      </c>
      <c r="V699" s="1">
        <f t="shared" si="304"/>
        <v>5500</v>
      </c>
    </row>
    <row r="700" spans="1:22" ht="21.95" customHeight="1" x14ac:dyDescent="0.25">
      <c r="A700" s="18" t="s">
        <v>997</v>
      </c>
      <c r="B700" s="25" t="s">
        <v>575</v>
      </c>
      <c r="C700" s="12">
        <f t="shared" si="297"/>
        <v>1733400</v>
      </c>
      <c r="D700" s="20">
        <f t="shared" si="302"/>
        <v>0</v>
      </c>
      <c r="E700" s="20">
        <v>0</v>
      </c>
      <c r="F700" s="20">
        <v>0</v>
      </c>
      <c r="G700" s="20">
        <v>0</v>
      </c>
      <c r="H700" s="20">
        <v>0</v>
      </c>
      <c r="I700" s="20">
        <v>0</v>
      </c>
      <c r="J700" s="20">
        <v>0</v>
      </c>
      <c r="K700" s="9">
        <v>0</v>
      </c>
      <c r="L700" s="8">
        <v>0</v>
      </c>
      <c r="M700" s="8">
        <v>278.8</v>
      </c>
      <c r="N700" s="20">
        <f t="shared" si="301"/>
        <v>1533400</v>
      </c>
      <c r="O700" s="8">
        <v>0</v>
      </c>
      <c r="P700" s="8">
        <v>0</v>
      </c>
      <c r="Q700" s="8">
        <v>0</v>
      </c>
      <c r="R700" s="20">
        <f t="shared" si="303"/>
        <v>0</v>
      </c>
      <c r="S700" s="8">
        <v>0</v>
      </c>
      <c r="T700" s="8">
        <v>0</v>
      </c>
      <c r="U700" s="8">
        <v>200000</v>
      </c>
      <c r="V700" s="1">
        <f t="shared" si="304"/>
        <v>5500</v>
      </c>
    </row>
    <row r="701" spans="1:22" ht="21.95" customHeight="1" x14ac:dyDescent="0.25">
      <c r="A701" s="18" t="s">
        <v>998</v>
      </c>
      <c r="B701" s="25" t="s">
        <v>576</v>
      </c>
      <c r="C701" s="12">
        <f t="shared" si="297"/>
        <v>1733400</v>
      </c>
      <c r="D701" s="20">
        <f t="shared" si="302"/>
        <v>0</v>
      </c>
      <c r="E701" s="20">
        <v>0</v>
      </c>
      <c r="F701" s="20">
        <v>0</v>
      </c>
      <c r="G701" s="20">
        <v>0</v>
      </c>
      <c r="H701" s="20">
        <v>0</v>
      </c>
      <c r="I701" s="20">
        <v>0</v>
      </c>
      <c r="J701" s="20">
        <v>0</v>
      </c>
      <c r="K701" s="9">
        <v>0</v>
      </c>
      <c r="L701" s="8">
        <v>0</v>
      </c>
      <c r="M701" s="8">
        <v>278.8</v>
      </c>
      <c r="N701" s="20">
        <f t="shared" si="301"/>
        <v>1533400</v>
      </c>
      <c r="O701" s="8">
        <v>0</v>
      </c>
      <c r="P701" s="8">
        <v>0</v>
      </c>
      <c r="Q701" s="8">
        <v>0</v>
      </c>
      <c r="R701" s="20">
        <f t="shared" si="303"/>
        <v>0</v>
      </c>
      <c r="S701" s="8">
        <v>0</v>
      </c>
      <c r="T701" s="8">
        <v>0</v>
      </c>
      <c r="U701" s="8">
        <v>200000</v>
      </c>
      <c r="V701" s="1">
        <f t="shared" si="304"/>
        <v>5500</v>
      </c>
    </row>
    <row r="702" spans="1:22" ht="21.95" customHeight="1" x14ac:dyDescent="0.25">
      <c r="A702" s="18" t="s">
        <v>999</v>
      </c>
      <c r="B702" s="25" t="s">
        <v>577</v>
      </c>
      <c r="C702" s="12">
        <f t="shared" si="297"/>
        <v>1733400</v>
      </c>
      <c r="D702" s="20">
        <f t="shared" si="302"/>
        <v>0</v>
      </c>
      <c r="E702" s="20">
        <v>0</v>
      </c>
      <c r="F702" s="20">
        <v>0</v>
      </c>
      <c r="G702" s="20">
        <v>0</v>
      </c>
      <c r="H702" s="20">
        <v>0</v>
      </c>
      <c r="I702" s="20">
        <v>0</v>
      </c>
      <c r="J702" s="20">
        <v>0</v>
      </c>
      <c r="K702" s="9">
        <v>0</v>
      </c>
      <c r="L702" s="8">
        <v>0</v>
      </c>
      <c r="M702" s="8">
        <v>278.8</v>
      </c>
      <c r="N702" s="20">
        <f t="shared" si="301"/>
        <v>1533400</v>
      </c>
      <c r="O702" s="8">
        <v>0</v>
      </c>
      <c r="P702" s="8">
        <v>0</v>
      </c>
      <c r="Q702" s="8">
        <v>0</v>
      </c>
      <c r="R702" s="20">
        <f t="shared" si="303"/>
        <v>0</v>
      </c>
      <c r="S702" s="8">
        <v>0</v>
      </c>
      <c r="T702" s="8">
        <v>0</v>
      </c>
      <c r="U702" s="8">
        <v>200000</v>
      </c>
      <c r="V702" s="1">
        <f t="shared" si="304"/>
        <v>5500</v>
      </c>
    </row>
    <row r="703" spans="1:22" ht="21.95" customHeight="1" x14ac:dyDescent="0.25">
      <c r="A703" s="18" t="s">
        <v>1000</v>
      </c>
      <c r="B703" s="25" t="s">
        <v>426</v>
      </c>
      <c r="C703" s="12">
        <f t="shared" si="297"/>
        <v>4436685</v>
      </c>
      <c r="D703" s="20">
        <f t="shared" si="302"/>
        <v>740185</v>
      </c>
      <c r="E703" s="8">
        <f>350*400.1</f>
        <v>140035</v>
      </c>
      <c r="F703" s="8">
        <f>800*400.1</f>
        <v>320080</v>
      </c>
      <c r="G703" s="8">
        <f>300*400.1</f>
        <v>120030</v>
      </c>
      <c r="H703" s="8">
        <f>500*0</f>
        <v>0</v>
      </c>
      <c r="I703" s="8">
        <f>400*400.1</f>
        <v>160040</v>
      </c>
      <c r="J703" s="8">
        <f>350*0</f>
        <v>0</v>
      </c>
      <c r="K703" s="21">
        <v>0</v>
      </c>
      <c r="L703" s="20">
        <v>0</v>
      </c>
      <c r="M703" s="20">
        <v>403</v>
      </c>
      <c r="N703" s="20">
        <f t="shared" si="301"/>
        <v>2216500</v>
      </c>
      <c r="O703" s="20">
        <v>0</v>
      </c>
      <c r="P703" s="20">
        <v>0</v>
      </c>
      <c r="Q703" s="20">
        <v>460</v>
      </c>
      <c r="R703" s="20">
        <f t="shared" si="303"/>
        <v>1380000</v>
      </c>
      <c r="S703" s="20">
        <v>0</v>
      </c>
      <c r="T703" s="8">
        <v>0</v>
      </c>
      <c r="U703" s="20">
        <v>100000</v>
      </c>
      <c r="V703" s="1">
        <f t="shared" si="304"/>
        <v>5500</v>
      </c>
    </row>
    <row r="704" spans="1:22" ht="21.95" customHeight="1" x14ac:dyDescent="0.25">
      <c r="A704" s="18" t="s">
        <v>1001</v>
      </c>
      <c r="B704" s="25" t="s">
        <v>441</v>
      </c>
      <c r="C704" s="12">
        <f t="shared" si="297"/>
        <v>2421000</v>
      </c>
      <c r="D704" s="20">
        <f t="shared" si="302"/>
        <v>0</v>
      </c>
      <c r="E704" s="20">
        <v>0</v>
      </c>
      <c r="F704" s="20">
        <v>0</v>
      </c>
      <c r="G704" s="20">
        <v>0</v>
      </c>
      <c r="H704" s="20">
        <v>0</v>
      </c>
      <c r="I704" s="20">
        <v>0</v>
      </c>
      <c r="J704" s="20">
        <v>0</v>
      </c>
      <c r="K704" s="21">
        <v>0</v>
      </c>
      <c r="L704" s="20">
        <v>0</v>
      </c>
      <c r="M704" s="20">
        <v>422</v>
      </c>
      <c r="N704" s="20">
        <f t="shared" si="301"/>
        <v>2321000</v>
      </c>
      <c r="O704" s="20">
        <v>0</v>
      </c>
      <c r="P704" s="20">
        <v>0</v>
      </c>
      <c r="Q704" s="20">
        <v>0</v>
      </c>
      <c r="R704" s="20">
        <f t="shared" si="303"/>
        <v>0</v>
      </c>
      <c r="S704" s="20">
        <v>0</v>
      </c>
      <c r="T704" s="8">
        <v>0</v>
      </c>
      <c r="U704" s="20">
        <v>100000</v>
      </c>
      <c r="V704" s="1">
        <f t="shared" si="304"/>
        <v>5500</v>
      </c>
    </row>
    <row r="705" spans="1:22" ht="21.95" customHeight="1" x14ac:dyDescent="0.25">
      <c r="A705" s="18" t="s">
        <v>1002</v>
      </c>
      <c r="B705" s="25" t="s">
        <v>578</v>
      </c>
      <c r="C705" s="12">
        <f t="shared" si="297"/>
        <v>2697000</v>
      </c>
      <c r="D705" s="20">
        <f t="shared" si="302"/>
        <v>0</v>
      </c>
      <c r="E705" s="20">
        <v>0</v>
      </c>
      <c r="F705" s="20">
        <v>0</v>
      </c>
      <c r="G705" s="20">
        <v>0</v>
      </c>
      <c r="H705" s="20">
        <v>0</v>
      </c>
      <c r="I705" s="20">
        <v>0</v>
      </c>
      <c r="J705" s="20">
        <v>0</v>
      </c>
      <c r="K705" s="9">
        <v>0</v>
      </c>
      <c r="L705" s="8">
        <v>0</v>
      </c>
      <c r="M705" s="8">
        <v>454</v>
      </c>
      <c r="N705" s="20">
        <f t="shared" si="301"/>
        <v>2497000</v>
      </c>
      <c r="O705" s="8">
        <v>0</v>
      </c>
      <c r="P705" s="8">
        <v>0</v>
      </c>
      <c r="Q705" s="8">
        <v>0</v>
      </c>
      <c r="R705" s="20">
        <f t="shared" si="303"/>
        <v>0</v>
      </c>
      <c r="S705" s="8">
        <v>0</v>
      </c>
      <c r="T705" s="8">
        <v>0</v>
      </c>
      <c r="U705" s="8">
        <v>200000</v>
      </c>
      <c r="V705" s="1">
        <f t="shared" si="304"/>
        <v>5500</v>
      </c>
    </row>
    <row r="706" spans="1:22" ht="21.95" customHeight="1" x14ac:dyDescent="0.25">
      <c r="A706" s="18" t="s">
        <v>1003</v>
      </c>
      <c r="B706" s="25" t="s">
        <v>579</v>
      </c>
      <c r="C706" s="12">
        <f t="shared" si="297"/>
        <v>2697000</v>
      </c>
      <c r="D706" s="20">
        <f t="shared" si="302"/>
        <v>0</v>
      </c>
      <c r="E706" s="20">
        <v>0</v>
      </c>
      <c r="F706" s="20">
        <v>0</v>
      </c>
      <c r="G706" s="20">
        <v>0</v>
      </c>
      <c r="H706" s="20">
        <v>0</v>
      </c>
      <c r="I706" s="20">
        <v>0</v>
      </c>
      <c r="J706" s="20">
        <v>0</v>
      </c>
      <c r="K706" s="9">
        <v>0</v>
      </c>
      <c r="L706" s="8">
        <v>0</v>
      </c>
      <c r="M706" s="8">
        <v>454</v>
      </c>
      <c r="N706" s="20">
        <f t="shared" si="301"/>
        <v>2497000</v>
      </c>
      <c r="O706" s="8">
        <v>0</v>
      </c>
      <c r="P706" s="8">
        <v>0</v>
      </c>
      <c r="Q706" s="8">
        <v>0</v>
      </c>
      <c r="R706" s="20">
        <f t="shared" si="303"/>
        <v>0</v>
      </c>
      <c r="S706" s="8">
        <v>0</v>
      </c>
      <c r="T706" s="8">
        <v>0</v>
      </c>
      <c r="U706" s="8">
        <v>200000</v>
      </c>
      <c r="V706" s="1">
        <f t="shared" si="304"/>
        <v>5500</v>
      </c>
    </row>
    <row r="707" spans="1:22" ht="45" customHeight="1" x14ac:dyDescent="0.25">
      <c r="A707" s="63" t="s">
        <v>283</v>
      </c>
      <c r="B707" s="63"/>
      <c r="C707" s="12">
        <f t="shared" si="297"/>
        <v>12562425</v>
      </c>
      <c r="D707" s="12">
        <f t="shared" ref="D707:U707" si="305">SUM(D708:D710)</f>
        <v>1992375</v>
      </c>
      <c r="E707" s="12">
        <f t="shared" si="305"/>
        <v>357910</v>
      </c>
      <c r="F707" s="12">
        <f t="shared" si="305"/>
        <v>637840</v>
      </c>
      <c r="G707" s="12">
        <f t="shared" si="305"/>
        <v>279055</v>
      </c>
      <c r="H707" s="12">
        <f t="shared" si="305"/>
        <v>398650</v>
      </c>
      <c r="I707" s="12">
        <f t="shared" si="305"/>
        <v>318920</v>
      </c>
      <c r="J707" s="12">
        <f t="shared" si="305"/>
        <v>0</v>
      </c>
      <c r="K707" s="13">
        <f t="shared" si="305"/>
        <v>0</v>
      </c>
      <c r="L707" s="12">
        <f t="shared" si="305"/>
        <v>0</v>
      </c>
      <c r="M707" s="12">
        <f t="shared" si="305"/>
        <v>1011.0999999999999</v>
      </c>
      <c r="N707" s="12">
        <f t="shared" si="305"/>
        <v>5561050</v>
      </c>
      <c r="O707" s="12">
        <f t="shared" si="305"/>
        <v>220</v>
      </c>
      <c r="P707" s="12">
        <f t="shared" si="305"/>
        <v>264000</v>
      </c>
      <c r="Q707" s="12">
        <f t="shared" si="305"/>
        <v>1415</v>
      </c>
      <c r="R707" s="12">
        <f t="shared" si="305"/>
        <v>4245000</v>
      </c>
      <c r="S707" s="12">
        <f t="shared" si="305"/>
        <v>0</v>
      </c>
      <c r="T707" s="12">
        <f t="shared" si="305"/>
        <v>0</v>
      </c>
      <c r="U707" s="12">
        <f t="shared" si="305"/>
        <v>500000</v>
      </c>
    </row>
    <row r="708" spans="1:22" ht="21.95" customHeight="1" x14ac:dyDescent="0.25">
      <c r="A708" s="18" t="s">
        <v>1004</v>
      </c>
      <c r="B708" s="25" t="s">
        <v>284</v>
      </c>
      <c r="C708" s="12">
        <f t="shared" si="297"/>
        <v>4893140</v>
      </c>
      <c r="D708" s="20">
        <f t="shared" ref="D708:D710" si="306">SUM(E708:J708)</f>
        <v>984240</v>
      </c>
      <c r="E708" s="20">
        <f>350*410.1</f>
        <v>143535</v>
      </c>
      <c r="F708" s="20">
        <f>800*410.1</f>
        <v>328080</v>
      </c>
      <c r="G708" s="20">
        <f>350*410.1</f>
        <v>143535</v>
      </c>
      <c r="H708" s="20">
        <f>500*410.1</f>
        <v>205050</v>
      </c>
      <c r="I708" s="20">
        <f>400*410.1</f>
        <v>164040</v>
      </c>
      <c r="J708" s="20">
        <v>0</v>
      </c>
      <c r="K708" s="21">
        <v>0</v>
      </c>
      <c r="L708" s="20">
        <v>0</v>
      </c>
      <c r="M708" s="20">
        <v>386.4</v>
      </c>
      <c r="N708" s="20">
        <f t="shared" ref="N708:N710" si="307">M708*5500</f>
        <v>2125200</v>
      </c>
      <c r="O708" s="8">
        <v>110</v>
      </c>
      <c r="P708" s="8">
        <v>132000</v>
      </c>
      <c r="Q708" s="20">
        <v>483.9</v>
      </c>
      <c r="R708" s="20">
        <f t="shared" ref="R708:R710" si="308">Q708*3000</f>
        <v>1451700</v>
      </c>
      <c r="S708" s="20">
        <v>0</v>
      </c>
      <c r="T708" s="20">
        <v>0</v>
      </c>
      <c r="U708" s="20">
        <v>200000</v>
      </c>
      <c r="V708" s="1">
        <f t="shared" ref="V708:V710" si="309">N708/M708</f>
        <v>5500</v>
      </c>
    </row>
    <row r="709" spans="1:22" ht="21.95" customHeight="1" x14ac:dyDescent="0.25">
      <c r="A709" s="18" t="s">
        <v>1005</v>
      </c>
      <c r="B709" s="25" t="s">
        <v>285</v>
      </c>
      <c r="C709" s="12">
        <f t="shared" si="297"/>
        <v>4685130</v>
      </c>
      <c r="D709" s="20">
        <f t="shared" si="306"/>
        <v>929280</v>
      </c>
      <c r="E709" s="20">
        <f>350*387.2</f>
        <v>135520</v>
      </c>
      <c r="F709" s="20">
        <f>800*387.2</f>
        <v>309760</v>
      </c>
      <c r="G709" s="20">
        <f>350*387.2</f>
        <v>135520</v>
      </c>
      <c r="H709" s="20">
        <f>500*387.2</f>
        <v>193600</v>
      </c>
      <c r="I709" s="20">
        <f>400*387.2</f>
        <v>154880</v>
      </c>
      <c r="J709" s="20">
        <v>0</v>
      </c>
      <c r="K709" s="21">
        <v>0</v>
      </c>
      <c r="L709" s="20">
        <v>0</v>
      </c>
      <c r="M709" s="20">
        <v>368.5</v>
      </c>
      <c r="N709" s="20">
        <f t="shared" si="307"/>
        <v>2026750</v>
      </c>
      <c r="O709" s="8">
        <v>110</v>
      </c>
      <c r="P709" s="8">
        <v>132000</v>
      </c>
      <c r="Q709" s="20">
        <v>465.7</v>
      </c>
      <c r="R709" s="20">
        <f t="shared" si="308"/>
        <v>1397100</v>
      </c>
      <c r="S709" s="20">
        <v>0</v>
      </c>
      <c r="T709" s="20">
        <v>0</v>
      </c>
      <c r="U709" s="20">
        <v>200000</v>
      </c>
      <c r="V709" s="1">
        <f t="shared" si="309"/>
        <v>5500</v>
      </c>
    </row>
    <row r="710" spans="1:22" ht="21.95" customHeight="1" x14ac:dyDescent="0.25">
      <c r="A710" s="18" t="s">
        <v>1006</v>
      </c>
      <c r="B710" s="25" t="s">
        <v>309</v>
      </c>
      <c r="C710" s="12">
        <f t="shared" si="297"/>
        <v>2984155</v>
      </c>
      <c r="D710" s="20">
        <f t="shared" si="306"/>
        <v>78855</v>
      </c>
      <c r="E710" s="20">
        <f>350*225.3</f>
        <v>78855</v>
      </c>
      <c r="F710" s="20">
        <f>800*0</f>
        <v>0</v>
      </c>
      <c r="G710" s="20">
        <f>350*0</f>
        <v>0</v>
      </c>
      <c r="H710" s="20">
        <f>500*0</f>
        <v>0</v>
      </c>
      <c r="I710" s="20">
        <f>400*0</f>
        <v>0</v>
      </c>
      <c r="J710" s="20">
        <v>0</v>
      </c>
      <c r="K710" s="21">
        <v>0</v>
      </c>
      <c r="L710" s="20">
        <v>0</v>
      </c>
      <c r="M710" s="20">
        <v>256.2</v>
      </c>
      <c r="N710" s="20">
        <f t="shared" si="307"/>
        <v>1409100</v>
      </c>
      <c r="O710" s="20">
        <v>0</v>
      </c>
      <c r="P710" s="20">
        <v>0</v>
      </c>
      <c r="Q710" s="20">
        <v>465.4</v>
      </c>
      <c r="R710" s="20">
        <f t="shared" si="308"/>
        <v>1396200</v>
      </c>
      <c r="S710" s="20">
        <v>0</v>
      </c>
      <c r="T710" s="20">
        <v>0</v>
      </c>
      <c r="U710" s="20">
        <v>100000</v>
      </c>
      <c r="V710" s="1">
        <f t="shared" si="309"/>
        <v>5500</v>
      </c>
    </row>
    <row r="711" spans="1:22" ht="45" customHeight="1" x14ac:dyDescent="0.25">
      <c r="A711" s="63" t="s">
        <v>1596</v>
      </c>
      <c r="B711" s="63"/>
      <c r="C711" s="12">
        <f t="shared" si="297"/>
        <v>7615679</v>
      </c>
      <c r="D711" s="12">
        <f t="shared" ref="D711:U711" si="310">SUM(D712)</f>
        <v>926630</v>
      </c>
      <c r="E711" s="12">
        <f t="shared" si="310"/>
        <v>170695</v>
      </c>
      <c r="F711" s="12">
        <f t="shared" si="310"/>
        <v>390160</v>
      </c>
      <c r="G711" s="12">
        <f t="shared" si="310"/>
        <v>170695</v>
      </c>
      <c r="H711" s="12">
        <f t="shared" si="310"/>
        <v>0</v>
      </c>
      <c r="I711" s="12">
        <f t="shared" si="310"/>
        <v>195080</v>
      </c>
      <c r="J711" s="12">
        <f t="shared" si="310"/>
        <v>0</v>
      </c>
      <c r="K711" s="13">
        <f t="shared" si="310"/>
        <v>0</v>
      </c>
      <c r="L711" s="12">
        <f t="shared" si="310"/>
        <v>0</v>
      </c>
      <c r="M711" s="12">
        <f t="shared" si="310"/>
        <v>321.5</v>
      </c>
      <c r="N711" s="12">
        <f t="shared" si="310"/>
        <v>1185049</v>
      </c>
      <c r="O711" s="12">
        <f t="shared" si="310"/>
        <v>0</v>
      </c>
      <c r="P711" s="12">
        <f t="shared" si="310"/>
        <v>0</v>
      </c>
      <c r="Q711" s="12">
        <f t="shared" si="310"/>
        <v>1768</v>
      </c>
      <c r="R711" s="12">
        <f t="shared" si="310"/>
        <v>5304000</v>
      </c>
      <c r="S711" s="12">
        <f t="shared" si="310"/>
        <v>0</v>
      </c>
      <c r="T711" s="12">
        <f t="shared" si="310"/>
        <v>0</v>
      </c>
      <c r="U711" s="12">
        <f t="shared" si="310"/>
        <v>200000</v>
      </c>
    </row>
    <row r="712" spans="1:22" ht="21.95" customHeight="1" x14ac:dyDescent="0.25">
      <c r="A712" s="18" t="s">
        <v>1007</v>
      </c>
      <c r="B712" s="25" t="s">
        <v>1597</v>
      </c>
      <c r="C712" s="12">
        <f t="shared" si="297"/>
        <v>7615679</v>
      </c>
      <c r="D712" s="20">
        <f t="shared" ref="D712" si="311">SUM(E712:J712)</f>
        <v>926630</v>
      </c>
      <c r="E712" s="20">
        <f>350*487.7</f>
        <v>170695</v>
      </c>
      <c r="F712" s="20">
        <f>800*487.7</f>
        <v>390160</v>
      </c>
      <c r="G712" s="20">
        <f>350*487.7</f>
        <v>170695</v>
      </c>
      <c r="H712" s="20">
        <v>0</v>
      </c>
      <c r="I712" s="20">
        <f>400*487.7</f>
        <v>195080</v>
      </c>
      <c r="J712" s="20">
        <v>0</v>
      </c>
      <c r="K712" s="21">
        <v>0</v>
      </c>
      <c r="L712" s="20">
        <v>0</v>
      </c>
      <c r="M712" s="20">
        <v>321.5</v>
      </c>
      <c r="N712" s="20">
        <f>M712*3686</f>
        <v>1185049</v>
      </c>
      <c r="O712" s="8">
        <v>0</v>
      </c>
      <c r="P712" s="8">
        <v>0</v>
      </c>
      <c r="Q712" s="20">
        <v>1768</v>
      </c>
      <c r="R712" s="20">
        <f>Q712*3000</f>
        <v>5304000</v>
      </c>
      <c r="S712" s="20">
        <v>0</v>
      </c>
      <c r="T712" s="20">
        <v>0</v>
      </c>
      <c r="U712" s="20">
        <v>200000</v>
      </c>
      <c r="V712" s="1">
        <f t="shared" ref="V712" si="312">N712/M712</f>
        <v>3686</v>
      </c>
    </row>
    <row r="713" spans="1:22" ht="45" customHeight="1" x14ac:dyDescent="0.25">
      <c r="A713" s="63" t="s">
        <v>288</v>
      </c>
      <c r="B713" s="63"/>
      <c r="C713" s="12">
        <f t="shared" si="297"/>
        <v>7504400</v>
      </c>
      <c r="D713" s="12">
        <f t="shared" ref="D713:U713" si="313">SUM(D714:D715)</f>
        <v>1694400</v>
      </c>
      <c r="E713" s="12">
        <f t="shared" si="313"/>
        <v>247100</v>
      </c>
      <c r="F713" s="12">
        <f t="shared" si="313"/>
        <v>564800</v>
      </c>
      <c r="G713" s="12">
        <f t="shared" si="313"/>
        <v>247100</v>
      </c>
      <c r="H713" s="12">
        <f t="shared" si="313"/>
        <v>353000</v>
      </c>
      <c r="I713" s="12">
        <f t="shared" si="313"/>
        <v>282400</v>
      </c>
      <c r="J713" s="12">
        <f t="shared" si="313"/>
        <v>0</v>
      </c>
      <c r="K713" s="13">
        <f t="shared" si="313"/>
        <v>0</v>
      </c>
      <c r="L713" s="12">
        <f t="shared" si="313"/>
        <v>0</v>
      </c>
      <c r="M713" s="12">
        <f t="shared" si="313"/>
        <v>580</v>
      </c>
      <c r="N713" s="12">
        <f t="shared" si="313"/>
        <v>3190000</v>
      </c>
      <c r="O713" s="12">
        <f t="shared" si="313"/>
        <v>0</v>
      </c>
      <c r="P713" s="12">
        <f t="shared" si="313"/>
        <v>0</v>
      </c>
      <c r="Q713" s="12">
        <f t="shared" si="313"/>
        <v>740</v>
      </c>
      <c r="R713" s="12">
        <f t="shared" si="313"/>
        <v>2220000</v>
      </c>
      <c r="S713" s="12">
        <f t="shared" si="313"/>
        <v>0</v>
      </c>
      <c r="T713" s="12">
        <f t="shared" si="313"/>
        <v>0</v>
      </c>
      <c r="U713" s="12">
        <f t="shared" si="313"/>
        <v>400000</v>
      </c>
    </row>
    <row r="714" spans="1:22" ht="21.95" customHeight="1" x14ac:dyDescent="0.25">
      <c r="A714" s="18" t="s">
        <v>1008</v>
      </c>
      <c r="B714" s="25" t="s">
        <v>291</v>
      </c>
      <c r="C714" s="12">
        <f t="shared" si="297"/>
        <v>3622600</v>
      </c>
      <c r="D714" s="20">
        <f t="shared" ref="D714:D715" si="314">SUM(E714:J714)</f>
        <v>717600</v>
      </c>
      <c r="E714" s="20">
        <f>350*299</f>
        <v>104650</v>
      </c>
      <c r="F714" s="20">
        <f>800*299</f>
        <v>239200</v>
      </c>
      <c r="G714" s="20">
        <f>350*299</f>
        <v>104650</v>
      </c>
      <c r="H714" s="20">
        <f>500*299</f>
        <v>149500</v>
      </c>
      <c r="I714" s="20">
        <f>400*299</f>
        <v>119600</v>
      </c>
      <c r="J714" s="20">
        <v>0</v>
      </c>
      <c r="K714" s="21">
        <v>0</v>
      </c>
      <c r="L714" s="20">
        <v>0</v>
      </c>
      <c r="M714" s="20">
        <v>290</v>
      </c>
      <c r="N714" s="20">
        <f t="shared" ref="N714:N715" si="315">M714*5500</f>
        <v>1595000</v>
      </c>
      <c r="O714" s="20">
        <v>0</v>
      </c>
      <c r="P714" s="20">
        <v>0</v>
      </c>
      <c r="Q714" s="20">
        <v>370</v>
      </c>
      <c r="R714" s="20">
        <f t="shared" ref="R714:R715" si="316">Q714*3000</f>
        <v>1110000</v>
      </c>
      <c r="S714" s="20">
        <v>0</v>
      </c>
      <c r="T714" s="20">
        <v>0</v>
      </c>
      <c r="U714" s="20">
        <v>200000</v>
      </c>
      <c r="V714" s="1">
        <f t="shared" ref="V714:V715" si="317">N714/M714</f>
        <v>5500</v>
      </c>
    </row>
    <row r="715" spans="1:22" ht="21.95" customHeight="1" x14ac:dyDescent="0.25">
      <c r="A715" s="18" t="s">
        <v>1009</v>
      </c>
      <c r="B715" s="25" t="s">
        <v>292</v>
      </c>
      <c r="C715" s="12">
        <f t="shared" si="297"/>
        <v>3881800</v>
      </c>
      <c r="D715" s="20">
        <f t="shared" si="314"/>
        <v>976800</v>
      </c>
      <c r="E715" s="20">
        <f>350*407</f>
        <v>142450</v>
      </c>
      <c r="F715" s="20">
        <f>800*407</f>
        <v>325600</v>
      </c>
      <c r="G715" s="20">
        <f>350*407</f>
        <v>142450</v>
      </c>
      <c r="H715" s="20">
        <f>500*407</f>
        <v>203500</v>
      </c>
      <c r="I715" s="20">
        <f>400*407</f>
        <v>162800</v>
      </c>
      <c r="J715" s="20">
        <v>0</v>
      </c>
      <c r="K715" s="21">
        <v>0</v>
      </c>
      <c r="L715" s="20">
        <v>0</v>
      </c>
      <c r="M715" s="20">
        <v>290</v>
      </c>
      <c r="N715" s="20">
        <f t="shared" si="315"/>
        <v>1595000</v>
      </c>
      <c r="O715" s="20">
        <v>0</v>
      </c>
      <c r="P715" s="20">
        <v>0</v>
      </c>
      <c r="Q715" s="20">
        <v>370</v>
      </c>
      <c r="R715" s="20">
        <f t="shared" si="316"/>
        <v>1110000</v>
      </c>
      <c r="S715" s="20">
        <v>0</v>
      </c>
      <c r="T715" s="20">
        <v>0</v>
      </c>
      <c r="U715" s="20">
        <v>200000</v>
      </c>
      <c r="V715" s="1">
        <f t="shared" si="317"/>
        <v>5500</v>
      </c>
    </row>
    <row r="716" spans="1:22" ht="45" customHeight="1" x14ac:dyDescent="0.25">
      <c r="A716" s="63" t="s">
        <v>293</v>
      </c>
      <c r="B716" s="63"/>
      <c r="C716" s="12">
        <f>SUM(C717:C726)</f>
        <v>38509770</v>
      </c>
      <c r="D716" s="12">
        <f t="shared" ref="D716:U716" si="318">SUM(D717:D726)</f>
        <v>3830020</v>
      </c>
      <c r="E716" s="12">
        <f t="shared" si="318"/>
        <v>705530</v>
      </c>
      <c r="F716" s="12">
        <f t="shared" si="318"/>
        <v>1612640</v>
      </c>
      <c r="G716" s="12">
        <f t="shared" si="318"/>
        <v>705530</v>
      </c>
      <c r="H716" s="12">
        <f t="shared" si="318"/>
        <v>0</v>
      </c>
      <c r="I716" s="12">
        <f t="shared" si="318"/>
        <v>806320</v>
      </c>
      <c r="J716" s="12">
        <f t="shared" si="318"/>
        <v>0</v>
      </c>
      <c r="K716" s="12">
        <f t="shared" si="318"/>
        <v>0</v>
      </c>
      <c r="L716" s="12">
        <f t="shared" si="318"/>
        <v>0</v>
      </c>
      <c r="M716" s="12">
        <f t="shared" si="318"/>
        <v>3286.1</v>
      </c>
      <c r="N716" s="12">
        <f t="shared" si="318"/>
        <v>18073550</v>
      </c>
      <c r="O716" s="12">
        <f t="shared" si="318"/>
        <v>0</v>
      </c>
      <c r="P716" s="12">
        <f t="shared" si="318"/>
        <v>0</v>
      </c>
      <c r="Q716" s="12">
        <f t="shared" si="318"/>
        <v>5035.3999999999996</v>
      </c>
      <c r="R716" s="12">
        <f t="shared" si="318"/>
        <v>15106200</v>
      </c>
      <c r="S716" s="12">
        <f t="shared" si="318"/>
        <v>0</v>
      </c>
      <c r="T716" s="12">
        <f t="shared" si="318"/>
        <v>0</v>
      </c>
      <c r="U716" s="12">
        <f t="shared" si="318"/>
        <v>1500000</v>
      </c>
    </row>
    <row r="717" spans="1:22" ht="21.95" customHeight="1" x14ac:dyDescent="0.25">
      <c r="A717" s="18" t="s">
        <v>1010</v>
      </c>
      <c r="B717" s="25" t="s">
        <v>294</v>
      </c>
      <c r="C717" s="12">
        <f t="shared" si="297"/>
        <v>1976500</v>
      </c>
      <c r="D717" s="20">
        <f t="shared" ref="D717:D725" si="319">SUM(E717:J717)</f>
        <v>0</v>
      </c>
      <c r="E717" s="20">
        <v>0</v>
      </c>
      <c r="F717" s="20">
        <v>0</v>
      </c>
      <c r="G717" s="20">
        <v>0</v>
      </c>
      <c r="H717" s="20">
        <v>0</v>
      </c>
      <c r="I717" s="20">
        <v>0</v>
      </c>
      <c r="J717" s="20">
        <v>0</v>
      </c>
      <c r="K717" s="21">
        <v>0</v>
      </c>
      <c r="L717" s="20">
        <v>0</v>
      </c>
      <c r="M717" s="20">
        <v>323</v>
      </c>
      <c r="N717" s="20">
        <f t="shared" ref="N717:N722" si="320">M717*5500</f>
        <v>1776500</v>
      </c>
      <c r="O717" s="20">
        <v>0</v>
      </c>
      <c r="P717" s="20">
        <v>0</v>
      </c>
      <c r="Q717" s="20">
        <v>0</v>
      </c>
      <c r="R717" s="20">
        <f t="shared" ref="R717:R725" si="321">Q717*3000</f>
        <v>0</v>
      </c>
      <c r="S717" s="20">
        <v>0</v>
      </c>
      <c r="T717" s="20">
        <v>0</v>
      </c>
      <c r="U717" s="20">
        <v>200000</v>
      </c>
      <c r="V717" s="1">
        <f t="shared" ref="V717:V725" si="322">N717/M717</f>
        <v>5500</v>
      </c>
    </row>
    <row r="718" spans="1:22" ht="21.95" customHeight="1" x14ac:dyDescent="0.25">
      <c r="A718" s="18" t="s">
        <v>1011</v>
      </c>
      <c r="B718" s="25" t="s">
        <v>295</v>
      </c>
      <c r="C718" s="12">
        <f t="shared" si="297"/>
        <v>1960000</v>
      </c>
      <c r="D718" s="20">
        <f t="shared" si="319"/>
        <v>0</v>
      </c>
      <c r="E718" s="20">
        <v>0</v>
      </c>
      <c r="F718" s="20">
        <v>0</v>
      </c>
      <c r="G718" s="20">
        <v>0</v>
      </c>
      <c r="H718" s="20">
        <v>0</v>
      </c>
      <c r="I718" s="20">
        <v>0</v>
      </c>
      <c r="J718" s="20">
        <v>0</v>
      </c>
      <c r="K718" s="21">
        <v>0</v>
      </c>
      <c r="L718" s="20">
        <v>0</v>
      </c>
      <c r="M718" s="20">
        <v>320</v>
      </c>
      <c r="N718" s="20">
        <f t="shared" si="320"/>
        <v>1760000</v>
      </c>
      <c r="O718" s="20">
        <v>0</v>
      </c>
      <c r="P718" s="20">
        <v>0</v>
      </c>
      <c r="Q718" s="20">
        <v>0</v>
      </c>
      <c r="R718" s="20">
        <f t="shared" si="321"/>
        <v>0</v>
      </c>
      <c r="S718" s="20">
        <v>0</v>
      </c>
      <c r="T718" s="20">
        <v>0</v>
      </c>
      <c r="U718" s="20">
        <v>200000</v>
      </c>
      <c r="V718" s="1">
        <f t="shared" si="322"/>
        <v>5500</v>
      </c>
    </row>
    <row r="719" spans="1:22" ht="21.95" customHeight="1" x14ac:dyDescent="0.25">
      <c r="A719" s="18" t="s">
        <v>1012</v>
      </c>
      <c r="B719" s="25" t="s">
        <v>298</v>
      </c>
      <c r="C719" s="12">
        <f t="shared" si="297"/>
        <v>4924500</v>
      </c>
      <c r="D719" s="20">
        <f t="shared" si="319"/>
        <v>0</v>
      </c>
      <c r="E719" s="20">
        <v>0</v>
      </c>
      <c r="F719" s="20">
        <v>0</v>
      </c>
      <c r="G719" s="20">
        <v>0</v>
      </c>
      <c r="H719" s="20">
        <v>0</v>
      </c>
      <c r="I719" s="20">
        <v>0</v>
      </c>
      <c r="J719" s="20">
        <v>0</v>
      </c>
      <c r="K719" s="21">
        <v>0</v>
      </c>
      <c r="L719" s="20">
        <v>0</v>
      </c>
      <c r="M719" s="20">
        <v>419</v>
      </c>
      <c r="N719" s="20">
        <f t="shared" si="320"/>
        <v>2304500</v>
      </c>
      <c r="O719" s="20">
        <v>0</v>
      </c>
      <c r="P719" s="20">
        <v>0</v>
      </c>
      <c r="Q719" s="20">
        <v>840</v>
      </c>
      <c r="R719" s="20">
        <f t="shared" si="321"/>
        <v>2520000</v>
      </c>
      <c r="S719" s="20">
        <v>0</v>
      </c>
      <c r="T719" s="20">
        <v>0</v>
      </c>
      <c r="U719" s="20">
        <v>100000</v>
      </c>
      <c r="V719" s="1">
        <f t="shared" si="322"/>
        <v>5500</v>
      </c>
    </row>
    <row r="720" spans="1:22" ht="21.95" customHeight="1" x14ac:dyDescent="0.25">
      <c r="A720" s="18" t="s">
        <v>1013</v>
      </c>
      <c r="B720" s="25" t="s">
        <v>299</v>
      </c>
      <c r="C720" s="12">
        <f t="shared" si="297"/>
        <v>4968500</v>
      </c>
      <c r="D720" s="20">
        <f t="shared" si="319"/>
        <v>0</v>
      </c>
      <c r="E720" s="20">
        <v>0</v>
      </c>
      <c r="F720" s="20">
        <v>0</v>
      </c>
      <c r="G720" s="20">
        <v>0</v>
      </c>
      <c r="H720" s="20">
        <v>0</v>
      </c>
      <c r="I720" s="20">
        <v>0</v>
      </c>
      <c r="J720" s="20">
        <v>0</v>
      </c>
      <c r="K720" s="21">
        <v>0</v>
      </c>
      <c r="L720" s="20">
        <v>0</v>
      </c>
      <c r="M720" s="20">
        <v>427</v>
      </c>
      <c r="N720" s="20">
        <f t="shared" si="320"/>
        <v>2348500</v>
      </c>
      <c r="O720" s="20">
        <v>0</v>
      </c>
      <c r="P720" s="20">
        <v>0</v>
      </c>
      <c r="Q720" s="20">
        <v>840</v>
      </c>
      <c r="R720" s="20">
        <f t="shared" si="321"/>
        <v>2520000</v>
      </c>
      <c r="S720" s="20">
        <v>0</v>
      </c>
      <c r="T720" s="20">
        <v>0</v>
      </c>
      <c r="U720" s="20">
        <v>100000</v>
      </c>
      <c r="V720" s="1">
        <f t="shared" si="322"/>
        <v>5500</v>
      </c>
    </row>
    <row r="721" spans="1:22" ht="21.95" customHeight="1" x14ac:dyDescent="0.25">
      <c r="A721" s="18" t="s">
        <v>1014</v>
      </c>
      <c r="B721" s="25" t="s">
        <v>300</v>
      </c>
      <c r="C721" s="12">
        <f t="shared" si="297"/>
        <v>6112420</v>
      </c>
      <c r="D721" s="20">
        <f t="shared" si="319"/>
        <v>1076919.9999999998</v>
      </c>
      <c r="E721" s="20">
        <f>350*566.8</f>
        <v>198379.99999999997</v>
      </c>
      <c r="F721" s="20">
        <f>800*566.8</f>
        <v>453439.99999999994</v>
      </c>
      <c r="G721" s="20">
        <f>350*566.8</f>
        <v>198379.99999999997</v>
      </c>
      <c r="H721" s="20">
        <f>500*0</f>
        <v>0</v>
      </c>
      <c r="I721" s="20">
        <f>400*566.8</f>
        <v>226719.99999999997</v>
      </c>
      <c r="J721" s="20">
        <v>0</v>
      </c>
      <c r="K721" s="21">
        <v>0</v>
      </c>
      <c r="L721" s="20">
        <v>0</v>
      </c>
      <c r="M721" s="20">
        <v>421</v>
      </c>
      <c r="N721" s="20">
        <f t="shared" si="320"/>
        <v>2315500</v>
      </c>
      <c r="O721" s="20">
        <v>0</v>
      </c>
      <c r="P721" s="20">
        <v>0</v>
      </c>
      <c r="Q721" s="20">
        <v>840</v>
      </c>
      <c r="R721" s="20">
        <f t="shared" si="321"/>
        <v>2520000</v>
      </c>
      <c r="S721" s="20">
        <v>0</v>
      </c>
      <c r="T721" s="20">
        <v>0</v>
      </c>
      <c r="U721" s="20">
        <v>200000</v>
      </c>
      <c r="V721" s="1">
        <f t="shared" si="322"/>
        <v>5500</v>
      </c>
    </row>
    <row r="722" spans="1:22" ht="21.95" customHeight="1" x14ac:dyDescent="0.25">
      <c r="A722" s="18" t="s">
        <v>1015</v>
      </c>
      <c r="B722" s="25" t="s">
        <v>301</v>
      </c>
      <c r="C722" s="12">
        <f t="shared" si="297"/>
        <v>2355000</v>
      </c>
      <c r="D722" s="20">
        <f t="shared" si="319"/>
        <v>0</v>
      </c>
      <c r="E722" s="20">
        <v>0</v>
      </c>
      <c r="F722" s="20">
        <v>0</v>
      </c>
      <c r="G722" s="20">
        <v>0</v>
      </c>
      <c r="H722" s="20">
        <v>0</v>
      </c>
      <c r="I722" s="20">
        <v>0</v>
      </c>
      <c r="J722" s="20">
        <v>0</v>
      </c>
      <c r="K722" s="21">
        <v>0</v>
      </c>
      <c r="L722" s="20">
        <v>0</v>
      </c>
      <c r="M722" s="20">
        <v>410</v>
      </c>
      <c r="N722" s="20">
        <f t="shared" si="320"/>
        <v>2255000</v>
      </c>
      <c r="O722" s="20">
        <v>0</v>
      </c>
      <c r="P722" s="20">
        <v>0</v>
      </c>
      <c r="Q722" s="20">
        <v>0</v>
      </c>
      <c r="R722" s="20">
        <f t="shared" si="321"/>
        <v>0</v>
      </c>
      <c r="S722" s="20">
        <v>0</v>
      </c>
      <c r="T722" s="20">
        <v>0</v>
      </c>
      <c r="U722" s="20">
        <v>100000</v>
      </c>
      <c r="V722" s="1">
        <f t="shared" si="322"/>
        <v>5500</v>
      </c>
    </row>
    <row r="723" spans="1:22" ht="21.95" customHeight="1" x14ac:dyDescent="0.25">
      <c r="A723" s="18" t="s">
        <v>1016</v>
      </c>
      <c r="B723" s="25" t="s">
        <v>303</v>
      </c>
      <c r="C723" s="12">
        <f t="shared" si="297"/>
        <v>3614980</v>
      </c>
      <c r="D723" s="20">
        <f t="shared" si="319"/>
        <v>1014980.0000000001</v>
      </c>
      <c r="E723" s="20">
        <f>350*534.2</f>
        <v>186970.00000000003</v>
      </c>
      <c r="F723" s="20">
        <f>800*534.2</f>
        <v>427360.00000000006</v>
      </c>
      <c r="G723" s="20">
        <f>350*534.2</f>
        <v>186970.00000000003</v>
      </c>
      <c r="H723" s="20">
        <f>500*0</f>
        <v>0</v>
      </c>
      <c r="I723" s="20">
        <f>400*534.2</f>
        <v>213680.00000000003</v>
      </c>
      <c r="J723" s="20">
        <v>0</v>
      </c>
      <c r="K723" s="21">
        <v>0</v>
      </c>
      <c r="L723" s="20">
        <v>0</v>
      </c>
      <c r="M723" s="20">
        <v>0</v>
      </c>
      <c r="N723" s="20">
        <v>0</v>
      </c>
      <c r="O723" s="20">
        <v>0</v>
      </c>
      <c r="P723" s="20">
        <v>0</v>
      </c>
      <c r="Q723" s="20">
        <v>800</v>
      </c>
      <c r="R723" s="20">
        <f t="shared" si="321"/>
        <v>2400000</v>
      </c>
      <c r="S723" s="20">
        <v>0</v>
      </c>
      <c r="T723" s="20">
        <v>0</v>
      </c>
      <c r="U723" s="20">
        <v>200000</v>
      </c>
      <c r="V723" s="1" t="e">
        <f t="shared" si="322"/>
        <v>#DIV/0!</v>
      </c>
    </row>
    <row r="724" spans="1:22" ht="21.95" customHeight="1" x14ac:dyDescent="0.25">
      <c r="A724" s="18" t="s">
        <v>1017</v>
      </c>
      <c r="B724" s="25" t="s">
        <v>304</v>
      </c>
      <c r="C724" s="12">
        <f t="shared" si="297"/>
        <v>3049550</v>
      </c>
      <c r="D724" s="20">
        <f t="shared" si="319"/>
        <v>0</v>
      </c>
      <c r="E724" s="20">
        <v>0</v>
      </c>
      <c r="F724" s="20">
        <v>0</v>
      </c>
      <c r="G724" s="20">
        <v>0</v>
      </c>
      <c r="H724" s="20">
        <v>0</v>
      </c>
      <c r="I724" s="20">
        <v>0</v>
      </c>
      <c r="J724" s="20">
        <v>0</v>
      </c>
      <c r="K724" s="21">
        <v>0</v>
      </c>
      <c r="L724" s="20">
        <v>0</v>
      </c>
      <c r="M724" s="20">
        <v>518.1</v>
      </c>
      <c r="N724" s="20">
        <f t="shared" ref="N724" si="323">M724*5500</f>
        <v>2849550</v>
      </c>
      <c r="O724" s="20">
        <v>0</v>
      </c>
      <c r="P724" s="20">
        <v>0</v>
      </c>
      <c r="Q724" s="20">
        <v>0</v>
      </c>
      <c r="R724" s="20">
        <f t="shared" si="321"/>
        <v>0</v>
      </c>
      <c r="S724" s="20">
        <v>0</v>
      </c>
      <c r="T724" s="20">
        <v>0</v>
      </c>
      <c r="U724" s="20">
        <v>200000</v>
      </c>
      <c r="V724" s="1">
        <f t="shared" si="322"/>
        <v>5500</v>
      </c>
    </row>
    <row r="725" spans="1:22" ht="21.95" customHeight="1" x14ac:dyDescent="0.25">
      <c r="A725" s="18" t="s">
        <v>1018</v>
      </c>
      <c r="B725" s="25" t="s">
        <v>305</v>
      </c>
      <c r="C725" s="12">
        <f t="shared" si="297"/>
        <v>3625990</v>
      </c>
      <c r="D725" s="20">
        <f t="shared" si="319"/>
        <v>1010990</v>
      </c>
      <c r="E725" s="20">
        <f>350*532.1</f>
        <v>186235</v>
      </c>
      <c r="F725" s="20">
        <f>800*532.1</f>
        <v>425680</v>
      </c>
      <c r="G725" s="20">
        <f>350*532.1</f>
        <v>186235</v>
      </c>
      <c r="H725" s="20">
        <f>500*0</f>
        <v>0</v>
      </c>
      <c r="I725" s="20">
        <f>400*532.1</f>
        <v>212840</v>
      </c>
      <c r="J725" s="20">
        <v>0</v>
      </c>
      <c r="K725" s="21">
        <v>0</v>
      </c>
      <c r="L725" s="20">
        <v>0</v>
      </c>
      <c r="M725" s="20">
        <v>0</v>
      </c>
      <c r="N725" s="20">
        <v>0</v>
      </c>
      <c r="O725" s="20">
        <v>0</v>
      </c>
      <c r="P725" s="20">
        <v>0</v>
      </c>
      <c r="Q725" s="20">
        <v>805</v>
      </c>
      <c r="R725" s="20">
        <f t="shared" si="321"/>
        <v>2415000</v>
      </c>
      <c r="S725" s="20">
        <v>0</v>
      </c>
      <c r="T725" s="20">
        <v>0</v>
      </c>
      <c r="U725" s="20">
        <v>200000</v>
      </c>
      <c r="V725" s="1" t="e">
        <f t="shared" si="322"/>
        <v>#DIV/0!</v>
      </c>
    </row>
    <row r="726" spans="1:22" ht="23.1" customHeight="1" x14ac:dyDescent="0.25">
      <c r="A726" s="18" t="s">
        <v>1019</v>
      </c>
      <c r="B726" s="25" t="s">
        <v>302</v>
      </c>
      <c r="C726" s="12">
        <f>D726+L726+N726+P726+R726+S726+T726+U726</f>
        <v>5922330</v>
      </c>
      <c r="D726" s="20">
        <f>SUM(E726:J726)</f>
        <v>727130</v>
      </c>
      <c r="E726" s="20">
        <f>350*382.7</f>
        <v>133945</v>
      </c>
      <c r="F726" s="20">
        <f>800*382.7</f>
        <v>306160</v>
      </c>
      <c r="G726" s="20">
        <f>350*382.7</f>
        <v>133945</v>
      </c>
      <c r="H726" s="20">
        <f>500*0</f>
        <v>0</v>
      </c>
      <c r="I726" s="20">
        <f>400*382.7</f>
        <v>153080</v>
      </c>
      <c r="J726" s="20">
        <v>0</v>
      </c>
      <c r="K726" s="21">
        <v>0</v>
      </c>
      <c r="L726" s="20">
        <v>0</v>
      </c>
      <c r="M726" s="20">
        <v>448</v>
      </c>
      <c r="N726" s="20">
        <f>M726*5500</f>
        <v>2464000</v>
      </c>
      <c r="O726" s="20">
        <v>0</v>
      </c>
      <c r="P726" s="20">
        <v>0</v>
      </c>
      <c r="Q726" s="20">
        <v>910.4</v>
      </c>
      <c r="R726" s="20">
        <f>Q726*3000</f>
        <v>2731200</v>
      </c>
      <c r="S726" s="20">
        <v>0</v>
      </c>
      <c r="T726" s="20">
        <v>0</v>
      </c>
      <c r="U726" s="20">
        <v>0</v>
      </c>
      <c r="V726" s="1">
        <f>N726/M726</f>
        <v>5500</v>
      </c>
    </row>
    <row r="727" spans="1:22" ht="45" customHeight="1" x14ac:dyDescent="0.25">
      <c r="A727" s="63" t="s">
        <v>311</v>
      </c>
      <c r="B727" s="63"/>
      <c r="C727" s="12">
        <f t="shared" si="297"/>
        <v>3772924</v>
      </c>
      <c r="D727" s="12">
        <f t="shared" ref="D727:U727" si="324">SUM(D728)</f>
        <v>184184</v>
      </c>
      <c r="E727" s="12">
        <f t="shared" si="324"/>
        <v>184184</v>
      </c>
      <c r="F727" s="12">
        <f t="shared" si="324"/>
        <v>0</v>
      </c>
      <c r="G727" s="12">
        <f t="shared" si="324"/>
        <v>0</v>
      </c>
      <c r="H727" s="12">
        <f t="shared" si="324"/>
        <v>0</v>
      </c>
      <c r="I727" s="12">
        <f t="shared" si="324"/>
        <v>0</v>
      </c>
      <c r="J727" s="12">
        <f t="shared" si="324"/>
        <v>0</v>
      </c>
      <c r="K727" s="13">
        <f t="shared" si="324"/>
        <v>0</v>
      </c>
      <c r="L727" s="12">
        <f t="shared" si="324"/>
        <v>0</v>
      </c>
      <c r="M727" s="12">
        <f t="shared" si="324"/>
        <v>355.2</v>
      </c>
      <c r="N727" s="12">
        <f t="shared" si="324"/>
        <v>1953600</v>
      </c>
      <c r="O727" s="12">
        <f t="shared" si="324"/>
        <v>0</v>
      </c>
      <c r="P727" s="12">
        <f t="shared" si="324"/>
        <v>0</v>
      </c>
      <c r="Q727" s="12">
        <f t="shared" si="324"/>
        <v>428.4</v>
      </c>
      <c r="R727" s="12">
        <f t="shared" si="324"/>
        <v>1285200</v>
      </c>
      <c r="S727" s="12">
        <f t="shared" si="324"/>
        <v>149940</v>
      </c>
      <c r="T727" s="12">
        <f t="shared" si="324"/>
        <v>0</v>
      </c>
      <c r="U727" s="12">
        <f t="shared" si="324"/>
        <v>200000</v>
      </c>
    </row>
    <row r="728" spans="1:22" ht="21.95" customHeight="1" x14ac:dyDescent="0.25">
      <c r="A728" s="26" t="s">
        <v>1020</v>
      </c>
      <c r="B728" s="25" t="s">
        <v>315</v>
      </c>
      <c r="C728" s="12">
        <f t="shared" ref="C728:C761" si="325">D728+L728+N728+P728+R728+S728+T728+U728</f>
        <v>3772924</v>
      </c>
      <c r="D728" s="20">
        <f t="shared" ref="D728" si="326">SUM(E728:J728)</f>
        <v>184184</v>
      </c>
      <c r="E728" s="8">
        <f>526.24*350</f>
        <v>184184</v>
      </c>
      <c r="F728" s="8">
        <v>0</v>
      </c>
      <c r="G728" s="8">
        <v>0</v>
      </c>
      <c r="H728" s="8">
        <v>0</v>
      </c>
      <c r="I728" s="8">
        <v>0</v>
      </c>
      <c r="J728" s="8">
        <v>0</v>
      </c>
      <c r="K728" s="9">
        <v>0</v>
      </c>
      <c r="L728" s="8">
        <v>0</v>
      </c>
      <c r="M728" s="8">
        <v>355.2</v>
      </c>
      <c r="N728" s="20">
        <f t="shared" ref="N728" si="327">M728*5500</f>
        <v>1953600</v>
      </c>
      <c r="O728" s="8">
        <v>0</v>
      </c>
      <c r="P728" s="8">
        <v>0</v>
      </c>
      <c r="Q728" s="8">
        <v>428.4</v>
      </c>
      <c r="R728" s="20">
        <f>Q728*3000</f>
        <v>1285200</v>
      </c>
      <c r="S728" s="8">
        <v>149940</v>
      </c>
      <c r="T728" s="8">
        <v>0</v>
      </c>
      <c r="U728" s="8">
        <v>200000</v>
      </c>
      <c r="V728" s="1">
        <f t="shared" ref="V728" si="328">N728/M728</f>
        <v>5500</v>
      </c>
    </row>
    <row r="729" spans="1:22" ht="45" customHeight="1" x14ac:dyDescent="0.25">
      <c r="A729" s="63" t="s">
        <v>316</v>
      </c>
      <c r="B729" s="63"/>
      <c r="C729" s="12">
        <f t="shared" si="325"/>
        <v>10227195</v>
      </c>
      <c r="D729" s="12">
        <f t="shared" ref="D729:U729" si="329">SUM(D730:D732)</f>
        <v>507325</v>
      </c>
      <c r="E729" s="12">
        <f t="shared" si="329"/>
        <v>507325</v>
      </c>
      <c r="F729" s="12">
        <f t="shared" si="329"/>
        <v>0</v>
      </c>
      <c r="G729" s="12">
        <f t="shared" si="329"/>
        <v>0</v>
      </c>
      <c r="H729" s="12">
        <f t="shared" si="329"/>
        <v>0</v>
      </c>
      <c r="I729" s="12">
        <f t="shared" si="329"/>
        <v>0</v>
      </c>
      <c r="J729" s="12">
        <f t="shared" si="329"/>
        <v>0</v>
      </c>
      <c r="K729" s="13">
        <f t="shared" si="329"/>
        <v>0</v>
      </c>
      <c r="L729" s="12">
        <f t="shared" si="329"/>
        <v>0</v>
      </c>
      <c r="M729" s="12">
        <f t="shared" si="329"/>
        <v>900</v>
      </c>
      <c r="N729" s="12">
        <f t="shared" si="329"/>
        <v>4950000</v>
      </c>
      <c r="O729" s="12">
        <f t="shared" si="329"/>
        <v>0</v>
      </c>
      <c r="P729" s="12">
        <f t="shared" si="329"/>
        <v>0</v>
      </c>
      <c r="Q729" s="12">
        <f t="shared" si="329"/>
        <v>1287</v>
      </c>
      <c r="R729" s="12">
        <f t="shared" si="329"/>
        <v>3861000</v>
      </c>
      <c r="S729" s="12">
        <f t="shared" si="329"/>
        <v>408870</v>
      </c>
      <c r="T729" s="12">
        <f t="shared" si="329"/>
        <v>0</v>
      </c>
      <c r="U729" s="12">
        <f t="shared" si="329"/>
        <v>500000</v>
      </c>
    </row>
    <row r="730" spans="1:22" ht="21.95" customHeight="1" x14ac:dyDescent="0.25">
      <c r="A730" s="26" t="s">
        <v>1021</v>
      </c>
      <c r="B730" s="25" t="s">
        <v>317</v>
      </c>
      <c r="C730" s="12">
        <f t="shared" si="325"/>
        <v>3329120</v>
      </c>
      <c r="D730" s="20">
        <f t="shared" ref="D730:D732" si="330">SUM(E730:J730)</f>
        <v>205800</v>
      </c>
      <c r="E730" s="8">
        <f>588*350</f>
        <v>205800</v>
      </c>
      <c r="F730" s="8">
        <v>0</v>
      </c>
      <c r="G730" s="8">
        <v>0</v>
      </c>
      <c r="H730" s="8">
        <v>0</v>
      </c>
      <c r="I730" s="8">
        <v>0</v>
      </c>
      <c r="J730" s="8">
        <v>0</v>
      </c>
      <c r="K730" s="9">
        <v>0</v>
      </c>
      <c r="L730" s="8">
        <v>0</v>
      </c>
      <c r="M730" s="8">
        <v>270</v>
      </c>
      <c r="N730" s="20">
        <f t="shared" ref="N730:N732" si="331">M730*5500</f>
        <v>1485000</v>
      </c>
      <c r="O730" s="8">
        <v>0</v>
      </c>
      <c r="P730" s="8">
        <v>0</v>
      </c>
      <c r="Q730" s="8">
        <v>431</v>
      </c>
      <c r="R730" s="20">
        <f t="shared" ref="R730:R732" si="332">Q730*3000</f>
        <v>1293000</v>
      </c>
      <c r="S730" s="8">
        <v>145320</v>
      </c>
      <c r="T730" s="8">
        <v>0</v>
      </c>
      <c r="U730" s="8">
        <v>200000</v>
      </c>
      <c r="V730" s="1">
        <f t="shared" ref="V730:V732" si="333">N730/M730</f>
        <v>5500</v>
      </c>
    </row>
    <row r="731" spans="1:22" ht="21.95" customHeight="1" x14ac:dyDescent="0.25">
      <c r="A731" s="26" t="s">
        <v>1022</v>
      </c>
      <c r="B731" s="25" t="s">
        <v>318</v>
      </c>
      <c r="C731" s="12">
        <f t="shared" si="325"/>
        <v>2322900</v>
      </c>
      <c r="D731" s="20">
        <f t="shared" si="330"/>
        <v>107800</v>
      </c>
      <c r="E731" s="8">
        <f>308*350</f>
        <v>107800</v>
      </c>
      <c r="F731" s="8">
        <v>0</v>
      </c>
      <c r="G731" s="8">
        <v>0</v>
      </c>
      <c r="H731" s="8">
        <v>0</v>
      </c>
      <c r="I731" s="8">
        <v>0</v>
      </c>
      <c r="J731" s="8">
        <v>0</v>
      </c>
      <c r="K731" s="9">
        <v>0</v>
      </c>
      <c r="L731" s="8">
        <v>0</v>
      </c>
      <c r="M731" s="8">
        <v>180</v>
      </c>
      <c r="N731" s="20">
        <f t="shared" si="331"/>
        <v>990000</v>
      </c>
      <c r="O731" s="8">
        <v>0</v>
      </c>
      <c r="P731" s="8">
        <v>0</v>
      </c>
      <c r="Q731" s="8">
        <v>306</v>
      </c>
      <c r="R731" s="20">
        <f t="shared" si="332"/>
        <v>918000</v>
      </c>
      <c r="S731" s="8">
        <v>107100</v>
      </c>
      <c r="T731" s="8">
        <v>0</v>
      </c>
      <c r="U731" s="8">
        <v>200000</v>
      </c>
      <c r="V731" s="1">
        <f t="shared" si="333"/>
        <v>5500</v>
      </c>
    </row>
    <row r="732" spans="1:22" ht="21.95" customHeight="1" x14ac:dyDescent="0.25">
      <c r="A732" s="26" t="s">
        <v>1023</v>
      </c>
      <c r="B732" s="25" t="s">
        <v>320</v>
      </c>
      <c r="C732" s="12">
        <f t="shared" si="325"/>
        <v>4575175</v>
      </c>
      <c r="D732" s="20">
        <f t="shared" si="330"/>
        <v>193725</v>
      </c>
      <c r="E732" s="20">
        <f>553.5*350</f>
        <v>193725</v>
      </c>
      <c r="F732" s="8">
        <v>0</v>
      </c>
      <c r="G732" s="8">
        <v>0</v>
      </c>
      <c r="H732" s="8">
        <v>0</v>
      </c>
      <c r="I732" s="8">
        <v>0</v>
      </c>
      <c r="J732" s="8">
        <v>0</v>
      </c>
      <c r="K732" s="21">
        <v>0</v>
      </c>
      <c r="L732" s="20">
        <v>0</v>
      </c>
      <c r="M732" s="8">
        <v>450</v>
      </c>
      <c r="N732" s="20">
        <f t="shared" si="331"/>
        <v>2475000</v>
      </c>
      <c r="O732" s="20">
        <v>0</v>
      </c>
      <c r="P732" s="20">
        <v>0</v>
      </c>
      <c r="Q732" s="20">
        <v>550</v>
      </c>
      <c r="R732" s="20">
        <f t="shared" si="332"/>
        <v>1650000</v>
      </c>
      <c r="S732" s="20">
        <v>156450</v>
      </c>
      <c r="T732" s="20">
        <v>0</v>
      </c>
      <c r="U732" s="20">
        <v>100000</v>
      </c>
      <c r="V732" s="1">
        <f t="shared" si="333"/>
        <v>5500</v>
      </c>
    </row>
    <row r="733" spans="1:22" ht="45" customHeight="1" x14ac:dyDescent="0.25">
      <c r="A733" s="63" t="s">
        <v>1208</v>
      </c>
      <c r="B733" s="63"/>
      <c r="C733" s="12">
        <f t="shared" si="325"/>
        <v>2656900</v>
      </c>
      <c r="D733" s="12">
        <f t="shared" ref="D733:U733" si="334">SUM(D734)</f>
        <v>402500</v>
      </c>
      <c r="E733" s="12">
        <f t="shared" si="334"/>
        <v>122500</v>
      </c>
      <c r="F733" s="12">
        <f t="shared" si="334"/>
        <v>280000</v>
      </c>
      <c r="G733" s="12">
        <f t="shared" si="334"/>
        <v>0</v>
      </c>
      <c r="H733" s="12">
        <f t="shared" si="334"/>
        <v>0</v>
      </c>
      <c r="I733" s="12">
        <f t="shared" si="334"/>
        <v>0</v>
      </c>
      <c r="J733" s="12">
        <f t="shared" si="334"/>
        <v>0</v>
      </c>
      <c r="K733" s="13">
        <f t="shared" si="334"/>
        <v>0</v>
      </c>
      <c r="L733" s="12">
        <f t="shared" si="334"/>
        <v>0</v>
      </c>
      <c r="M733" s="12">
        <f t="shared" si="334"/>
        <v>240</v>
      </c>
      <c r="N733" s="12">
        <f t="shared" si="334"/>
        <v>1320000</v>
      </c>
      <c r="O733" s="12">
        <f t="shared" si="334"/>
        <v>0</v>
      </c>
      <c r="P733" s="12">
        <f t="shared" si="334"/>
        <v>0</v>
      </c>
      <c r="Q733" s="12">
        <f t="shared" si="334"/>
        <v>244.8</v>
      </c>
      <c r="R733" s="12">
        <f t="shared" si="334"/>
        <v>734400</v>
      </c>
      <c r="S733" s="12">
        <f t="shared" si="334"/>
        <v>0</v>
      </c>
      <c r="T733" s="12">
        <f t="shared" si="334"/>
        <v>0</v>
      </c>
      <c r="U733" s="12">
        <f t="shared" si="334"/>
        <v>200000</v>
      </c>
    </row>
    <row r="734" spans="1:22" ht="21.95" customHeight="1" x14ac:dyDescent="0.25">
      <c r="A734" s="18" t="s">
        <v>1024</v>
      </c>
      <c r="B734" s="25" t="s">
        <v>325</v>
      </c>
      <c r="C734" s="12">
        <f t="shared" si="325"/>
        <v>2656900</v>
      </c>
      <c r="D734" s="20">
        <f t="shared" ref="D734" si="335">SUM(E734:J734)</f>
        <v>402500</v>
      </c>
      <c r="E734" s="20">
        <f>350*350</f>
        <v>122500</v>
      </c>
      <c r="F734" s="20">
        <f>800*350</f>
        <v>280000</v>
      </c>
      <c r="G734" s="20">
        <f>350*0</f>
        <v>0</v>
      </c>
      <c r="H734" s="20">
        <f>500*0</f>
        <v>0</v>
      </c>
      <c r="I734" s="20">
        <f>400*0</f>
        <v>0</v>
      </c>
      <c r="J734" s="20">
        <v>0</v>
      </c>
      <c r="K734" s="21">
        <v>0</v>
      </c>
      <c r="L734" s="20">
        <v>0</v>
      </c>
      <c r="M734" s="20">
        <v>240</v>
      </c>
      <c r="N734" s="20">
        <f t="shared" ref="N734" si="336">M734*5500</f>
        <v>1320000</v>
      </c>
      <c r="O734" s="20">
        <v>0</v>
      </c>
      <c r="P734" s="20">
        <v>0</v>
      </c>
      <c r="Q734" s="20">
        <v>244.8</v>
      </c>
      <c r="R734" s="20">
        <f>Q734*3000</f>
        <v>734400</v>
      </c>
      <c r="S734" s="20">
        <v>0</v>
      </c>
      <c r="T734" s="20">
        <v>0</v>
      </c>
      <c r="U734" s="20">
        <v>200000</v>
      </c>
      <c r="V734" s="1">
        <f t="shared" ref="V734" si="337">N734/M734</f>
        <v>5500</v>
      </c>
    </row>
    <row r="735" spans="1:22" ht="45" customHeight="1" x14ac:dyDescent="0.25">
      <c r="A735" s="63" t="s">
        <v>328</v>
      </c>
      <c r="B735" s="63"/>
      <c r="C735" s="12">
        <f t="shared" si="325"/>
        <v>10534100</v>
      </c>
      <c r="D735" s="12">
        <f t="shared" ref="D735:U735" si="338">SUM(D736:D738)</f>
        <v>1118490</v>
      </c>
      <c r="E735" s="12">
        <f t="shared" si="338"/>
        <v>340410</v>
      </c>
      <c r="F735" s="12">
        <f t="shared" si="338"/>
        <v>778080</v>
      </c>
      <c r="G735" s="12">
        <f t="shared" si="338"/>
        <v>0</v>
      </c>
      <c r="H735" s="12">
        <f t="shared" si="338"/>
        <v>0</v>
      </c>
      <c r="I735" s="12">
        <f t="shared" si="338"/>
        <v>0</v>
      </c>
      <c r="J735" s="12">
        <f t="shared" si="338"/>
        <v>0</v>
      </c>
      <c r="K735" s="13">
        <f t="shared" si="338"/>
        <v>0</v>
      </c>
      <c r="L735" s="12">
        <f t="shared" si="338"/>
        <v>0</v>
      </c>
      <c r="M735" s="12">
        <f t="shared" si="338"/>
        <v>1282.6199999999999</v>
      </c>
      <c r="N735" s="12">
        <f t="shared" si="338"/>
        <v>7054410</v>
      </c>
      <c r="O735" s="12">
        <f t="shared" si="338"/>
        <v>0</v>
      </c>
      <c r="P735" s="12">
        <f t="shared" si="338"/>
        <v>0</v>
      </c>
      <c r="Q735" s="12">
        <f t="shared" si="338"/>
        <v>528</v>
      </c>
      <c r="R735" s="12">
        <f t="shared" si="338"/>
        <v>1584000</v>
      </c>
      <c r="S735" s="12">
        <f t="shared" si="338"/>
        <v>277200</v>
      </c>
      <c r="T735" s="12">
        <f t="shared" si="338"/>
        <v>0</v>
      </c>
      <c r="U735" s="12">
        <f t="shared" si="338"/>
        <v>500000</v>
      </c>
    </row>
    <row r="736" spans="1:22" ht="21.95" customHeight="1" x14ac:dyDescent="0.25">
      <c r="A736" s="18" t="s">
        <v>1025</v>
      </c>
      <c r="B736" s="25" t="s">
        <v>329</v>
      </c>
      <c r="C736" s="12">
        <f t="shared" si="325"/>
        <v>5582145</v>
      </c>
      <c r="D736" s="20">
        <f t="shared" ref="D736:D738" si="339">SUM(E736:J736)</f>
        <v>1118490</v>
      </c>
      <c r="E736" s="20">
        <f>350*972.6</f>
        <v>340410</v>
      </c>
      <c r="F736" s="20">
        <f>800*972.6</f>
        <v>778080</v>
      </c>
      <c r="G736" s="20">
        <f>350*0</f>
        <v>0</v>
      </c>
      <c r="H736" s="20">
        <f>500*0</f>
        <v>0</v>
      </c>
      <c r="I736" s="20">
        <f>400*0</f>
        <v>0</v>
      </c>
      <c r="J736" s="20">
        <v>0</v>
      </c>
      <c r="K736" s="21">
        <v>0</v>
      </c>
      <c r="L736" s="20">
        <v>0</v>
      </c>
      <c r="M736" s="20">
        <v>436.81</v>
      </c>
      <c r="N736" s="20">
        <f t="shared" ref="N736:N737" si="340">M736*5500</f>
        <v>2402455</v>
      </c>
      <c r="O736" s="20">
        <v>0</v>
      </c>
      <c r="P736" s="20">
        <v>0</v>
      </c>
      <c r="Q736" s="20">
        <v>528</v>
      </c>
      <c r="R736" s="20">
        <f t="shared" ref="R736:R738" si="341">Q736*3000</f>
        <v>1584000</v>
      </c>
      <c r="S736" s="20">
        <v>277200</v>
      </c>
      <c r="T736" s="20">
        <v>0</v>
      </c>
      <c r="U736" s="20">
        <v>200000</v>
      </c>
      <c r="V736" s="1">
        <f t="shared" ref="V736:V738" si="342">N736/M736</f>
        <v>5500</v>
      </c>
    </row>
    <row r="737" spans="1:22" ht="21.95" customHeight="1" x14ac:dyDescent="0.25">
      <c r="A737" s="18" t="s">
        <v>1026</v>
      </c>
      <c r="B737" s="25" t="s">
        <v>1212</v>
      </c>
      <c r="C737" s="12">
        <f t="shared" si="325"/>
        <v>2602455</v>
      </c>
      <c r="D737" s="20">
        <f t="shared" si="339"/>
        <v>0</v>
      </c>
      <c r="E737" s="20">
        <v>0</v>
      </c>
      <c r="F737" s="20">
        <v>0</v>
      </c>
      <c r="G737" s="20">
        <v>0</v>
      </c>
      <c r="H737" s="20">
        <v>0</v>
      </c>
      <c r="I737" s="20">
        <v>0</v>
      </c>
      <c r="J737" s="20">
        <v>0</v>
      </c>
      <c r="K737" s="21">
        <v>0</v>
      </c>
      <c r="L737" s="20">
        <v>0</v>
      </c>
      <c r="M737" s="20">
        <v>436.81</v>
      </c>
      <c r="N737" s="20">
        <f t="shared" si="340"/>
        <v>2402455</v>
      </c>
      <c r="O737" s="20">
        <v>0</v>
      </c>
      <c r="P737" s="20">
        <v>0</v>
      </c>
      <c r="Q737" s="20">
        <v>0</v>
      </c>
      <c r="R737" s="20">
        <f t="shared" si="341"/>
        <v>0</v>
      </c>
      <c r="S737" s="20">
        <v>0</v>
      </c>
      <c r="T737" s="20">
        <v>0</v>
      </c>
      <c r="U737" s="20">
        <v>200000</v>
      </c>
      <c r="V737" s="1">
        <f t="shared" si="342"/>
        <v>5500</v>
      </c>
    </row>
    <row r="738" spans="1:22" ht="21.95" customHeight="1" x14ac:dyDescent="0.25">
      <c r="A738" s="18" t="s">
        <v>1027</v>
      </c>
      <c r="B738" s="25" t="s">
        <v>330</v>
      </c>
      <c r="C738" s="12">
        <f t="shared" si="325"/>
        <v>2349500</v>
      </c>
      <c r="D738" s="20">
        <f t="shared" si="339"/>
        <v>0</v>
      </c>
      <c r="E738" s="20">
        <v>0</v>
      </c>
      <c r="F738" s="20">
        <v>0</v>
      </c>
      <c r="G738" s="20">
        <v>0</v>
      </c>
      <c r="H738" s="20">
        <v>0</v>
      </c>
      <c r="I738" s="20">
        <v>0</v>
      </c>
      <c r="J738" s="20">
        <v>0</v>
      </c>
      <c r="K738" s="21">
        <v>0</v>
      </c>
      <c r="L738" s="20">
        <v>0</v>
      </c>
      <c r="M738" s="20">
        <v>409</v>
      </c>
      <c r="N738" s="20">
        <f t="shared" ref="N738" si="343">M738*5500</f>
        <v>2249500</v>
      </c>
      <c r="O738" s="20">
        <v>0</v>
      </c>
      <c r="P738" s="20">
        <v>0</v>
      </c>
      <c r="Q738" s="20">
        <v>0</v>
      </c>
      <c r="R738" s="20">
        <f t="shared" si="341"/>
        <v>0</v>
      </c>
      <c r="S738" s="20">
        <v>0</v>
      </c>
      <c r="T738" s="20">
        <v>0</v>
      </c>
      <c r="U738" s="20">
        <v>100000</v>
      </c>
      <c r="V738" s="1">
        <f t="shared" si="342"/>
        <v>5500</v>
      </c>
    </row>
    <row r="739" spans="1:22" ht="45" customHeight="1" x14ac:dyDescent="0.25">
      <c r="A739" s="63" t="s">
        <v>332</v>
      </c>
      <c r="B739" s="63"/>
      <c r="C739" s="12">
        <f t="shared" si="325"/>
        <v>4510000</v>
      </c>
      <c r="D739" s="12">
        <f t="shared" ref="D739:U739" si="344">SUM(D740)</f>
        <v>0</v>
      </c>
      <c r="E739" s="12">
        <f t="shared" si="344"/>
        <v>0</v>
      </c>
      <c r="F739" s="12">
        <f t="shared" si="344"/>
        <v>0</v>
      </c>
      <c r="G739" s="12">
        <f t="shared" si="344"/>
        <v>0</v>
      </c>
      <c r="H739" s="12">
        <f t="shared" si="344"/>
        <v>0</v>
      </c>
      <c r="I739" s="12">
        <f t="shared" si="344"/>
        <v>0</v>
      </c>
      <c r="J739" s="12">
        <f t="shared" si="344"/>
        <v>0</v>
      </c>
      <c r="K739" s="13">
        <f t="shared" si="344"/>
        <v>0</v>
      </c>
      <c r="L739" s="12">
        <f t="shared" si="344"/>
        <v>0</v>
      </c>
      <c r="M739" s="12">
        <f t="shared" si="344"/>
        <v>500</v>
      </c>
      <c r="N739" s="12">
        <f t="shared" si="344"/>
        <v>2750000</v>
      </c>
      <c r="O739" s="12">
        <f t="shared" si="344"/>
        <v>0</v>
      </c>
      <c r="P739" s="12">
        <f t="shared" si="344"/>
        <v>0</v>
      </c>
      <c r="Q739" s="12">
        <f t="shared" si="344"/>
        <v>520</v>
      </c>
      <c r="R739" s="12">
        <f t="shared" si="344"/>
        <v>1560000</v>
      </c>
      <c r="S739" s="12">
        <f t="shared" si="344"/>
        <v>0</v>
      </c>
      <c r="T739" s="12">
        <f t="shared" si="344"/>
        <v>0</v>
      </c>
      <c r="U739" s="12">
        <f t="shared" si="344"/>
        <v>200000</v>
      </c>
    </row>
    <row r="740" spans="1:22" ht="21.95" customHeight="1" x14ac:dyDescent="0.25">
      <c r="A740" s="18" t="s">
        <v>1028</v>
      </c>
      <c r="B740" s="27" t="s">
        <v>333</v>
      </c>
      <c r="C740" s="12">
        <f t="shared" si="325"/>
        <v>4510000</v>
      </c>
      <c r="D740" s="20">
        <f t="shared" ref="D740" si="345">SUM(E740:J740)</f>
        <v>0</v>
      </c>
      <c r="E740" s="20">
        <v>0</v>
      </c>
      <c r="F740" s="20">
        <v>0</v>
      </c>
      <c r="G740" s="20">
        <v>0</v>
      </c>
      <c r="H740" s="20">
        <v>0</v>
      </c>
      <c r="I740" s="20">
        <v>0</v>
      </c>
      <c r="J740" s="20">
        <v>0</v>
      </c>
      <c r="K740" s="21">
        <v>0</v>
      </c>
      <c r="L740" s="20">
        <v>0</v>
      </c>
      <c r="M740" s="20">
        <v>500</v>
      </c>
      <c r="N740" s="20">
        <f t="shared" ref="N740" si="346">M740*5500</f>
        <v>2750000</v>
      </c>
      <c r="O740" s="20">
        <v>0</v>
      </c>
      <c r="P740" s="20">
        <v>0</v>
      </c>
      <c r="Q740" s="20">
        <v>520</v>
      </c>
      <c r="R740" s="20">
        <f>Q740*3000</f>
        <v>1560000</v>
      </c>
      <c r="S740" s="20">
        <v>0</v>
      </c>
      <c r="T740" s="20">
        <v>0</v>
      </c>
      <c r="U740" s="20">
        <v>200000</v>
      </c>
      <c r="V740" s="1">
        <f t="shared" ref="V740" si="347">N740/M740</f>
        <v>5500</v>
      </c>
    </row>
    <row r="741" spans="1:22" ht="45" customHeight="1" x14ac:dyDescent="0.25">
      <c r="A741" s="63" t="s">
        <v>337</v>
      </c>
      <c r="B741" s="63"/>
      <c r="C741" s="12">
        <f t="shared" si="325"/>
        <v>19671000</v>
      </c>
      <c r="D741" s="12">
        <f t="shared" ref="D741:U741" si="348">SUM(D742)</f>
        <v>0</v>
      </c>
      <c r="E741" s="12">
        <f t="shared" si="348"/>
        <v>0</v>
      </c>
      <c r="F741" s="12">
        <f t="shared" si="348"/>
        <v>0</v>
      </c>
      <c r="G741" s="12">
        <f t="shared" si="348"/>
        <v>0</v>
      </c>
      <c r="H741" s="12">
        <f t="shared" si="348"/>
        <v>0</v>
      </c>
      <c r="I741" s="12">
        <f t="shared" si="348"/>
        <v>0</v>
      </c>
      <c r="J741" s="12">
        <f t="shared" si="348"/>
        <v>0</v>
      </c>
      <c r="K741" s="13">
        <f t="shared" si="348"/>
        <v>0</v>
      </c>
      <c r="L741" s="12">
        <f t="shared" si="348"/>
        <v>0</v>
      </c>
      <c r="M741" s="12">
        <f t="shared" si="348"/>
        <v>2110</v>
      </c>
      <c r="N741" s="12">
        <f t="shared" si="348"/>
        <v>11605000</v>
      </c>
      <c r="O741" s="12">
        <f t="shared" si="348"/>
        <v>0</v>
      </c>
      <c r="P741" s="12">
        <f t="shared" si="348"/>
        <v>0</v>
      </c>
      <c r="Q741" s="12">
        <f t="shared" si="348"/>
        <v>2622</v>
      </c>
      <c r="R741" s="12">
        <f t="shared" si="348"/>
        <v>7866000</v>
      </c>
      <c r="S741" s="12">
        <f t="shared" si="348"/>
        <v>0</v>
      </c>
      <c r="T741" s="12">
        <f t="shared" si="348"/>
        <v>0</v>
      </c>
      <c r="U741" s="12">
        <f t="shared" si="348"/>
        <v>200000</v>
      </c>
    </row>
    <row r="742" spans="1:22" ht="21.95" customHeight="1" x14ac:dyDescent="0.25">
      <c r="A742" s="18" t="s">
        <v>1029</v>
      </c>
      <c r="B742" s="25" t="s">
        <v>338</v>
      </c>
      <c r="C742" s="12">
        <f t="shared" si="325"/>
        <v>19671000</v>
      </c>
      <c r="D742" s="20">
        <f t="shared" ref="D742" si="349">SUM(E742:J742)</f>
        <v>0</v>
      </c>
      <c r="E742" s="20">
        <v>0</v>
      </c>
      <c r="F742" s="20">
        <v>0</v>
      </c>
      <c r="G742" s="20">
        <v>0</v>
      </c>
      <c r="H742" s="20">
        <v>0</v>
      </c>
      <c r="I742" s="20">
        <v>0</v>
      </c>
      <c r="J742" s="20">
        <v>0</v>
      </c>
      <c r="K742" s="21">
        <v>0</v>
      </c>
      <c r="L742" s="20">
        <v>0</v>
      </c>
      <c r="M742" s="20">
        <v>2110</v>
      </c>
      <c r="N742" s="20">
        <f t="shared" ref="N742" si="350">M742*5500</f>
        <v>11605000</v>
      </c>
      <c r="O742" s="20">
        <v>0</v>
      </c>
      <c r="P742" s="20">
        <v>0</v>
      </c>
      <c r="Q742" s="20">
        <v>2622</v>
      </c>
      <c r="R742" s="20">
        <f>Q742*3000</f>
        <v>7866000</v>
      </c>
      <c r="S742" s="20">
        <v>0</v>
      </c>
      <c r="T742" s="20">
        <v>0</v>
      </c>
      <c r="U742" s="20">
        <v>200000</v>
      </c>
      <c r="V742" s="1">
        <f t="shared" ref="V742" si="351">N742/M742</f>
        <v>5500</v>
      </c>
    </row>
    <row r="743" spans="1:22" ht="45" customHeight="1" x14ac:dyDescent="0.25">
      <c r="A743" s="63" t="s">
        <v>1937</v>
      </c>
      <c r="B743" s="63"/>
      <c r="C743" s="12">
        <f t="shared" si="325"/>
        <v>122447040</v>
      </c>
      <c r="D743" s="12">
        <f t="shared" ref="D743:U743" si="352">SUM(D744:D756)</f>
        <v>27776140</v>
      </c>
      <c r="E743" s="12">
        <f t="shared" si="352"/>
        <v>4563335</v>
      </c>
      <c r="F743" s="12">
        <f t="shared" si="352"/>
        <v>10430480</v>
      </c>
      <c r="G743" s="12">
        <f t="shared" si="352"/>
        <v>4563335</v>
      </c>
      <c r="H743" s="12">
        <f t="shared" si="352"/>
        <v>3003750</v>
      </c>
      <c r="I743" s="12">
        <f t="shared" si="352"/>
        <v>5215240</v>
      </c>
      <c r="J743" s="12">
        <f t="shared" si="352"/>
        <v>0</v>
      </c>
      <c r="K743" s="13">
        <f t="shared" si="352"/>
        <v>0</v>
      </c>
      <c r="L743" s="12">
        <f t="shared" si="352"/>
        <v>0</v>
      </c>
      <c r="M743" s="12">
        <f t="shared" si="352"/>
        <v>7679.7999999999993</v>
      </c>
      <c r="N743" s="12">
        <f t="shared" si="352"/>
        <v>42238900</v>
      </c>
      <c r="O743" s="12">
        <f t="shared" si="352"/>
        <v>0</v>
      </c>
      <c r="P743" s="12">
        <f t="shared" si="352"/>
        <v>0</v>
      </c>
      <c r="Q743" s="12">
        <f t="shared" si="352"/>
        <v>16644</v>
      </c>
      <c r="R743" s="12">
        <f t="shared" si="352"/>
        <v>49932000</v>
      </c>
      <c r="S743" s="12">
        <f t="shared" si="352"/>
        <v>0</v>
      </c>
      <c r="T743" s="12">
        <f t="shared" si="352"/>
        <v>0</v>
      </c>
      <c r="U743" s="12">
        <f t="shared" si="352"/>
        <v>2500000</v>
      </c>
    </row>
    <row r="744" spans="1:22" ht="21.95" customHeight="1" x14ac:dyDescent="0.25">
      <c r="A744" s="18" t="s">
        <v>1030</v>
      </c>
      <c r="B744" s="25" t="s">
        <v>346</v>
      </c>
      <c r="C744" s="12">
        <f t="shared" si="325"/>
        <v>3844600</v>
      </c>
      <c r="D744" s="20">
        <f t="shared" ref="D744:D756" si="353">SUM(E744:J744)</f>
        <v>533900</v>
      </c>
      <c r="E744" s="20">
        <f>350*281</f>
        <v>98350</v>
      </c>
      <c r="F744" s="20">
        <f>800*281</f>
        <v>224800</v>
      </c>
      <c r="G744" s="20">
        <f>350*281</f>
        <v>98350</v>
      </c>
      <c r="H744" s="20">
        <f t="shared" ref="H744:H749" si="354">500*0</f>
        <v>0</v>
      </c>
      <c r="I744" s="20">
        <f>400*281</f>
        <v>112400</v>
      </c>
      <c r="J744" s="20">
        <v>0</v>
      </c>
      <c r="K744" s="21">
        <v>0</v>
      </c>
      <c r="L744" s="20">
        <v>0</v>
      </c>
      <c r="M744" s="20">
        <v>400</v>
      </c>
      <c r="N744" s="20">
        <f t="shared" ref="N744:N750" si="355">M744*5500</f>
        <v>2200000</v>
      </c>
      <c r="O744" s="20">
        <v>0</v>
      </c>
      <c r="P744" s="20">
        <v>0</v>
      </c>
      <c r="Q744" s="20">
        <v>336.9</v>
      </c>
      <c r="R744" s="20">
        <f t="shared" ref="R744:R756" si="356">Q744*3000</f>
        <v>1010699.9999999999</v>
      </c>
      <c r="S744" s="20">
        <v>0</v>
      </c>
      <c r="T744" s="20">
        <v>0</v>
      </c>
      <c r="U744" s="20">
        <v>100000</v>
      </c>
      <c r="V744" s="1">
        <f t="shared" ref="V744:V756" si="357">N744/M744</f>
        <v>5500</v>
      </c>
    </row>
    <row r="745" spans="1:22" ht="21.95" customHeight="1" x14ac:dyDescent="0.25">
      <c r="A745" s="18" t="s">
        <v>1031</v>
      </c>
      <c r="B745" s="25" t="s">
        <v>350</v>
      </c>
      <c r="C745" s="12">
        <f t="shared" si="325"/>
        <v>7971910</v>
      </c>
      <c r="D745" s="20">
        <f t="shared" si="353"/>
        <v>1268060</v>
      </c>
      <c r="E745" s="20">
        <f>350*667.4</f>
        <v>233590</v>
      </c>
      <c r="F745" s="20">
        <f>800*667.4</f>
        <v>533920</v>
      </c>
      <c r="G745" s="20">
        <f>350*667.4</f>
        <v>233590</v>
      </c>
      <c r="H745" s="20">
        <f t="shared" si="354"/>
        <v>0</v>
      </c>
      <c r="I745" s="20">
        <f>400*667.4</f>
        <v>266960</v>
      </c>
      <c r="J745" s="20">
        <v>0</v>
      </c>
      <c r="K745" s="21">
        <v>0</v>
      </c>
      <c r="L745" s="20">
        <v>0</v>
      </c>
      <c r="M745" s="20">
        <v>554.70000000000005</v>
      </c>
      <c r="N745" s="20">
        <f t="shared" si="355"/>
        <v>3050850.0000000005</v>
      </c>
      <c r="O745" s="20">
        <v>0</v>
      </c>
      <c r="P745" s="20">
        <v>0</v>
      </c>
      <c r="Q745" s="20">
        <v>1151</v>
      </c>
      <c r="R745" s="20">
        <f t="shared" si="356"/>
        <v>3453000</v>
      </c>
      <c r="S745" s="20">
        <v>0</v>
      </c>
      <c r="T745" s="20">
        <v>0</v>
      </c>
      <c r="U745" s="20">
        <v>200000</v>
      </c>
      <c r="V745" s="1">
        <f t="shared" si="357"/>
        <v>5500</v>
      </c>
    </row>
    <row r="746" spans="1:22" ht="21.95" customHeight="1" x14ac:dyDescent="0.25">
      <c r="A746" s="18" t="s">
        <v>1032</v>
      </c>
      <c r="B746" s="25" t="s">
        <v>351</v>
      </c>
      <c r="C746" s="12">
        <f t="shared" si="325"/>
        <v>8049990</v>
      </c>
      <c r="D746" s="20">
        <f t="shared" si="353"/>
        <v>1326390</v>
      </c>
      <c r="E746" s="20">
        <f>350*698.1</f>
        <v>244335</v>
      </c>
      <c r="F746" s="20">
        <f>800*698.1</f>
        <v>558480</v>
      </c>
      <c r="G746" s="20">
        <f>350*698.1</f>
        <v>244335</v>
      </c>
      <c r="H746" s="20">
        <f t="shared" si="354"/>
        <v>0</v>
      </c>
      <c r="I746" s="20">
        <f>400*698.1</f>
        <v>279240</v>
      </c>
      <c r="J746" s="20">
        <v>0</v>
      </c>
      <c r="K746" s="21">
        <v>0</v>
      </c>
      <c r="L746" s="20">
        <v>0</v>
      </c>
      <c r="M746" s="20">
        <v>558.4</v>
      </c>
      <c r="N746" s="20">
        <f t="shared" si="355"/>
        <v>3071200</v>
      </c>
      <c r="O746" s="20">
        <v>0</v>
      </c>
      <c r="P746" s="20">
        <v>0</v>
      </c>
      <c r="Q746" s="20">
        <v>1150.8</v>
      </c>
      <c r="R746" s="20">
        <f t="shared" si="356"/>
        <v>3452400</v>
      </c>
      <c r="S746" s="20">
        <v>0</v>
      </c>
      <c r="T746" s="20">
        <v>0</v>
      </c>
      <c r="U746" s="20">
        <v>200000</v>
      </c>
      <c r="V746" s="1">
        <f t="shared" si="357"/>
        <v>5500</v>
      </c>
    </row>
    <row r="747" spans="1:22" ht="21.95" customHeight="1" x14ac:dyDescent="0.25">
      <c r="A747" s="18" t="s">
        <v>1033</v>
      </c>
      <c r="B747" s="25" t="s">
        <v>352</v>
      </c>
      <c r="C747" s="12">
        <f t="shared" si="325"/>
        <v>8002340</v>
      </c>
      <c r="D747" s="20">
        <f t="shared" si="353"/>
        <v>1287440</v>
      </c>
      <c r="E747" s="20">
        <f>350*677.6</f>
        <v>237160</v>
      </c>
      <c r="F747" s="20">
        <f>800*677.6</f>
        <v>542080</v>
      </c>
      <c r="G747" s="20">
        <f>350*677.6</f>
        <v>237160</v>
      </c>
      <c r="H747" s="20">
        <f t="shared" si="354"/>
        <v>0</v>
      </c>
      <c r="I747" s="20">
        <f>400*677.6</f>
        <v>271040</v>
      </c>
      <c r="J747" s="20">
        <v>0</v>
      </c>
      <c r="K747" s="21">
        <v>0</v>
      </c>
      <c r="L747" s="20">
        <v>0</v>
      </c>
      <c r="M747" s="20">
        <v>556</v>
      </c>
      <c r="N747" s="20">
        <f t="shared" si="355"/>
        <v>3058000</v>
      </c>
      <c r="O747" s="20">
        <v>0</v>
      </c>
      <c r="P747" s="20">
        <v>0</v>
      </c>
      <c r="Q747" s="20">
        <v>1152.3</v>
      </c>
      <c r="R747" s="20">
        <f t="shared" si="356"/>
        <v>3456900</v>
      </c>
      <c r="S747" s="20">
        <v>0</v>
      </c>
      <c r="T747" s="20">
        <v>0</v>
      </c>
      <c r="U747" s="20">
        <v>200000</v>
      </c>
      <c r="V747" s="1">
        <f t="shared" si="357"/>
        <v>5500</v>
      </c>
    </row>
    <row r="748" spans="1:22" ht="21.95" customHeight="1" x14ac:dyDescent="0.25">
      <c r="A748" s="18" t="s">
        <v>1034</v>
      </c>
      <c r="B748" s="25" t="s">
        <v>353</v>
      </c>
      <c r="C748" s="12">
        <f t="shared" si="325"/>
        <v>7925500</v>
      </c>
      <c r="D748" s="20">
        <f t="shared" si="353"/>
        <v>1196050</v>
      </c>
      <c r="E748" s="20">
        <f>350*629.5</f>
        <v>220325</v>
      </c>
      <c r="F748" s="20">
        <f>800*629.5</f>
        <v>503600</v>
      </c>
      <c r="G748" s="20">
        <f>350*629.5</f>
        <v>220325</v>
      </c>
      <c r="H748" s="20">
        <f t="shared" si="354"/>
        <v>0</v>
      </c>
      <c r="I748" s="20">
        <f>400*629.5</f>
        <v>251800</v>
      </c>
      <c r="J748" s="20">
        <v>0</v>
      </c>
      <c r="K748" s="21">
        <v>0</v>
      </c>
      <c r="L748" s="20">
        <v>0</v>
      </c>
      <c r="M748" s="20">
        <v>559.29999999999995</v>
      </c>
      <c r="N748" s="20">
        <f t="shared" si="355"/>
        <v>3076149.9999999995</v>
      </c>
      <c r="O748" s="20">
        <v>0</v>
      </c>
      <c r="P748" s="20">
        <v>0</v>
      </c>
      <c r="Q748" s="20">
        <v>1151.0999999999999</v>
      </c>
      <c r="R748" s="20">
        <f t="shared" si="356"/>
        <v>3453299.9999999995</v>
      </c>
      <c r="S748" s="20">
        <v>0</v>
      </c>
      <c r="T748" s="20">
        <v>0</v>
      </c>
      <c r="U748" s="20">
        <v>200000</v>
      </c>
      <c r="V748" s="1">
        <f t="shared" si="357"/>
        <v>5500</v>
      </c>
    </row>
    <row r="749" spans="1:22" ht="21.95" customHeight="1" x14ac:dyDescent="0.25">
      <c r="A749" s="18" t="s">
        <v>1035</v>
      </c>
      <c r="B749" s="25" t="s">
        <v>354</v>
      </c>
      <c r="C749" s="12">
        <f t="shared" si="325"/>
        <v>7252370</v>
      </c>
      <c r="D749" s="20">
        <f t="shared" si="353"/>
        <v>1366670</v>
      </c>
      <c r="E749" s="20">
        <f>350*719.3</f>
        <v>251754.99999999997</v>
      </c>
      <c r="F749" s="20">
        <f>800*719.3</f>
        <v>575440</v>
      </c>
      <c r="G749" s="20">
        <f>350*719.3</f>
        <v>251754.99999999997</v>
      </c>
      <c r="H749" s="20">
        <f t="shared" si="354"/>
        <v>0</v>
      </c>
      <c r="I749" s="20">
        <f>400*719.3</f>
        <v>287720</v>
      </c>
      <c r="J749" s="20">
        <v>0</v>
      </c>
      <c r="K749" s="21">
        <v>0</v>
      </c>
      <c r="L749" s="20">
        <v>0</v>
      </c>
      <c r="M749" s="20">
        <v>406</v>
      </c>
      <c r="N749" s="20">
        <f t="shared" si="355"/>
        <v>2233000</v>
      </c>
      <c r="O749" s="20">
        <v>0</v>
      </c>
      <c r="P749" s="20">
        <v>0</v>
      </c>
      <c r="Q749" s="20">
        <v>1150.9000000000001</v>
      </c>
      <c r="R749" s="20">
        <f t="shared" si="356"/>
        <v>3452700.0000000005</v>
      </c>
      <c r="S749" s="20">
        <v>0</v>
      </c>
      <c r="T749" s="20">
        <v>0</v>
      </c>
      <c r="U749" s="20">
        <v>200000</v>
      </c>
      <c r="V749" s="1">
        <f t="shared" si="357"/>
        <v>5500</v>
      </c>
    </row>
    <row r="750" spans="1:22" ht="21.95" customHeight="1" x14ac:dyDescent="0.25">
      <c r="A750" s="18" t="s">
        <v>1930</v>
      </c>
      <c r="B750" s="25" t="s">
        <v>355</v>
      </c>
      <c r="C750" s="12">
        <f t="shared" si="325"/>
        <v>19934700</v>
      </c>
      <c r="D750" s="20">
        <f t="shared" si="353"/>
        <v>0</v>
      </c>
      <c r="E750" s="20">
        <v>0</v>
      </c>
      <c r="F750" s="20">
        <v>0</v>
      </c>
      <c r="G750" s="20">
        <v>0</v>
      </c>
      <c r="H750" s="20">
        <v>0</v>
      </c>
      <c r="I750" s="20">
        <v>0</v>
      </c>
      <c r="J750" s="20">
        <v>0</v>
      </c>
      <c r="K750" s="21">
        <v>0</v>
      </c>
      <c r="L750" s="20">
        <v>0</v>
      </c>
      <c r="M750" s="20">
        <v>1706.2</v>
      </c>
      <c r="N750" s="20">
        <f t="shared" si="355"/>
        <v>9384100</v>
      </c>
      <c r="O750" s="20">
        <v>0</v>
      </c>
      <c r="P750" s="20">
        <v>0</v>
      </c>
      <c r="Q750" s="20">
        <v>3450.2</v>
      </c>
      <c r="R750" s="20">
        <f t="shared" si="356"/>
        <v>10350600</v>
      </c>
      <c r="S750" s="20">
        <v>0</v>
      </c>
      <c r="T750" s="20">
        <v>0</v>
      </c>
      <c r="U750" s="20">
        <v>200000</v>
      </c>
      <c r="V750" s="1">
        <f t="shared" si="357"/>
        <v>5500</v>
      </c>
    </row>
    <row r="751" spans="1:22" ht="21.95" customHeight="1" x14ac:dyDescent="0.25">
      <c r="A751" s="18" t="s">
        <v>1036</v>
      </c>
      <c r="B751" s="25" t="s">
        <v>356</v>
      </c>
      <c r="C751" s="12">
        <f t="shared" si="325"/>
        <v>16990400</v>
      </c>
      <c r="D751" s="20">
        <f t="shared" si="353"/>
        <v>8840400</v>
      </c>
      <c r="E751" s="20">
        <f>350*3683.5</f>
        <v>1289225</v>
      </c>
      <c r="F751" s="20">
        <f>800*3683.5</f>
        <v>2946800</v>
      </c>
      <c r="G751" s="20">
        <f>350*3683.5</f>
        <v>1289225</v>
      </c>
      <c r="H751" s="20">
        <f>500*3683.5</f>
        <v>1841750</v>
      </c>
      <c r="I751" s="20">
        <f>400*3683.5</f>
        <v>1473400</v>
      </c>
      <c r="J751" s="20">
        <v>0</v>
      </c>
      <c r="K751" s="21">
        <v>0</v>
      </c>
      <c r="L751" s="20">
        <v>0</v>
      </c>
      <c r="M751" s="20">
        <v>0</v>
      </c>
      <c r="N751" s="20">
        <v>0</v>
      </c>
      <c r="O751" s="20">
        <v>0</v>
      </c>
      <c r="P751" s="20">
        <v>0</v>
      </c>
      <c r="Q751" s="20">
        <v>2650</v>
      </c>
      <c r="R751" s="20">
        <f t="shared" si="356"/>
        <v>7950000</v>
      </c>
      <c r="S751" s="20">
        <v>0</v>
      </c>
      <c r="T751" s="20">
        <v>0</v>
      </c>
      <c r="U751" s="20">
        <v>200000</v>
      </c>
      <c r="V751" s="1" t="e">
        <f t="shared" si="357"/>
        <v>#DIV/0!</v>
      </c>
    </row>
    <row r="752" spans="1:22" ht="21.95" customHeight="1" x14ac:dyDescent="0.25">
      <c r="A752" s="18" t="s">
        <v>1625</v>
      </c>
      <c r="B752" s="25" t="s">
        <v>357</v>
      </c>
      <c r="C752" s="12">
        <f t="shared" si="325"/>
        <v>4604240</v>
      </c>
      <c r="D752" s="20">
        <f t="shared" si="353"/>
        <v>871340</v>
      </c>
      <c r="E752" s="20">
        <f>350*458.6</f>
        <v>160510</v>
      </c>
      <c r="F752" s="20">
        <f>800*458.6</f>
        <v>366880</v>
      </c>
      <c r="G752" s="20">
        <f>350*458.6</f>
        <v>160510</v>
      </c>
      <c r="H752" s="20">
        <f>500*0</f>
        <v>0</v>
      </c>
      <c r="I752" s="20">
        <f>400*458.6</f>
        <v>183440</v>
      </c>
      <c r="J752" s="20">
        <v>0</v>
      </c>
      <c r="K752" s="21">
        <v>0</v>
      </c>
      <c r="L752" s="20">
        <v>0</v>
      </c>
      <c r="M752" s="20">
        <v>362.2</v>
      </c>
      <c r="N752" s="20">
        <f t="shared" ref="N752:N756" si="358">M752*5500</f>
        <v>1992100</v>
      </c>
      <c r="O752" s="20">
        <v>0</v>
      </c>
      <c r="P752" s="20">
        <v>0</v>
      </c>
      <c r="Q752" s="20">
        <v>513.6</v>
      </c>
      <c r="R752" s="20">
        <f t="shared" si="356"/>
        <v>1540800</v>
      </c>
      <c r="S752" s="20">
        <v>0</v>
      </c>
      <c r="T752" s="20">
        <v>0</v>
      </c>
      <c r="U752" s="20">
        <v>200000</v>
      </c>
      <c r="V752" s="1">
        <f t="shared" si="357"/>
        <v>5500</v>
      </c>
    </row>
    <row r="753" spans="1:22" ht="21.95" customHeight="1" x14ac:dyDescent="0.25">
      <c r="A753" s="18" t="s">
        <v>1037</v>
      </c>
      <c r="B753" s="25" t="s">
        <v>358</v>
      </c>
      <c r="C753" s="12">
        <f t="shared" si="325"/>
        <v>8409610</v>
      </c>
      <c r="D753" s="20">
        <f t="shared" si="353"/>
        <v>1961560.0000000002</v>
      </c>
      <c r="E753" s="20">
        <f>350*1032.4</f>
        <v>361340.00000000006</v>
      </c>
      <c r="F753" s="20">
        <f>800*1032.4</f>
        <v>825920.00000000012</v>
      </c>
      <c r="G753" s="20">
        <f>350*1032.4</f>
        <v>361340.00000000006</v>
      </c>
      <c r="H753" s="20">
        <f>500*0</f>
        <v>0</v>
      </c>
      <c r="I753" s="20">
        <f>400*1032.4</f>
        <v>412960.00000000006</v>
      </c>
      <c r="J753" s="20">
        <v>0</v>
      </c>
      <c r="K753" s="21">
        <v>0</v>
      </c>
      <c r="L753" s="20">
        <v>0</v>
      </c>
      <c r="M753" s="20">
        <v>668.5</v>
      </c>
      <c r="N753" s="20">
        <f t="shared" si="358"/>
        <v>3676750</v>
      </c>
      <c r="O753" s="20">
        <v>0</v>
      </c>
      <c r="P753" s="20">
        <v>0</v>
      </c>
      <c r="Q753" s="20">
        <v>857.1</v>
      </c>
      <c r="R753" s="20">
        <f t="shared" si="356"/>
        <v>2571300</v>
      </c>
      <c r="S753" s="20">
        <v>0</v>
      </c>
      <c r="T753" s="20">
        <v>0</v>
      </c>
      <c r="U753" s="20">
        <v>200000</v>
      </c>
      <c r="V753" s="1">
        <f t="shared" si="357"/>
        <v>5500</v>
      </c>
    </row>
    <row r="754" spans="1:22" ht="21.95" customHeight="1" x14ac:dyDescent="0.25">
      <c r="A754" s="18" t="s">
        <v>1038</v>
      </c>
      <c r="B754" s="25" t="s">
        <v>359</v>
      </c>
      <c r="C754" s="12">
        <f t="shared" si="325"/>
        <v>12273560</v>
      </c>
      <c r="D754" s="20">
        <f t="shared" si="353"/>
        <v>4548960</v>
      </c>
      <c r="E754" s="20">
        <f>350*1895.4</f>
        <v>663390</v>
      </c>
      <c r="F754" s="20">
        <f>800*1895.4</f>
        <v>1516320</v>
      </c>
      <c r="G754" s="20">
        <f>350*1895.4</f>
        <v>663390</v>
      </c>
      <c r="H754" s="20">
        <f>500*1895.4</f>
        <v>947700</v>
      </c>
      <c r="I754" s="20">
        <f>400*1895.4</f>
        <v>758160</v>
      </c>
      <c r="J754" s="20">
        <v>0</v>
      </c>
      <c r="K754" s="21">
        <v>0</v>
      </c>
      <c r="L754" s="20">
        <v>0</v>
      </c>
      <c r="M754" s="20">
        <v>739.2</v>
      </c>
      <c r="N754" s="20">
        <f t="shared" si="358"/>
        <v>4065600.0000000005</v>
      </c>
      <c r="O754" s="20">
        <v>0</v>
      </c>
      <c r="P754" s="20">
        <v>0</v>
      </c>
      <c r="Q754" s="20">
        <v>1153</v>
      </c>
      <c r="R754" s="20">
        <f t="shared" si="356"/>
        <v>3459000</v>
      </c>
      <c r="S754" s="20">
        <v>0</v>
      </c>
      <c r="T754" s="20">
        <v>0</v>
      </c>
      <c r="U754" s="20">
        <v>200000</v>
      </c>
      <c r="V754" s="1">
        <f t="shared" si="357"/>
        <v>5500</v>
      </c>
    </row>
    <row r="755" spans="1:22" ht="21.95" customHeight="1" x14ac:dyDescent="0.25">
      <c r="A755" s="18" t="s">
        <v>1039</v>
      </c>
      <c r="B755" s="25" t="s">
        <v>360</v>
      </c>
      <c r="C755" s="12">
        <f t="shared" si="325"/>
        <v>4875640</v>
      </c>
      <c r="D755" s="20">
        <f t="shared" si="353"/>
        <v>1028640</v>
      </c>
      <c r="E755" s="20">
        <f>350*428.6</f>
        <v>150010</v>
      </c>
      <c r="F755" s="20">
        <f>800*428.6</f>
        <v>342880</v>
      </c>
      <c r="G755" s="20">
        <f>350*428.6</f>
        <v>150010</v>
      </c>
      <c r="H755" s="20">
        <f>500*428.6</f>
        <v>214300</v>
      </c>
      <c r="I755" s="20">
        <f>400*428.6</f>
        <v>171440</v>
      </c>
      <c r="J755" s="20">
        <v>0</v>
      </c>
      <c r="K755" s="21">
        <v>0</v>
      </c>
      <c r="L755" s="20">
        <v>0</v>
      </c>
      <c r="M755" s="20">
        <v>377.6</v>
      </c>
      <c r="N755" s="20">
        <f t="shared" si="358"/>
        <v>2076800.0000000002</v>
      </c>
      <c r="O755" s="20">
        <v>0</v>
      </c>
      <c r="P755" s="20">
        <v>0</v>
      </c>
      <c r="Q755" s="20">
        <v>523.4</v>
      </c>
      <c r="R755" s="20">
        <f t="shared" si="356"/>
        <v>1570200</v>
      </c>
      <c r="S755" s="20">
        <v>0</v>
      </c>
      <c r="T755" s="20">
        <v>0</v>
      </c>
      <c r="U755" s="20">
        <v>200000</v>
      </c>
      <c r="V755" s="1">
        <f t="shared" si="357"/>
        <v>5500</v>
      </c>
    </row>
    <row r="756" spans="1:22" ht="21.95" customHeight="1" x14ac:dyDescent="0.25">
      <c r="A756" s="18" t="s">
        <v>1040</v>
      </c>
      <c r="B756" s="25" t="s">
        <v>361</v>
      </c>
      <c r="C756" s="12">
        <f t="shared" si="325"/>
        <v>12312180</v>
      </c>
      <c r="D756" s="20">
        <f t="shared" si="353"/>
        <v>3546730</v>
      </c>
      <c r="E756" s="20">
        <f>350*1866.7</f>
        <v>653345</v>
      </c>
      <c r="F756" s="20">
        <f>800*1866.7</f>
        <v>1493360</v>
      </c>
      <c r="G756" s="20">
        <f>350*1866.7</f>
        <v>653345</v>
      </c>
      <c r="H756" s="20">
        <f>500*0</f>
        <v>0</v>
      </c>
      <c r="I756" s="20">
        <f>400*1866.7</f>
        <v>746680</v>
      </c>
      <c r="J756" s="20">
        <v>0</v>
      </c>
      <c r="K756" s="21">
        <v>0</v>
      </c>
      <c r="L756" s="20">
        <v>0</v>
      </c>
      <c r="M756" s="20">
        <v>791.7</v>
      </c>
      <c r="N756" s="20">
        <f t="shared" si="358"/>
        <v>4354350</v>
      </c>
      <c r="O756" s="20">
        <v>0</v>
      </c>
      <c r="P756" s="20">
        <v>0</v>
      </c>
      <c r="Q756" s="20">
        <v>1403.7</v>
      </c>
      <c r="R756" s="20">
        <f t="shared" si="356"/>
        <v>4211100</v>
      </c>
      <c r="S756" s="20">
        <v>0</v>
      </c>
      <c r="T756" s="20">
        <v>0</v>
      </c>
      <c r="U756" s="20">
        <v>200000</v>
      </c>
      <c r="V756" s="1">
        <f t="shared" si="357"/>
        <v>5500</v>
      </c>
    </row>
    <row r="757" spans="1:22" ht="45" customHeight="1" x14ac:dyDescent="0.25">
      <c r="A757" s="63" t="s">
        <v>379</v>
      </c>
      <c r="B757" s="63"/>
      <c r="C757" s="12">
        <f t="shared" si="325"/>
        <v>2703925</v>
      </c>
      <c r="D757" s="12">
        <f t="shared" ref="D757:U757" si="359">SUM(D758)</f>
        <v>90125</v>
      </c>
      <c r="E757" s="12">
        <f t="shared" si="359"/>
        <v>90125</v>
      </c>
      <c r="F757" s="12">
        <f t="shared" si="359"/>
        <v>0</v>
      </c>
      <c r="G757" s="12">
        <f t="shared" si="359"/>
        <v>0</v>
      </c>
      <c r="H757" s="12">
        <f t="shared" si="359"/>
        <v>0</v>
      </c>
      <c r="I757" s="12">
        <f t="shared" si="359"/>
        <v>0</v>
      </c>
      <c r="J757" s="12">
        <f t="shared" si="359"/>
        <v>0</v>
      </c>
      <c r="K757" s="13">
        <f t="shared" si="359"/>
        <v>0</v>
      </c>
      <c r="L757" s="12">
        <f t="shared" si="359"/>
        <v>0</v>
      </c>
      <c r="M757" s="12">
        <f t="shared" si="359"/>
        <v>255</v>
      </c>
      <c r="N757" s="12">
        <f t="shared" si="359"/>
        <v>1402500</v>
      </c>
      <c r="O757" s="12">
        <f t="shared" si="359"/>
        <v>0</v>
      </c>
      <c r="P757" s="12">
        <f t="shared" si="359"/>
        <v>0</v>
      </c>
      <c r="Q757" s="12">
        <f t="shared" si="359"/>
        <v>296.5</v>
      </c>
      <c r="R757" s="12">
        <f t="shared" si="359"/>
        <v>889500</v>
      </c>
      <c r="S757" s="12">
        <f t="shared" si="359"/>
        <v>121800</v>
      </c>
      <c r="T757" s="12">
        <f t="shared" si="359"/>
        <v>0</v>
      </c>
      <c r="U757" s="12">
        <f t="shared" si="359"/>
        <v>200000</v>
      </c>
      <c r="V757" s="22">
        <f>C757</f>
        <v>2703925</v>
      </c>
    </row>
    <row r="758" spans="1:22" ht="21.95" customHeight="1" x14ac:dyDescent="0.25">
      <c r="A758" s="18" t="s">
        <v>1041</v>
      </c>
      <c r="B758" s="25" t="s">
        <v>376</v>
      </c>
      <c r="C758" s="12">
        <f t="shared" si="325"/>
        <v>2703925</v>
      </c>
      <c r="D758" s="20">
        <f t="shared" ref="D758:D759" si="360">SUM(E758:J758)</f>
        <v>90125</v>
      </c>
      <c r="E758" s="20">
        <f>350*257.5</f>
        <v>90125</v>
      </c>
      <c r="F758" s="20">
        <f>800*0</f>
        <v>0</v>
      </c>
      <c r="G758" s="20">
        <f>350*0</f>
        <v>0</v>
      </c>
      <c r="H758" s="20">
        <f>500*0</f>
        <v>0</v>
      </c>
      <c r="I758" s="20">
        <f>400*0</f>
        <v>0</v>
      </c>
      <c r="J758" s="20">
        <v>0</v>
      </c>
      <c r="K758" s="21">
        <v>0</v>
      </c>
      <c r="L758" s="20">
        <v>0</v>
      </c>
      <c r="M758" s="20">
        <v>255</v>
      </c>
      <c r="N758" s="20">
        <f t="shared" ref="N758" si="361">M758*5500</f>
        <v>1402500</v>
      </c>
      <c r="O758" s="20">
        <v>0</v>
      </c>
      <c r="P758" s="20">
        <v>0</v>
      </c>
      <c r="Q758" s="20">
        <v>296.5</v>
      </c>
      <c r="R758" s="20">
        <f>Q758*3000</f>
        <v>889500</v>
      </c>
      <c r="S758" s="20">
        <v>121800</v>
      </c>
      <c r="T758" s="20">
        <v>0</v>
      </c>
      <c r="U758" s="20">
        <v>200000</v>
      </c>
      <c r="V758" s="1">
        <f t="shared" ref="V758:V759" si="362">N758/M758</f>
        <v>5500</v>
      </c>
    </row>
    <row r="759" spans="1:22" ht="21.95" customHeight="1" x14ac:dyDescent="0.25">
      <c r="A759" s="18" t="s">
        <v>1042</v>
      </c>
      <c r="B759" s="25" t="s">
        <v>1628</v>
      </c>
      <c r="C759" s="12">
        <f t="shared" si="325"/>
        <v>1230386.8</v>
      </c>
      <c r="D759" s="20">
        <f t="shared" si="360"/>
        <v>0</v>
      </c>
      <c r="E759" s="20">
        <v>0</v>
      </c>
      <c r="F759" s="20">
        <v>0</v>
      </c>
      <c r="G759" s="20">
        <v>0</v>
      </c>
      <c r="H759" s="20">
        <v>0</v>
      </c>
      <c r="I759" s="20">
        <v>0</v>
      </c>
      <c r="J759" s="20">
        <v>0</v>
      </c>
      <c r="K759" s="21">
        <v>0</v>
      </c>
      <c r="L759" s="20">
        <v>0</v>
      </c>
      <c r="M759" s="20">
        <v>333.8</v>
      </c>
      <c r="N759" s="20">
        <f>M759*3686</f>
        <v>1230386.8</v>
      </c>
      <c r="O759" s="20">
        <v>0</v>
      </c>
      <c r="P759" s="20">
        <v>0</v>
      </c>
      <c r="Q759" s="20">
        <v>0</v>
      </c>
      <c r="R759" s="20">
        <v>0</v>
      </c>
      <c r="S759" s="20">
        <v>0</v>
      </c>
      <c r="T759" s="20">
        <v>0</v>
      </c>
      <c r="U759" s="20">
        <v>0</v>
      </c>
      <c r="V759" s="1">
        <f t="shared" si="362"/>
        <v>3686</v>
      </c>
    </row>
    <row r="760" spans="1:22" ht="45" customHeight="1" x14ac:dyDescent="0.25">
      <c r="A760" s="63" t="s">
        <v>378</v>
      </c>
      <c r="B760" s="63"/>
      <c r="C760" s="12">
        <f t="shared" si="325"/>
        <v>3354260</v>
      </c>
      <c r="D760" s="12">
        <f t="shared" ref="D760:U760" si="363">SUM(D761:D762)</f>
        <v>0</v>
      </c>
      <c r="E760" s="12">
        <f t="shared" si="363"/>
        <v>0</v>
      </c>
      <c r="F760" s="12">
        <f t="shared" si="363"/>
        <v>0</v>
      </c>
      <c r="G760" s="12">
        <f t="shared" si="363"/>
        <v>0</v>
      </c>
      <c r="H760" s="12">
        <f t="shared" si="363"/>
        <v>0</v>
      </c>
      <c r="I760" s="12">
        <f t="shared" si="363"/>
        <v>0</v>
      </c>
      <c r="J760" s="12">
        <f t="shared" si="363"/>
        <v>0</v>
      </c>
      <c r="K760" s="13">
        <f t="shared" si="363"/>
        <v>0</v>
      </c>
      <c r="L760" s="12">
        <f t="shared" si="363"/>
        <v>0</v>
      </c>
      <c r="M760" s="12">
        <f t="shared" si="363"/>
        <v>910</v>
      </c>
      <c r="N760" s="12">
        <f t="shared" si="363"/>
        <v>3354260</v>
      </c>
      <c r="O760" s="12">
        <f t="shared" si="363"/>
        <v>0</v>
      </c>
      <c r="P760" s="12">
        <f t="shared" si="363"/>
        <v>0</v>
      </c>
      <c r="Q760" s="12">
        <f t="shared" si="363"/>
        <v>0</v>
      </c>
      <c r="R760" s="12">
        <f t="shared" si="363"/>
        <v>0</v>
      </c>
      <c r="S760" s="12">
        <f t="shared" si="363"/>
        <v>0</v>
      </c>
      <c r="T760" s="12">
        <f t="shared" si="363"/>
        <v>0</v>
      </c>
      <c r="U760" s="12">
        <f t="shared" si="363"/>
        <v>0</v>
      </c>
      <c r="V760" s="22">
        <f>C760</f>
        <v>3354260</v>
      </c>
    </row>
    <row r="761" spans="1:22" ht="21.95" customHeight="1" x14ac:dyDescent="0.25">
      <c r="A761" s="18" t="s">
        <v>1043</v>
      </c>
      <c r="B761" s="41" t="s">
        <v>1629</v>
      </c>
      <c r="C761" s="12">
        <f t="shared" si="325"/>
        <v>3354260</v>
      </c>
      <c r="D761" s="20">
        <f t="shared" ref="D761" si="364">SUM(E761:J761)</f>
        <v>0</v>
      </c>
      <c r="E761" s="20">
        <v>0</v>
      </c>
      <c r="F761" s="20">
        <f>800*0</f>
        <v>0</v>
      </c>
      <c r="G761" s="20">
        <f>350*0</f>
        <v>0</v>
      </c>
      <c r="H761" s="20">
        <f>500*0</f>
        <v>0</v>
      </c>
      <c r="I761" s="20">
        <f>400*0</f>
        <v>0</v>
      </c>
      <c r="J761" s="20">
        <v>0</v>
      </c>
      <c r="K761" s="21">
        <v>0</v>
      </c>
      <c r="L761" s="20">
        <v>0</v>
      </c>
      <c r="M761" s="20">
        <v>910</v>
      </c>
      <c r="N761" s="20">
        <f>M761*3686</f>
        <v>3354260</v>
      </c>
      <c r="O761" s="20">
        <v>0</v>
      </c>
      <c r="P761" s="20">
        <v>0</v>
      </c>
      <c r="Q761" s="20">
        <v>0</v>
      </c>
      <c r="R761" s="20">
        <v>0</v>
      </c>
      <c r="S761" s="20">
        <v>0</v>
      </c>
      <c r="T761" s="20">
        <v>0</v>
      </c>
      <c r="U761" s="20">
        <v>0</v>
      </c>
      <c r="V761" s="1">
        <f t="shared" ref="V761" si="365">N761/M761</f>
        <v>3686</v>
      </c>
    </row>
    <row r="762" spans="1:22" s="15" customFormat="1" ht="24.95" customHeight="1" x14ac:dyDescent="0.25">
      <c r="A762" s="65" t="s">
        <v>213</v>
      </c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14"/>
    </row>
    <row r="763" spans="1:22" ht="24.95" customHeight="1" x14ac:dyDescent="0.25">
      <c r="A763" s="64" t="s">
        <v>214</v>
      </c>
      <c r="B763" s="64"/>
      <c r="C763" s="12">
        <f t="shared" ref="C763:U763" si="366">C764+C767+C787+C790+C794+C797+C800+C804+C806+C809+C814+C816+C820+C822+C825+C827+C829+C831+C833+C838+C840+C856+C860+C865+C867+C878+C881+C884+C1054+C1056+C1058+C1060+C1062+C1066+C1069+C1072+C1074+C1076+C1078+C1081+C1083+C1098</f>
        <v>1349147629.6599998</v>
      </c>
      <c r="D763" s="12">
        <f t="shared" si="366"/>
        <v>257806651.5</v>
      </c>
      <c r="E763" s="12">
        <f t="shared" si="366"/>
        <v>43193122</v>
      </c>
      <c r="F763" s="12">
        <f t="shared" si="366"/>
        <v>93360592</v>
      </c>
      <c r="G763" s="12">
        <f t="shared" si="366"/>
        <v>40569683.5</v>
      </c>
      <c r="H763" s="12">
        <f t="shared" si="366"/>
        <v>32637890</v>
      </c>
      <c r="I763" s="12">
        <f t="shared" si="366"/>
        <v>48045364</v>
      </c>
      <c r="J763" s="12">
        <f t="shared" si="366"/>
        <v>0</v>
      </c>
      <c r="K763" s="12">
        <f t="shared" si="366"/>
        <v>5</v>
      </c>
      <c r="L763" s="12">
        <f t="shared" si="366"/>
        <v>11050000</v>
      </c>
      <c r="M763" s="12">
        <f t="shared" si="366"/>
        <v>146976.81000000003</v>
      </c>
      <c r="N763" s="12">
        <f t="shared" si="366"/>
        <v>768876124.15999997</v>
      </c>
      <c r="O763" s="12">
        <f t="shared" si="366"/>
        <v>1768.9</v>
      </c>
      <c r="P763" s="12">
        <f t="shared" si="366"/>
        <v>2525760</v>
      </c>
      <c r="Q763" s="12">
        <f t="shared" si="366"/>
        <v>82950.740000000005</v>
      </c>
      <c r="R763" s="12">
        <f t="shared" si="366"/>
        <v>248852220</v>
      </c>
      <c r="S763" s="12">
        <f t="shared" si="366"/>
        <v>2736874</v>
      </c>
      <c r="T763" s="12">
        <f t="shared" si="366"/>
        <v>0</v>
      </c>
      <c r="U763" s="12">
        <f t="shared" si="366"/>
        <v>57300000</v>
      </c>
    </row>
    <row r="764" spans="1:22" ht="45" customHeight="1" x14ac:dyDescent="0.25">
      <c r="A764" s="63" t="s">
        <v>1936</v>
      </c>
      <c r="B764" s="63"/>
      <c r="C764" s="12">
        <f t="shared" ref="C764:C825" si="367">D764+L764+N764+P764+R764+S764+T764+U764</f>
        <v>10239500</v>
      </c>
      <c r="D764" s="12">
        <f t="shared" ref="D764:U764" si="368">SUM(D765:D766)</f>
        <v>0</v>
      </c>
      <c r="E764" s="12">
        <f t="shared" si="368"/>
        <v>0</v>
      </c>
      <c r="F764" s="12">
        <f t="shared" si="368"/>
        <v>0</v>
      </c>
      <c r="G764" s="12">
        <f t="shared" si="368"/>
        <v>0</v>
      </c>
      <c r="H764" s="12">
        <f t="shared" si="368"/>
        <v>0</v>
      </c>
      <c r="I764" s="12">
        <f t="shared" si="368"/>
        <v>0</v>
      </c>
      <c r="J764" s="12">
        <f t="shared" si="368"/>
        <v>0</v>
      </c>
      <c r="K764" s="13">
        <f t="shared" si="368"/>
        <v>0</v>
      </c>
      <c r="L764" s="12">
        <f t="shared" si="368"/>
        <v>0</v>
      </c>
      <c r="M764" s="12">
        <f t="shared" si="368"/>
        <v>1789</v>
      </c>
      <c r="N764" s="12">
        <f t="shared" si="368"/>
        <v>9839500</v>
      </c>
      <c r="O764" s="12">
        <f t="shared" si="368"/>
        <v>0</v>
      </c>
      <c r="P764" s="12">
        <f t="shared" si="368"/>
        <v>0</v>
      </c>
      <c r="Q764" s="12">
        <f t="shared" si="368"/>
        <v>0</v>
      </c>
      <c r="R764" s="12">
        <f t="shared" si="368"/>
        <v>0</v>
      </c>
      <c r="S764" s="12">
        <f t="shared" si="368"/>
        <v>0</v>
      </c>
      <c r="T764" s="12">
        <f t="shared" si="368"/>
        <v>0</v>
      </c>
      <c r="U764" s="12">
        <f t="shared" si="368"/>
        <v>400000</v>
      </c>
    </row>
    <row r="765" spans="1:22" ht="21.95" customHeight="1" x14ac:dyDescent="0.25">
      <c r="A765" s="18" t="s">
        <v>1044</v>
      </c>
      <c r="B765" s="19" t="s">
        <v>19</v>
      </c>
      <c r="C765" s="12">
        <f t="shared" si="367"/>
        <v>5397500</v>
      </c>
      <c r="D765" s="20">
        <f t="shared" ref="D765:D766" si="369">SUM(E765:J765)</f>
        <v>0</v>
      </c>
      <c r="E765" s="20">
        <v>0</v>
      </c>
      <c r="F765" s="20">
        <v>0</v>
      </c>
      <c r="G765" s="20">
        <v>0</v>
      </c>
      <c r="H765" s="20">
        <v>0</v>
      </c>
      <c r="I765" s="20">
        <v>0</v>
      </c>
      <c r="J765" s="20">
        <v>0</v>
      </c>
      <c r="K765" s="21">
        <v>0</v>
      </c>
      <c r="L765" s="20">
        <v>0</v>
      </c>
      <c r="M765" s="20">
        <v>945</v>
      </c>
      <c r="N765" s="20">
        <f t="shared" ref="N765:N766" si="370">M765*5500</f>
        <v>5197500</v>
      </c>
      <c r="O765" s="20">
        <v>0</v>
      </c>
      <c r="P765" s="20">
        <v>0</v>
      </c>
      <c r="Q765" s="20">
        <v>0</v>
      </c>
      <c r="R765" s="20">
        <f t="shared" ref="R765:R766" si="371">Q765*3000</f>
        <v>0</v>
      </c>
      <c r="S765" s="20">
        <v>0</v>
      </c>
      <c r="T765" s="20">
        <v>0</v>
      </c>
      <c r="U765" s="20">
        <v>200000</v>
      </c>
      <c r="V765" s="1">
        <f t="shared" ref="V765:V766" si="372">N765/M765</f>
        <v>5500</v>
      </c>
    </row>
    <row r="766" spans="1:22" ht="21.95" customHeight="1" x14ac:dyDescent="0.25">
      <c r="A766" s="18" t="s">
        <v>1045</v>
      </c>
      <c r="B766" s="19" t="s">
        <v>24</v>
      </c>
      <c r="C766" s="12">
        <f t="shared" si="367"/>
        <v>4842000</v>
      </c>
      <c r="D766" s="20">
        <f t="shared" si="369"/>
        <v>0</v>
      </c>
      <c r="E766" s="20">
        <v>0</v>
      </c>
      <c r="F766" s="20">
        <v>0</v>
      </c>
      <c r="G766" s="20">
        <v>0</v>
      </c>
      <c r="H766" s="20">
        <v>0</v>
      </c>
      <c r="I766" s="20">
        <v>0</v>
      </c>
      <c r="J766" s="20">
        <v>0</v>
      </c>
      <c r="K766" s="21">
        <v>0</v>
      </c>
      <c r="L766" s="20">
        <v>0</v>
      </c>
      <c r="M766" s="20">
        <v>844</v>
      </c>
      <c r="N766" s="20">
        <f t="shared" si="370"/>
        <v>4642000</v>
      </c>
      <c r="O766" s="20">
        <v>0</v>
      </c>
      <c r="P766" s="20">
        <v>0</v>
      </c>
      <c r="Q766" s="20">
        <v>0</v>
      </c>
      <c r="R766" s="20">
        <f t="shared" si="371"/>
        <v>0</v>
      </c>
      <c r="S766" s="20">
        <v>0</v>
      </c>
      <c r="T766" s="20">
        <v>0</v>
      </c>
      <c r="U766" s="20">
        <v>200000</v>
      </c>
      <c r="V766" s="1">
        <f t="shared" si="372"/>
        <v>5500</v>
      </c>
    </row>
    <row r="767" spans="1:22" ht="45" customHeight="1" x14ac:dyDescent="0.25">
      <c r="A767" s="63" t="s">
        <v>0</v>
      </c>
      <c r="B767" s="63"/>
      <c r="C767" s="12">
        <f t="shared" si="367"/>
        <v>125033084.3</v>
      </c>
      <c r="D767" s="12">
        <f t="shared" ref="D767:U767" si="373">SUM(D768:D786)</f>
        <v>18960734</v>
      </c>
      <c r="E767" s="12">
        <f t="shared" si="373"/>
        <v>3574095</v>
      </c>
      <c r="F767" s="12">
        <f t="shared" si="373"/>
        <v>7727864</v>
      </c>
      <c r="G767" s="12">
        <f t="shared" si="373"/>
        <v>3574095</v>
      </c>
      <c r="H767" s="12">
        <f t="shared" si="373"/>
        <v>0</v>
      </c>
      <c r="I767" s="12">
        <f t="shared" si="373"/>
        <v>4084680</v>
      </c>
      <c r="J767" s="12">
        <f t="shared" si="373"/>
        <v>0</v>
      </c>
      <c r="K767" s="13">
        <f t="shared" si="373"/>
        <v>0</v>
      </c>
      <c r="L767" s="12">
        <f t="shared" si="373"/>
        <v>0</v>
      </c>
      <c r="M767" s="12">
        <f t="shared" si="373"/>
        <v>16981.579999999998</v>
      </c>
      <c r="N767" s="12">
        <f t="shared" si="373"/>
        <v>82544530.299999997</v>
      </c>
      <c r="O767" s="12">
        <f t="shared" si="373"/>
        <v>0</v>
      </c>
      <c r="P767" s="12">
        <f t="shared" si="373"/>
        <v>0</v>
      </c>
      <c r="Q767" s="12">
        <f t="shared" si="373"/>
        <v>6575.94</v>
      </c>
      <c r="R767" s="12">
        <f t="shared" si="373"/>
        <v>19727820</v>
      </c>
      <c r="S767" s="12">
        <f t="shared" si="373"/>
        <v>0</v>
      </c>
      <c r="T767" s="12">
        <f t="shared" si="373"/>
        <v>0</v>
      </c>
      <c r="U767" s="12">
        <f t="shared" si="373"/>
        <v>3800000</v>
      </c>
    </row>
    <row r="768" spans="1:22" ht="20.100000000000001" customHeight="1" x14ac:dyDescent="0.25">
      <c r="A768" s="18" t="s">
        <v>1046</v>
      </c>
      <c r="B768" s="25" t="s">
        <v>1393</v>
      </c>
      <c r="C768" s="12">
        <f t="shared" si="367"/>
        <v>12559158</v>
      </c>
      <c r="D768" s="20">
        <f t="shared" ref="D768:D786" si="374">SUM(E768:J768)</f>
        <v>0</v>
      </c>
      <c r="E768" s="20">
        <v>0</v>
      </c>
      <c r="F768" s="20">
        <v>0</v>
      </c>
      <c r="G768" s="20">
        <v>0</v>
      </c>
      <c r="H768" s="20">
        <v>0</v>
      </c>
      <c r="I768" s="20">
        <v>0</v>
      </c>
      <c r="J768" s="20">
        <v>0</v>
      </c>
      <c r="K768" s="9">
        <v>0</v>
      </c>
      <c r="L768" s="8">
        <v>0</v>
      </c>
      <c r="M768" s="8">
        <v>3353</v>
      </c>
      <c r="N768" s="20">
        <f>M768*3686</f>
        <v>12359158</v>
      </c>
      <c r="O768" s="8">
        <v>0</v>
      </c>
      <c r="P768" s="8">
        <v>0</v>
      </c>
      <c r="Q768" s="8">
        <v>0</v>
      </c>
      <c r="R768" s="20">
        <f t="shared" ref="R768:R786" si="375">Q768*3000</f>
        <v>0</v>
      </c>
      <c r="S768" s="8">
        <v>0</v>
      </c>
      <c r="T768" s="8">
        <v>0</v>
      </c>
      <c r="U768" s="8">
        <v>200000</v>
      </c>
      <c r="V768" s="1">
        <f t="shared" ref="V768:V786" si="376">N768/M768</f>
        <v>3686</v>
      </c>
    </row>
    <row r="769" spans="1:22" ht="20.100000000000001" customHeight="1" x14ac:dyDescent="0.25">
      <c r="A769" s="18" t="s">
        <v>1047</v>
      </c>
      <c r="B769" s="25" t="s">
        <v>46</v>
      </c>
      <c r="C769" s="12">
        <f t="shared" si="367"/>
        <v>3027500</v>
      </c>
      <c r="D769" s="20">
        <f t="shared" si="374"/>
        <v>0</v>
      </c>
      <c r="E769" s="20">
        <v>0</v>
      </c>
      <c r="F769" s="20">
        <v>0</v>
      </c>
      <c r="G769" s="20">
        <v>0</v>
      </c>
      <c r="H769" s="20">
        <v>0</v>
      </c>
      <c r="I769" s="20">
        <v>0</v>
      </c>
      <c r="J769" s="20">
        <v>0</v>
      </c>
      <c r="K769" s="21">
        <v>0</v>
      </c>
      <c r="L769" s="20">
        <v>0</v>
      </c>
      <c r="M769" s="20">
        <v>0</v>
      </c>
      <c r="N769" s="24">
        <v>0</v>
      </c>
      <c r="O769" s="20">
        <v>0</v>
      </c>
      <c r="P769" s="20">
        <v>0</v>
      </c>
      <c r="Q769" s="20">
        <v>942.5</v>
      </c>
      <c r="R769" s="20">
        <f t="shared" si="375"/>
        <v>2827500</v>
      </c>
      <c r="S769" s="20">
        <v>0</v>
      </c>
      <c r="T769" s="8">
        <v>0</v>
      </c>
      <c r="U769" s="20">
        <v>200000</v>
      </c>
      <c r="V769" s="1" t="e">
        <f t="shared" si="376"/>
        <v>#DIV/0!</v>
      </c>
    </row>
    <row r="770" spans="1:22" ht="20.100000000000001" customHeight="1" x14ac:dyDescent="0.25">
      <c r="A770" s="18" t="s">
        <v>1048</v>
      </c>
      <c r="B770" s="25" t="s">
        <v>49</v>
      </c>
      <c r="C770" s="12">
        <f t="shared" si="367"/>
        <v>10586860</v>
      </c>
      <c r="D770" s="20">
        <f t="shared" si="374"/>
        <v>0</v>
      </c>
      <c r="E770" s="20">
        <v>0</v>
      </c>
      <c r="F770" s="20">
        <v>0</v>
      </c>
      <c r="G770" s="20">
        <v>0</v>
      </c>
      <c r="H770" s="20">
        <v>0</v>
      </c>
      <c r="I770" s="20">
        <v>0</v>
      </c>
      <c r="J770" s="20">
        <v>0</v>
      </c>
      <c r="K770" s="21">
        <v>0</v>
      </c>
      <c r="L770" s="20">
        <v>0</v>
      </c>
      <c r="M770" s="20">
        <v>946.28</v>
      </c>
      <c r="N770" s="20">
        <f t="shared" ref="N770" si="377">M770*5500</f>
        <v>5204540</v>
      </c>
      <c r="O770" s="20">
        <v>0</v>
      </c>
      <c r="P770" s="20">
        <v>0</v>
      </c>
      <c r="Q770" s="20">
        <v>1727.44</v>
      </c>
      <c r="R770" s="20">
        <f t="shared" si="375"/>
        <v>5182320</v>
      </c>
      <c r="S770" s="20">
        <v>0</v>
      </c>
      <c r="T770" s="8">
        <v>0</v>
      </c>
      <c r="U770" s="20">
        <v>200000</v>
      </c>
      <c r="V770" s="1">
        <f t="shared" si="376"/>
        <v>5500</v>
      </c>
    </row>
    <row r="771" spans="1:22" ht="20.100000000000001" customHeight="1" x14ac:dyDescent="0.25">
      <c r="A771" s="18" t="s">
        <v>1049</v>
      </c>
      <c r="B771" s="25" t="s">
        <v>1394</v>
      </c>
      <c r="C771" s="12">
        <f t="shared" si="367"/>
        <v>7727192</v>
      </c>
      <c r="D771" s="20">
        <f t="shared" si="374"/>
        <v>7527192</v>
      </c>
      <c r="E771" s="20">
        <f>350*3961.68</f>
        <v>1386588</v>
      </c>
      <c r="F771" s="20">
        <f>800*3961.68</f>
        <v>3169344</v>
      </c>
      <c r="G771" s="20">
        <f>350*3961.68</f>
        <v>1386588</v>
      </c>
      <c r="H771" s="20">
        <f>500*0</f>
        <v>0</v>
      </c>
      <c r="I771" s="20">
        <f>400*3961.68</f>
        <v>1584672</v>
      </c>
      <c r="J771" s="20">
        <v>0</v>
      </c>
      <c r="K771" s="21">
        <v>0</v>
      </c>
      <c r="L771" s="20">
        <v>0</v>
      </c>
      <c r="M771" s="20">
        <v>0</v>
      </c>
      <c r="N771" s="24">
        <v>0</v>
      </c>
      <c r="O771" s="20">
        <v>0</v>
      </c>
      <c r="P771" s="20">
        <v>0</v>
      </c>
      <c r="Q771" s="20">
        <v>0</v>
      </c>
      <c r="R771" s="20">
        <f t="shared" si="375"/>
        <v>0</v>
      </c>
      <c r="S771" s="20">
        <v>0</v>
      </c>
      <c r="T771" s="8">
        <v>0</v>
      </c>
      <c r="U771" s="20">
        <v>200000</v>
      </c>
      <c r="V771" s="1" t="e">
        <f t="shared" si="376"/>
        <v>#DIV/0!</v>
      </c>
    </row>
    <row r="772" spans="1:22" ht="20.100000000000001" customHeight="1" x14ac:dyDescent="0.25">
      <c r="A772" s="18" t="s">
        <v>1050</v>
      </c>
      <c r="B772" s="25" t="s">
        <v>1397</v>
      </c>
      <c r="C772" s="12">
        <f t="shared" si="367"/>
        <v>22134000</v>
      </c>
      <c r="D772" s="20">
        <f t="shared" si="374"/>
        <v>0</v>
      </c>
      <c r="E772" s="20">
        <v>0</v>
      </c>
      <c r="F772" s="20">
        <v>0</v>
      </c>
      <c r="G772" s="20">
        <v>0</v>
      </c>
      <c r="H772" s="20">
        <v>0</v>
      </c>
      <c r="I772" s="20">
        <v>0</v>
      </c>
      <c r="J772" s="20">
        <v>0</v>
      </c>
      <c r="K772" s="21">
        <v>0</v>
      </c>
      <c r="L772" s="20">
        <v>0</v>
      </c>
      <c r="M772" s="20">
        <v>3137.2</v>
      </c>
      <c r="N772" s="20">
        <f t="shared" ref="N772" si="378">M772*5500</f>
        <v>17254600</v>
      </c>
      <c r="O772" s="20">
        <v>0</v>
      </c>
      <c r="P772" s="20">
        <v>0</v>
      </c>
      <c r="Q772" s="20">
        <v>1559.8</v>
      </c>
      <c r="R772" s="20">
        <f t="shared" si="375"/>
        <v>4679400</v>
      </c>
      <c r="S772" s="20">
        <v>0</v>
      </c>
      <c r="T772" s="8">
        <v>0</v>
      </c>
      <c r="U772" s="20">
        <v>200000</v>
      </c>
      <c r="V772" s="1">
        <f t="shared" si="376"/>
        <v>5500</v>
      </c>
    </row>
    <row r="773" spans="1:22" ht="20.100000000000001" customHeight="1" x14ac:dyDescent="0.25">
      <c r="A773" s="18" t="s">
        <v>1051</v>
      </c>
      <c r="B773" s="25" t="s">
        <v>11</v>
      </c>
      <c r="C773" s="12">
        <f t="shared" si="367"/>
        <v>2829500</v>
      </c>
      <c r="D773" s="20">
        <f t="shared" si="374"/>
        <v>0</v>
      </c>
      <c r="E773" s="20">
        <v>0</v>
      </c>
      <c r="F773" s="20">
        <v>0</v>
      </c>
      <c r="G773" s="20">
        <v>0</v>
      </c>
      <c r="H773" s="20">
        <v>0</v>
      </c>
      <c r="I773" s="20">
        <v>0</v>
      </c>
      <c r="J773" s="20">
        <v>0</v>
      </c>
      <c r="K773" s="21">
        <v>0</v>
      </c>
      <c r="L773" s="20">
        <v>0</v>
      </c>
      <c r="M773" s="20">
        <v>0</v>
      </c>
      <c r="N773" s="24">
        <v>0</v>
      </c>
      <c r="O773" s="20">
        <v>0</v>
      </c>
      <c r="P773" s="20">
        <v>0</v>
      </c>
      <c r="Q773" s="20">
        <v>876.5</v>
      </c>
      <c r="R773" s="20">
        <f t="shared" si="375"/>
        <v>2629500</v>
      </c>
      <c r="S773" s="20">
        <v>0</v>
      </c>
      <c r="T773" s="8">
        <v>0</v>
      </c>
      <c r="U773" s="20">
        <v>200000</v>
      </c>
      <c r="V773" s="1" t="e">
        <f t="shared" si="376"/>
        <v>#DIV/0!</v>
      </c>
    </row>
    <row r="774" spans="1:22" ht="20.100000000000001" customHeight="1" x14ac:dyDescent="0.25">
      <c r="A774" s="18" t="s">
        <v>1052</v>
      </c>
      <c r="B774" s="23" t="s">
        <v>59</v>
      </c>
      <c r="C774" s="12">
        <f t="shared" si="367"/>
        <v>3500444.4</v>
      </c>
      <c r="D774" s="20">
        <f t="shared" si="374"/>
        <v>0</v>
      </c>
      <c r="E774" s="20">
        <v>0</v>
      </c>
      <c r="F774" s="20">
        <v>0</v>
      </c>
      <c r="G774" s="20">
        <v>0</v>
      </c>
      <c r="H774" s="20">
        <v>0</v>
      </c>
      <c r="I774" s="20">
        <v>0</v>
      </c>
      <c r="J774" s="20">
        <v>0</v>
      </c>
      <c r="K774" s="21">
        <v>0</v>
      </c>
      <c r="L774" s="20">
        <v>0</v>
      </c>
      <c r="M774" s="20">
        <v>895.4</v>
      </c>
      <c r="N774" s="20">
        <f>M774*3686</f>
        <v>3300444.4</v>
      </c>
      <c r="O774" s="20">
        <v>0</v>
      </c>
      <c r="P774" s="20">
        <v>0</v>
      </c>
      <c r="Q774" s="20">
        <v>0</v>
      </c>
      <c r="R774" s="20">
        <f t="shared" si="375"/>
        <v>0</v>
      </c>
      <c r="S774" s="20">
        <v>0</v>
      </c>
      <c r="T774" s="8">
        <v>0</v>
      </c>
      <c r="U774" s="20">
        <v>200000</v>
      </c>
      <c r="V774" s="1">
        <f t="shared" si="376"/>
        <v>3686</v>
      </c>
    </row>
    <row r="775" spans="1:22" ht="20.100000000000001" customHeight="1" x14ac:dyDescent="0.25">
      <c r="A775" s="18" t="s">
        <v>1053</v>
      </c>
      <c r="B775" s="42" t="s">
        <v>62</v>
      </c>
      <c r="C775" s="12">
        <f t="shared" si="367"/>
        <v>5481650</v>
      </c>
      <c r="D775" s="20">
        <f t="shared" si="374"/>
        <v>0</v>
      </c>
      <c r="E775" s="20">
        <v>0</v>
      </c>
      <c r="F775" s="20">
        <v>0</v>
      </c>
      <c r="G775" s="20">
        <v>0</v>
      </c>
      <c r="H775" s="20">
        <v>0</v>
      </c>
      <c r="I775" s="20">
        <v>0</v>
      </c>
      <c r="J775" s="20">
        <v>0</v>
      </c>
      <c r="K775" s="21">
        <v>0</v>
      </c>
      <c r="L775" s="20">
        <v>0</v>
      </c>
      <c r="M775" s="20">
        <v>960.3</v>
      </c>
      <c r="N775" s="20">
        <f t="shared" ref="N775" si="379">M775*5500</f>
        <v>5281650</v>
      </c>
      <c r="O775" s="20">
        <v>0</v>
      </c>
      <c r="P775" s="20">
        <v>0</v>
      </c>
      <c r="Q775" s="20">
        <v>0</v>
      </c>
      <c r="R775" s="20">
        <f t="shared" si="375"/>
        <v>0</v>
      </c>
      <c r="S775" s="20">
        <v>0</v>
      </c>
      <c r="T775" s="8">
        <v>0</v>
      </c>
      <c r="U775" s="20">
        <v>200000</v>
      </c>
      <c r="V775" s="1">
        <f t="shared" si="376"/>
        <v>5500</v>
      </c>
    </row>
    <row r="776" spans="1:22" ht="20.100000000000001" customHeight="1" x14ac:dyDescent="0.25">
      <c r="A776" s="18" t="s">
        <v>1466</v>
      </c>
      <c r="B776" s="43" t="s">
        <v>63</v>
      </c>
      <c r="C776" s="12">
        <f t="shared" si="367"/>
        <v>3963406</v>
      </c>
      <c r="D776" s="20">
        <f t="shared" si="374"/>
        <v>0</v>
      </c>
      <c r="E776" s="20">
        <v>0</v>
      </c>
      <c r="F776" s="20">
        <v>0</v>
      </c>
      <c r="G776" s="20">
        <v>0</v>
      </c>
      <c r="H776" s="20">
        <v>0</v>
      </c>
      <c r="I776" s="20">
        <v>0</v>
      </c>
      <c r="J776" s="20">
        <v>0</v>
      </c>
      <c r="K776" s="21">
        <v>0</v>
      </c>
      <c r="L776" s="20">
        <v>0</v>
      </c>
      <c r="M776" s="20">
        <v>1021</v>
      </c>
      <c r="N776" s="20">
        <f>M776*3686</f>
        <v>3763406</v>
      </c>
      <c r="O776" s="20">
        <v>0</v>
      </c>
      <c r="P776" s="20">
        <v>0</v>
      </c>
      <c r="Q776" s="20">
        <v>0</v>
      </c>
      <c r="R776" s="20">
        <f t="shared" si="375"/>
        <v>0</v>
      </c>
      <c r="S776" s="20">
        <v>0</v>
      </c>
      <c r="T776" s="8">
        <v>0</v>
      </c>
      <c r="U776" s="20">
        <v>200000</v>
      </c>
      <c r="V776" s="1">
        <f t="shared" si="376"/>
        <v>3686</v>
      </c>
    </row>
    <row r="777" spans="1:22" ht="20.100000000000001" customHeight="1" x14ac:dyDescent="0.25">
      <c r="A777" s="18" t="s">
        <v>1054</v>
      </c>
      <c r="B777" s="25" t="s">
        <v>35</v>
      </c>
      <c r="C777" s="12">
        <f t="shared" si="367"/>
        <v>24677642</v>
      </c>
      <c r="D777" s="20">
        <f t="shared" si="374"/>
        <v>8751742</v>
      </c>
      <c r="E777" s="20">
        <f>350*4606.18</f>
        <v>1612163</v>
      </c>
      <c r="F777" s="20">
        <f>800*4606.18</f>
        <v>3684944</v>
      </c>
      <c r="G777" s="20">
        <f>350*4606.18</f>
        <v>1612163</v>
      </c>
      <c r="H777" s="20">
        <f>500*0</f>
        <v>0</v>
      </c>
      <c r="I777" s="20">
        <f>400*4606.18</f>
        <v>1842472</v>
      </c>
      <c r="J777" s="20">
        <v>0</v>
      </c>
      <c r="K777" s="21">
        <v>0</v>
      </c>
      <c r="L777" s="20">
        <v>0</v>
      </c>
      <c r="M777" s="20">
        <v>2057.6</v>
      </c>
      <c r="N777" s="20">
        <f t="shared" ref="N777:N779" si="380">M777*5500</f>
        <v>11316800</v>
      </c>
      <c r="O777" s="20">
        <v>0</v>
      </c>
      <c r="P777" s="20">
        <v>0</v>
      </c>
      <c r="Q777" s="20">
        <v>1469.7</v>
      </c>
      <c r="R777" s="20">
        <f t="shared" si="375"/>
        <v>4409100</v>
      </c>
      <c r="S777" s="20">
        <v>0</v>
      </c>
      <c r="T777" s="8">
        <v>0</v>
      </c>
      <c r="U777" s="20">
        <v>200000</v>
      </c>
      <c r="V777" s="1">
        <f t="shared" si="376"/>
        <v>5500</v>
      </c>
    </row>
    <row r="778" spans="1:22" ht="20.100000000000001" customHeight="1" x14ac:dyDescent="0.25">
      <c r="A778" s="18" t="s">
        <v>1931</v>
      </c>
      <c r="B778" s="25" t="s">
        <v>65</v>
      </c>
      <c r="C778" s="12">
        <f t="shared" si="367"/>
        <v>3595700</v>
      </c>
      <c r="D778" s="20">
        <f t="shared" si="374"/>
        <v>0</v>
      </c>
      <c r="E778" s="20">
        <v>0</v>
      </c>
      <c r="F778" s="20">
        <v>0</v>
      </c>
      <c r="G778" s="20">
        <v>0</v>
      </c>
      <c r="H778" s="20">
        <v>0</v>
      </c>
      <c r="I778" s="20">
        <v>0</v>
      </c>
      <c r="J778" s="20">
        <v>0</v>
      </c>
      <c r="K778" s="21">
        <v>0</v>
      </c>
      <c r="L778" s="20">
        <v>0</v>
      </c>
      <c r="M778" s="20">
        <v>617.4</v>
      </c>
      <c r="N778" s="20">
        <f t="shared" si="380"/>
        <v>3395700</v>
      </c>
      <c r="O778" s="20">
        <v>0</v>
      </c>
      <c r="P778" s="20">
        <v>0</v>
      </c>
      <c r="Q778" s="20">
        <v>0</v>
      </c>
      <c r="R778" s="20">
        <f t="shared" si="375"/>
        <v>0</v>
      </c>
      <c r="S778" s="20">
        <v>0</v>
      </c>
      <c r="T778" s="8">
        <v>0</v>
      </c>
      <c r="U778" s="20">
        <v>200000</v>
      </c>
      <c r="V778" s="1">
        <f t="shared" si="376"/>
        <v>5500</v>
      </c>
    </row>
    <row r="779" spans="1:22" ht="20.100000000000001" customHeight="1" x14ac:dyDescent="0.25">
      <c r="A779" s="18" t="s">
        <v>1055</v>
      </c>
      <c r="B779" s="25" t="s">
        <v>1395</v>
      </c>
      <c r="C779" s="12">
        <f t="shared" si="367"/>
        <v>4424000</v>
      </c>
      <c r="D779" s="20">
        <f t="shared" si="374"/>
        <v>0</v>
      </c>
      <c r="E779" s="20">
        <v>0</v>
      </c>
      <c r="F779" s="20">
        <v>0</v>
      </c>
      <c r="G779" s="20">
        <v>0</v>
      </c>
      <c r="H779" s="20">
        <v>0</v>
      </c>
      <c r="I779" s="20">
        <v>0</v>
      </c>
      <c r="J779" s="20">
        <v>0</v>
      </c>
      <c r="K779" s="21">
        <v>0</v>
      </c>
      <c r="L779" s="20">
        <v>0</v>
      </c>
      <c r="M779" s="20">
        <v>768</v>
      </c>
      <c r="N779" s="20">
        <f t="shared" si="380"/>
        <v>4224000</v>
      </c>
      <c r="O779" s="20">
        <v>0</v>
      </c>
      <c r="P779" s="20">
        <v>0</v>
      </c>
      <c r="Q779" s="20">
        <v>0</v>
      </c>
      <c r="R779" s="20">
        <f t="shared" si="375"/>
        <v>0</v>
      </c>
      <c r="S779" s="20">
        <v>0</v>
      </c>
      <c r="T779" s="8">
        <v>0</v>
      </c>
      <c r="U779" s="20">
        <v>200000</v>
      </c>
      <c r="V779" s="1">
        <f t="shared" si="376"/>
        <v>5500</v>
      </c>
    </row>
    <row r="780" spans="1:22" ht="20.100000000000001" customHeight="1" x14ac:dyDescent="0.25">
      <c r="A780" s="18" t="s">
        <v>1056</v>
      </c>
      <c r="B780" s="25" t="s">
        <v>66</v>
      </c>
      <c r="C780" s="12">
        <f t="shared" si="367"/>
        <v>2832356.9</v>
      </c>
      <c r="D780" s="20">
        <f t="shared" si="374"/>
        <v>0</v>
      </c>
      <c r="E780" s="20">
        <v>0</v>
      </c>
      <c r="F780" s="20">
        <v>0</v>
      </c>
      <c r="G780" s="20">
        <v>0</v>
      </c>
      <c r="H780" s="20">
        <v>0</v>
      </c>
      <c r="I780" s="20">
        <v>0</v>
      </c>
      <c r="J780" s="20">
        <v>0</v>
      </c>
      <c r="K780" s="21">
        <v>0</v>
      </c>
      <c r="L780" s="20">
        <v>0</v>
      </c>
      <c r="M780" s="20">
        <v>714.15</v>
      </c>
      <c r="N780" s="20">
        <f>M780*3686</f>
        <v>2632356.9</v>
      </c>
      <c r="O780" s="20">
        <v>0</v>
      </c>
      <c r="P780" s="20">
        <v>0</v>
      </c>
      <c r="Q780" s="20">
        <v>0</v>
      </c>
      <c r="R780" s="20">
        <f t="shared" si="375"/>
        <v>0</v>
      </c>
      <c r="S780" s="20">
        <v>0</v>
      </c>
      <c r="T780" s="8">
        <v>0</v>
      </c>
      <c r="U780" s="20">
        <v>200000</v>
      </c>
      <c r="V780" s="1">
        <f t="shared" si="376"/>
        <v>3686</v>
      </c>
    </row>
    <row r="781" spans="1:22" ht="20.100000000000001" customHeight="1" x14ac:dyDescent="0.25">
      <c r="A781" s="18" t="s">
        <v>1057</v>
      </c>
      <c r="B781" s="25" t="s">
        <v>67</v>
      </c>
      <c r="C781" s="12">
        <f t="shared" si="367"/>
        <v>2274743</v>
      </c>
      <c r="D781" s="20">
        <f t="shared" si="374"/>
        <v>2074743</v>
      </c>
      <c r="E781" s="20">
        <f>350*1091.97</f>
        <v>382189.5</v>
      </c>
      <c r="F781" s="20">
        <f>800*1091.97</f>
        <v>873576</v>
      </c>
      <c r="G781" s="20">
        <f>350*1091.97</f>
        <v>382189.5</v>
      </c>
      <c r="H781" s="20">
        <f>500*0</f>
        <v>0</v>
      </c>
      <c r="I781" s="20">
        <f>400*1091.97</f>
        <v>436788</v>
      </c>
      <c r="J781" s="20">
        <v>0</v>
      </c>
      <c r="K781" s="21">
        <v>0</v>
      </c>
      <c r="L781" s="20">
        <v>0</v>
      </c>
      <c r="M781" s="20">
        <v>0</v>
      </c>
      <c r="N781" s="24">
        <v>0</v>
      </c>
      <c r="O781" s="20">
        <v>0</v>
      </c>
      <c r="P781" s="20">
        <v>0</v>
      </c>
      <c r="Q781" s="20">
        <v>0</v>
      </c>
      <c r="R781" s="20">
        <f t="shared" si="375"/>
        <v>0</v>
      </c>
      <c r="S781" s="20">
        <v>0</v>
      </c>
      <c r="T781" s="8">
        <v>0</v>
      </c>
      <c r="U781" s="20">
        <v>200000</v>
      </c>
      <c r="V781" s="1" t="e">
        <f t="shared" si="376"/>
        <v>#DIV/0!</v>
      </c>
    </row>
    <row r="782" spans="1:22" ht="20.100000000000001" customHeight="1" x14ac:dyDescent="0.25">
      <c r="A782" s="18" t="s">
        <v>1058</v>
      </c>
      <c r="B782" s="25" t="s">
        <v>68</v>
      </c>
      <c r="C782" s="12">
        <f t="shared" si="367"/>
        <v>3525157</v>
      </c>
      <c r="D782" s="20">
        <f t="shared" si="374"/>
        <v>607057</v>
      </c>
      <c r="E782" s="20">
        <f>350*551.87</f>
        <v>193154.5</v>
      </c>
      <c r="F782" s="20">
        <f>800*0</f>
        <v>0</v>
      </c>
      <c r="G782" s="20">
        <f>350*551.87</f>
        <v>193154.5</v>
      </c>
      <c r="H782" s="20">
        <f>500*0</f>
        <v>0</v>
      </c>
      <c r="I782" s="20">
        <f>400*551.87</f>
        <v>220748</v>
      </c>
      <c r="J782" s="20">
        <v>0</v>
      </c>
      <c r="K782" s="21">
        <v>0</v>
      </c>
      <c r="L782" s="20">
        <v>0</v>
      </c>
      <c r="M782" s="20">
        <v>494.2</v>
      </c>
      <c r="N782" s="20">
        <f t="shared" ref="N782:N786" si="381">M782*5500</f>
        <v>2718100</v>
      </c>
      <c r="O782" s="20">
        <v>0</v>
      </c>
      <c r="P782" s="20">
        <v>0</v>
      </c>
      <c r="Q782" s="20">
        <v>0</v>
      </c>
      <c r="R782" s="20">
        <f t="shared" si="375"/>
        <v>0</v>
      </c>
      <c r="S782" s="20">
        <v>0</v>
      </c>
      <c r="T782" s="8">
        <v>0</v>
      </c>
      <c r="U782" s="20">
        <v>200000</v>
      </c>
      <c r="V782" s="1">
        <f t="shared" si="376"/>
        <v>5500</v>
      </c>
    </row>
    <row r="783" spans="1:22" ht="20.100000000000001" customHeight="1" x14ac:dyDescent="0.25">
      <c r="A783" s="18" t="s">
        <v>1059</v>
      </c>
      <c r="B783" s="25" t="s">
        <v>69</v>
      </c>
      <c r="C783" s="12">
        <f t="shared" si="367"/>
        <v>1653650</v>
      </c>
      <c r="D783" s="20">
        <f t="shared" si="374"/>
        <v>0</v>
      </c>
      <c r="E783" s="20">
        <v>0</v>
      </c>
      <c r="F783" s="20">
        <v>0</v>
      </c>
      <c r="G783" s="20">
        <v>0</v>
      </c>
      <c r="H783" s="20">
        <v>0</v>
      </c>
      <c r="I783" s="20">
        <v>0</v>
      </c>
      <c r="J783" s="20">
        <v>0</v>
      </c>
      <c r="K783" s="21">
        <v>0</v>
      </c>
      <c r="L783" s="20">
        <v>0</v>
      </c>
      <c r="M783" s="20">
        <v>264.3</v>
      </c>
      <c r="N783" s="20">
        <f t="shared" si="381"/>
        <v>1453650</v>
      </c>
      <c r="O783" s="20">
        <v>0</v>
      </c>
      <c r="P783" s="20">
        <v>0</v>
      </c>
      <c r="Q783" s="20">
        <v>0</v>
      </c>
      <c r="R783" s="20">
        <f t="shared" si="375"/>
        <v>0</v>
      </c>
      <c r="S783" s="20">
        <v>0</v>
      </c>
      <c r="T783" s="8">
        <v>0</v>
      </c>
      <c r="U783" s="20">
        <v>200000</v>
      </c>
      <c r="V783" s="1">
        <f t="shared" si="376"/>
        <v>5500</v>
      </c>
    </row>
    <row r="784" spans="1:22" ht="20.100000000000001" customHeight="1" x14ac:dyDescent="0.25">
      <c r="A784" s="18" t="s">
        <v>1060</v>
      </c>
      <c r="B784" s="25" t="s">
        <v>70</v>
      </c>
      <c r="C784" s="12">
        <f t="shared" si="367"/>
        <v>1709199.9999999998</v>
      </c>
      <c r="D784" s="20">
        <f t="shared" si="374"/>
        <v>0</v>
      </c>
      <c r="E784" s="20">
        <v>0</v>
      </c>
      <c r="F784" s="20">
        <v>0</v>
      </c>
      <c r="G784" s="20">
        <v>0</v>
      </c>
      <c r="H784" s="20">
        <v>0</v>
      </c>
      <c r="I784" s="20">
        <v>0</v>
      </c>
      <c r="J784" s="20">
        <v>0</v>
      </c>
      <c r="K784" s="21">
        <v>0</v>
      </c>
      <c r="L784" s="20">
        <v>0</v>
      </c>
      <c r="M784" s="20">
        <v>274.39999999999998</v>
      </c>
      <c r="N784" s="20">
        <f t="shared" si="381"/>
        <v>1509199.9999999998</v>
      </c>
      <c r="O784" s="20">
        <v>0</v>
      </c>
      <c r="P784" s="20">
        <v>0</v>
      </c>
      <c r="Q784" s="20">
        <v>0</v>
      </c>
      <c r="R784" s="20">
        <f t="shared" si="375"/>
        <v>0</v>
      </c>
      <c r="S784" s="20">
        <v>0</v>
      </c>
      <c r="T784" s="8">
        <v>0</v>
      </c>
      <c r="U784" s="20">
        <v>200000</v>
      </c>
      <c r="V784" s="1">
        <f t="shared" si="376"/>
        <v>5500</v>
      </c>
    </row>
    <row r="785" spans="1:258" ht="20.100000000000001" customHeight="1" x14ac:dyDescent="0.25">
      <c r="A785" s="18" t="s">
        <v>1061</v>
      </c>
      <c r="B785" s="25" t="s">
        <v>71</v>
      </c>
      <c r="C785" s="12">
        <f t="shared" si="367"/>
        <v>1664265</v>
      </c>
      <c r="D785" s="20">
        <f t="shared" si="374"/>
        <v>0</v>
      </c>
      <c r="E785" s="20">
        <v>0</v>
      </c>
      <c r="F785" s="20">
        <v>0</v>
      </c>
      <c r="G785" s="20">
        <v>0</v>
      </c>
      <c r="H785" s="20">
        <v>0</v>
      </c>
      <c r="I785" s="20">
        <v>0</v>
      </c>
      <c r="J785" s="20">
        <v>0</v>
      </c>
      <c r="K785" s="21">
        <v>0</v>
      </c>
      <c r="L785" s="20">
        <v>0</v>
      </c>
      <c r="M785" s="20">
        <v>266.23</v>
      </c>
      <c r="N785" s="20">
        <f t="shared" si="381"/>
        <v>1464265</v>
      </c>
      <c r="O785" s="20">
        <v>0</v>
      </c>
      <c r="P785" s="20">
        <v>0</v>
      </c>
      <c r="Q785" s="20">
        <v>0</v>
      </c>
      <c r="R785" s="20">
        <f t="shared" si="375"/>
        <v>0</v>
      </c>
      <c r="S785" s="20">
        <v>0</v>
      </c>
      <c r="T785" s="8">
        <v>0</v>
      </c>
      <c r="U785" s="20">
        <v>200000</v>
      </c>
      <c r="V785" s="1">
        <f t="shared" si="376"/>
        <v>5500</v>
      </c>
    </row>
    <row r="786" spans="1:258" ht="20.100000000000001" customHeight="1" x14ac:dyDescent="0.25">
      <c r="A786" s="18" t="s">
        <v>1062</v>
      </c>
      <c r="B786" s="25" t="s">
        <v>1223</v>
      </c>
      <c r="C786" s="12">
        <f t="shared" si="367"/>
        <v>6866659.9999999991</v>
      </c>
      <c r="D786" s="20">
        <f t="shared" si="374"/>
        <v>0</v>
      </c>
      <c r="E786" s="20">
        <v>0</v>
      </c>
      <c r="F786" s="20">
        <v>0</v>
      </c>
      <c r="G786" s="20">
        <v>0</v>
      </c>
      <c r="H786" s="20">
        <v>0</v>
      </c>
      <c r="I786" s="20">
        <v>0</v>
      </c>
      <c r="J786" s="20">
        <v>0</v>
      </c>
      <c r="K786" s="21">
        <v>0</v>
      </c>
      <c r="L786" s="20">
        <v>0</v>
      </c>
      <c r="M786" s="20">
        <v>1212.1199999999999</v>
      </c>
      <c r="N786" s="20">
        <f t="shared" si="381"/>
        <v>6666659.9999999991</v>
      </c>
      <c r="O786" s="20">
        <v>0</v>
      </c>
      <c r="P786" s="20">
        <v>0</v>
      </c>
      <c r="Q786" s="20">
        <v>0</v>
      </c>
      <c r="R786" s="20">
        <f t="shared" si="375"/>
        <v>0</v>
      </c>
      <c r="S786" s="20">
        <v>0</v>
      </c>
      <c r="T786" s="8">
        <v>0</v>
      </c>
      <c r="U786" s="20">
        <v>200000</v>
      </c>
      <c r="V786" s="1">
        <f t="shared" si="376"/>
        <v>5500</v>
      </c>
    </row>
    <row r="787" spans="1:258" ht="45" customHeight="1" x14ac:dyDescent="0.25">
      <c r="A787" s="63" t="s">
        <v>28</v>
      </c>
      <c r="B787" s="63"/>
      <c r="C787" s="12">
        <f t="shared" si="367"/>
        <v>6994924</v>
      </c>
      <c r="D787" s="12">
        <f t="shared" ref="D787:U787" si="382">SUM(D788:D789)</f>
        <v>293104</v>
      </c>
      <c r="E787" s="12">
        <f t="shared" si="382"/>
        <v>293104</v>
      </c>
      <c r="F787" s="12">
        <f t="shared" si="382"/>
        <v>0</v>
      </c>
      <c r="G787" s="12">
        <f t="shared" si="382"/>
        <v>0</v>
      </c>
      <c r="H787" s="12">
        <f t="shared" si="382"/>
        <v>0</v>
      </c>
      <c r="I787" s="12">
        <f t="shared" si="382"/>
        <v>0</v>
      </c>
      <c r="J787" s="12">
        <f t="shared" si="382"/>
        <v>0</v>
      </c>
      <c r="K787" s="13">
        <f t="shared" si="382"/>
        <v>0</v>
      </c>
      <c r="L787" s="12">
        <f t="shared" si="382"/>
        <v>0</v>
      </c>
      <c r="M787" s="12">
        <f t="shared" si="382"/>
        <v>746</v>
      </c>
      <c r="N787" s="12">
        <f t="shared" si="382"/>
        <v>4103000</v>
      </c>
      <c r="O787" s="12">
        <f t="shared" si="382"/>
        <v>0</v>
      </c>
      <c r="P787" s="12">
        <f t="shared" si="382"/>
        <v>0</v>
      </c>
      <c r="Q787" s="12">
        <f t="shared" si="382"/>
        <v>506</v>
      </c>
      <c r="R787" s="12">
        <f t="shared" si="382"/>
        <v>1518000</v>
      </c>
      <c r="S787" s="12">
        <f t="shared" si="382"/>
        <v>680820</v>
      </c>
      <c r="T787" s="12">
        <f t="shared" si="382"/>
        <v>0</v>
      </c>
      <c r="U787" s="12">
        <f t="shared" si="382"/>
        <v>400000</v>
      </c>
      <c r="V787" s="22">
        <f>C787</f>
        <v>6994924</v>
      </c>
    </row>
    <row r="788" spans="1:258" ht="21.95" customHeight="1" x14ac:dyDescent="0.25">
      <c r="A788" s="18" t="s">
        <v>1063</v>
      </c>
      <c r="B788" s="25" t="s">
        <v>29</v>
      </c>
      <c r="C788" s="12">
        <f t="shared" si="367"/>
        <v>1990047.5</v>
      </c>
      <c r="D788" s="20">
        <f t="shared" ref="D788:D789" si="383">SUM(E788:J788)</f>
        <v>107047.50000000001</v>
      </c>
      <c r="E788" s="20">
        <f>350*305.85</f>
        <v>107047.50000000001</v>
      </c>
      <c r="F788" s="20">
        <f>800*0</f>
        <v>0</v>
      </c>
      <c r="G788" s="20">
        <f>350*0</f>
        <v>0</v>
      </c>
      <c r="H788" s="20">
        <f>500*0</f>
        <v>0</v>
      </c>
      <c r="I788" s="20">
        <f>400*0</f>
        <v>0</v>
      </c>
      <c r="J788" s="20">
        <v>0</v>
      </c>
      <c r="K788" s="21">
        <v>0</v>
      </c>
      <c r="L788" s="20">
        <v>0</v>
      </c>
      <c r="M788" s="20">
        <v>306</v>
      </c>
      <c r="N788" s="20">
        <f t="shared" ref="N788:N789" si="384">M788*5500</f>
        <v>1683000</v>
      </c>
      <c r="O788" s="20">
        <v>0</v>
      </c>
      <c r="P788" s="20">
        <v>0</v>
      </c>
      <c r="Q788" s="20">
        <v>0</v>
      </c>
      <c r="R788" s="20">
        <f t="shared" ref="R788:R789" si="385">Q788*3000</f>
        <v>0</v>
      </c>
      <c r="S788" s="20">
        <v>0</v>
      </c>
      <c r="T788" s="20">
        <v>0</v>
      </c>
      <c r="U788" s="20">
        <v>200000</v>
      </c>
      <c r="V788" s="1">
        <f t="shared" ref="V788:V789" si="386">N788/M788</f>
        <v>5500</v>
      </c>
    </row>
    <row r="789" spans="1:258" ht="21.95" customHeight="1" x14ac:dyDescent="0.25">
      <c r="A789" s="18" t="s">
        <v>1064</v>
      </c>
      <c r="B789" s="25" t="s">
        <v>1398</v>
      </c>
      <c r="C789" s="12">
        <f t="shared" si="367"/>
        <v>5004876.5</v>
      </c>
      <c r="D789" s="20">
        <f t="shared" si="383"/>
        <v>186056.5</v>
      </c>
      <c r="E789" s="20">
        <f>350*531.59</f>
        <v>186056.5</v>
      </c>
      <c r="F789" s="20">
        <f>800*0</f>
        <v>0</v>
      </c>
      <c r="G789" s="20">
        <f>350*0</f>
        <v>0</v>
      </c>
      <c r="H789" s="20">
        <f>500*0</f>
        <v>0</v>
      </c>
      <c r="I789" s="20">
        <f>400*0</f>
        <v>0</v>
      </c>
      <c r="J789" s="20">
        <v>0</v>
      </c>
      <c r="K789" s="21">
        <v>0</v>
      </c>
      <c r="L789" s="20">
        <v>0</v>
      </c>
      <c r="M789" s="20">
        <v>440</v>
      </c>
      <c r="N789" s="20">
        <f t="shared" si="384"/>
        <v>2420000</v>
      </c>
      <c r="O789" s="20">
        <v>0</v>
      </c>
      <c r="P789" s="20">
        <v>0</v>
      </c>
      <c r="Q789" s="20">
        <v>506</v>
      </c>
      <c r="R789" s="20">
        <f t="shared" si="385"/>
        <v>1518000</v>
      </c>
      <c r="S789" s="20">
        <v>680820</v>
      </c>
      <c r="T789" s="20">
        <v>0</v>
      </c>
      <c r="U789" s="20">
        <v>200000</v>
      </c>
      <c r="V789" s="1">
        <f t="shared" si="386"/>
        <v>5500</v>
      </c>
    </row>
    <row r="790" spans="1:258" ht="45" customHeight="1" x14ac:dyDescent="0.25">
      <c r="A790" s="63" t="s">
        <v>75</v>
      </c>
      <c r="B790" s="63"/>
      <c r="C790" s="12">
        <f t="shared" si="367"/>
        <v>15815895</v>
      </c>
      <c r="D790" s="12">
        <f t="shared" ref="D790:U790" si="387">SUM(D791:D793)</f>
        <v>0</v>
      </c>
      <c r="E790" s="12">
        <f t="shared" si="387"/>
        <v>0</v>
      </c>
      <c r="F790" s="12">
        <f t="shared" si="387"/>
        <v>0</v>
      </c>
      <c r="G790" s="12">
        <f t="shared" si="387"/>
        <v>0</v>
      </c>
      <c r="H790" s="12">
        <f t="shared" si="387"/>
        <v>0</v>
      </c>
      <c r="I790" s="12">
        <f t="shared" si="387"/>
        <v>0</v>
      </c>
      <c r="J790" s="12">
        <f t="shared" si="387"/>
        <v>0</v>
      </c>
      <c r="K790" s="13">
        <f t="shared" si="387"/>
        <v>0</v>
      </c>
      <c r="L790" s="12">
        <f t="shared" si="387"/>
        <v>0</v>
      </c>
      <c r="M790" s="12">
        <f t="shared" si="387"/>
        <v>1091.1500000000001</v>
      </c>
      <c r="N790" s="12">
        <f t="shared" si="387"/>
        <v>6001325</v>
      </c>
      <c r="O790" s="12">
        <f t="shared" si="387"/>
        <v>0</v>
      </c>
      <c r="P790" s="12">
        <f t="shared" si="387"/>
        <v>0</v>
      </c>
      <c r="Q790" s="12">
        <f t="shared" si="387"/>
        <v>3138.19</v>
      </c>
      <c r="R790" s="12">
        <f t="shared" si="387"/>
        <v>9414570</v>
      </c>
      <c r="S790" s="12">
        <f t="shared" si="387"/>
        <v>0</v>
      </c>
      <c r="T790" s="12">
        <f t="shared" si="387"/>
        <v>0</v>
      </c>
      <c r="U790" s="12">
        <f t="shared" si="387"/>
        <v>400000</v>
      </c>
    </row>
    <row r="791" spans="1:258" ht="21.95" customHeight="1" x14ac:dyDescent="0.25">
      <c r="A791" s="26" t="s">
        <v>1065</v>
      </c>
      <c r="B791" s="25" t="s">
        <v>1219</v>
      </c>
      <c r="C791" s="12">
        <f t="shared" si="367"/>
        <v>9414570</v>
      </c>
      <c r="D791" s="20">
        <f t="shared" ref="D791:D793" si="388">SUM(E791:J791)</f>
        <v>0</v>
      </c>
      <c r="E791" s="20">
        <v>0</v>
      </c>
      <c r="F791" s="20">
        <v>0</v>
      </c>
      <c r="G791" s="20">
        <v>0</v>
      </c>
      <c r="H791" s="20">
        <v>0</v>
      </c>
      <c r="I791" s="20">
        <v>0</v>
      </c>
      <c r="J791" s="20">
        <v>0</v>
      </c>
      <c r="K791" s="9">
        <v>0</v>
      </c>
      <c r="L791" s="8">
        <v>0</v>
      </c>
      <c r="M791" s="8">
        <v>0</v>
      </c>
      <c r="N791" s="8">
        <v>0</v>
      </c>
      <c r="O791" s="8">
        <v>0</v>
      </c>
      <c r="P791" s="8">
        <v>0</v>
      </c>
      <c r="Q791" s="8">
        <v>3138.19</v>
      </c>
      <c r="R791" s="20">
        <f t="shared" ref="R791:R793" si="389">Q791*3000</f>
        <v>9414570</v>
      </c>
      <c r="S791" s="8">
        <v>0</v>
      </c>
      <c r="T791" s="8">
        <v>0</v>
      </c>
      <c r="U791" s="8">
        <v>0</v>
      </c>
      <c r="V791" s="1" t="e">
        <f t="shared" ref="V791:V793" si="390">N791/M791</f>
        <v>#DIV/0!</v>
      </c>
    </row>
    <row r="792" spans="1:258" s="1" customFormat="1" ht="21.95" customHeight="1" x14ac:dyDescent="0.25">
      <c r="A792" s="26" t="s">
        <v>1066</v>
      </c>
      <c r="B792" s="25" t="s">
        <v>72</v>
      </c>
      <c r="C792" s="12">
        <f t="shared" si="367"/>
        <v>3858325</v>
      </c>
      <c r="D792" s="20">
        <f t="shared" si="388"/>
        <v>0</v>
      </c>
      <c r="E792" s="20">
        <v>0</v>
      </c>
      <c r="F792" s="20">
        <v>0</v>
      </c>
      <c r="G792" s="20">
        <v>0</v>
      </c>
      <c r="H792" s="20">
        <v>0</v>
      </c>
      <c r="I792" s="20">
        <v>0</v>
      </c>
      <c r="J792" s="20">
        <v>0</v>
      </c>
      <c r="K792" s="9">
        <v>0</v>
      </c>
      <c r="L792" s="8">
        <v>0</v>
      </c>
      <c r="M792" s="8">
        <v>665.15</v>
      </c>
      <c r="N792" s="20">
        <f t="shared" ref="N792:N793" si="391">M792*5500</f>
        <v>3658325</v>
      </c>
      <c r="O792" s="8">
        <v>0</v>
      </c>
      <c r="P792" s="8">
        <v>0</v>
      </c>
      <c r="Q792" s="8">
        <v>0</v>
      </c>
      <c r="R792" s="20">
        <f t="shared" si="389"/>
        <v>0</v>
      </c>
      <c r="S792" s="8">
        <v>0</v>
      </c>
      <c r="T792" s="8">
        <v>0</v>
      </c>
      <c r="U792" s="8">
        <v>200000</v>
      </c>
      <c r="V792" s="1">
        <f t="shared" si="390"/>
        <v>5500</v>
      </c>
    </row>
    <row r="793" spans="1:258" s="1" customFormat="1" ht="21.95" customHeight="1" x14ac:dyDescent="0.25">
      <c r="A793" s="26" t="s">
        <v>1067</v>
      </c>
      <c r="B793" s="25" t="s">
        <v>1388</v>
      </c>
      <c r="C793" s="12">
        <f t="shared" si="367"/>
        <v>2543000</v>
      </c>
      <c r="D793" s="20">
        <f t="shared" si="388"/>
        <v>0</v>
      </c>
      <c r="E793" s="20">
        <v>0</v>
      </c>
      <c r="F793" s="20">
        <v>0</v>
      </c>
      <c r="G793" s="20">
        <v>0</v>
      </c>
      <c r="H793" s="20">
        <v>0</v>
      </c>
      <c r="I793" s="20">
        <v>0</v>
      </c>
      <c r="J793" s="20">
        <v>0</v>
      </c>
      <c r="K793" s="9">
        <v>0</v>
      </c>
      <c r="L793" s="8">
        <v>0</v>
      </c>
      <c r="M793" s="8">
        <v>426</v>
      </c>
      <c r="N793" s="20">
        <f t="shared" si="391"/>
        <v>2343000</v>
      </c>
      <c r="O793" s="8">
        <v>0</v>
      </c>
      <c r="P793" s="8">
        <v>0</v>
      </c>
      <c r="Q793" s="8">
        <v>0</v>
      </c>
      <c r="R793" s="20">
        <f t="shared" si="389"/>
        <v>0</v>
      </c>
      <c r="S793" s="8">
        <v>0</v>
      </c>
      <c r="T793" s="8">
        <v>0</v>
      </c>
      <c r="U793" s="8">
        <v>200000</v>
      </c>
      <c r="V793" s="1">
        <f t="shared" si="390"/>
        <v>5500</v>
      </c>
    </row>
    <row r="794" spans="1:258" ht="45" customHeight="1" x14ac:dyDescent="0.25">
      <c r="A794" s="63" t="s">
        <v>2</v>
      </c>
      <c r="B794" s="63"/>
      <c r="C794" s="12">
        <f t="shared" si="367"/>
        <v>2802320</v>
      </c>
      <c r="D794" s="12">
        <f t="shared" ref="D794:U794" si="392">SUM(D795:D796)</f>
        <v>2402320</v>
      </c>
      <c r="E794" s="12">
        <f t="shared" si="392"/>
        <v>535010</v>
      </c>
      <c r="F794" s="12">
        <f t="shared" si="392"/>
        <v>490639.99999999994</v>
      </c>
      <c r="G794" s="12">
        <f t="shared" si="392"/>
        <v>458580</v>
      </c>
      <c r="H794" s="12">
        <f t="shared" si="392"/>
        <v>306650</v>
      </c>
      <c r="I794" s="12">
        <f t="shared" si="392"/>
        <v>611440</v>
      </c>
      <c r="J794" s="12">
        <f t="shared" si="392"/>
        <v>0</v>
      </c>
      <c r="K794" s="13">
        <f t="shared" si="392"/>
        <v>0</v>
      </c>
      <c r="L794" s="12">
        <f t="shared" si="392"/>
        <v>0</v>
      </c>
      <c r="M794" s="12">
        <f t="shared" si="392"/>
        <v>0</v>
      </c>
      <c r="N794" s="12">
        <f t="shared" si="392"/>
        <v>0</v>
      </c>
      <c r="O794" s="12">
        <f t="shared" si="392"/>
        <v>0</v>
      </c>
      <c r="P794" s="12">
        <f t="shared" si="392"/>
        <v>0</v>
      </c>
      <c r="Q794" s="12">
        <f t="shared" si="392"/>
        <v>0</v>
      </c>
      <c r="R794" s="12">
        <f t="shared" si="392"/>
        <v>0</v>
      </c>
      <c r="S794" s="12">
        <f t="shared" si="392"/>
        <v>0</v>
      </c>
      <c r="T794" s="12">
        <f t="shared" si="392"/>
        <v>0</v>
      </c>
      <c r="U794" s="12">
        <f t="shared" si="392"/>
        <v>400000</v>
      </c>
    </row>
    <row r="795" spans="1:258" s="17" customFormat="1" ht="21.95" customHeight="1" x14ac:dyDescent="0.25">
      <c r="A795" s="26" t="s">
        <v>1068</v>
      </c>
      <c r="B795" s="25" t="s">
        <v>76</v>
      </c>
      <c r="C795" s="12">
        <f t="shared" si="367"/>
        <v>1161065</v>
      </c>
      <c r="D795" s="20">
        <f t="shared" ref="D795:D796" si="393">SUM(E795:J795)</f>
        <v>961065</v>
      </c>
      <c r="E795" s="20">
        <f>350*915.3</f>
        <v>320355</v>
      </c>
      <c r="F795" s="20">
        <f>800*0</f>
        <v>0</v>
      </c>
      <c r="G795" s="20">
        <f>300*915.3</f>
        <v>274590</v>
      </c>
      <c r="H795" s="20">
        <f>500*0</f>
        <v>0</v>
      </c>
      <c r="I795" s="20">
        <f>400*915.3</f>
        <v>366120</v>
      </c>
      <c r="J795" s="20">
        <f>350*0</f>
        <v>0</v>
      </c>
      <c r="K795" s="21">
        <v>0</v>
      </c>
      <c r="L795" s="20">
        <v>0</v>
      </c>
      <c r="M795" s="8">
        <v>0</v>
      </c>
      <c r="N795" s="8">
        <v>0</v>
      </c>
      <c r="O795" s="20">
        <v>0</v>
      </c>
      <c r="P795" s="20">
        <v>0</v>
      </c>
      <c r="Q795" s="20">
        <v>0</v>
      </c>
      <c r="R795" s="20">
        <f t="shared" ref="R795:R796" si="394">Q795*3000</f>
        <v>0</v>
      </c>
      <c r="S795" s="20">
        <v>0</v>
      </c>
      <c r="T795" s="20">
        <v>0</v>
      </c>
      <c r="U795" s="20">
        <v>200000</v>
      </c>
      <c r="V795" s="1" t="e">
        <f t="shared" ref="V795:V796" si="395">N795/M795</f>
        <v>#DIV/0!</v>
      </c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  <c r="FE795" s="2"/>
      <c r="FF795" s="2"/>
      <c r="FG795" s="2"/>
      <c r="FH795" s="2"/>
      <c r="FI795" s="2"/>
      <c r="FJ795" s="2"/>
      <c r="FK795" s="2"/>
      <c r="FL795" s="2"/>
      <c r="FM795" s="2"/>
      <c r="FN795" s="2"/>
      <c r="FO795" s="2"/>
      <c r="FP795" s="2"/>
      <c r="FQ795" s="2"/>
      <c r="FR795" s="2"/>
      <c r="FS795" s="2"/>
      <c r="FT795" s="2"/>
      <c r="FU795" s="2"/>
      <c r="FV795" s="2"/>
      <c r="FW795" s="2"/>
      <c r="FX795" s="2"/>
      <c r="FY795" s="2"/>
      <c r="FZ795" s="2"/>
      <c r="GA795" s="2"/>
      <c r="GB795" s="2"/>
      <c r="GC795" s="2"/>
      <c r="GD795" s="2"/>
      <c r="GE795" s="2"/>
      <c r="GF795" s="2"/>
      <c r="GG795" s="2"/>
      <c r="GH795" s="2"/>
      <c r="GI795" s="2"/>
      <c r="GJ795" s="2"/>
      <c r="GK795" s="2"/>
      <c r="GL795" s="2"/>
      <c r="GM795" s="2"/>
      <c r="GN795" s="2"/>
      <c r="GO795" s="2"/>
      <c r="GP795" s="2"/>
      <c r="GQ795" s="2"/>
      <c r="GR795" s="2"/>
      <c r="GS795" s="2"/>
      <c r="GT795" s="2"/>
      <c r="GU795" s="2"/>
      <c r="GV795" s="2"/>
      <c r="GW795" s="2"/>
      <c r="GX795" s="2"/>
      <c r="GY795" s="2"/>
      <c r="GZ795" s="2"/>
      <c r="HA795" s="2"/>
      <c r="HB795" s="2"/>
      <c r="HC795" s="2"/>
      <c r="HD795" s="2"/>
      <c r="HE795" s="2"/>
      <c r="HF795" s="2"/>
      <c r="HG795" s="2"/>
      <c r="HH795" s="2"/>
      <c r="HI795" s="2"/>
      <c r="HJ795" s="2"/>
      <c r="HK795" s="2"/>
      <c r="HL795" s="2"/>
      <c r="HM795" s="2"/>
      <c r="HN795" s="2"/>
      <c r="HO795" s="2"/>
      <c r="HP795" s="2"/>
      <c r="HQ795" s="2"/>
      <c r="HR795" s="2"/>
      <c r="HS795" s="2"/>
      <c r="HT795" s="2"/>
      <c r="HU795" s="2"/>
      <c r="HV795" s="2"/>
      <c r="HW795" s="2"/>
      <c r="HX795" s="2"/>
      <c r="HY795" s="2"/>
      <c r="HZ795" s="2"/>
      <c r="IA795" s="2"/>
      <c r="IB795" s="2"/>
      <c r="IC795" s="2"/>
      <c r="ID795" s="2"/>
      <c r="IE795" s="2"/>
      <c r="IF795" s="2"/>
      <c r="IG795" s="2"/>
      <c r="IH795" s="2"/>
      <c r="II795" s="2"/>
      <c r="IJ795" s="2"/>
      <c r="IK795" s="2"/>
      <c r="IL795" s="2"/>
      <c r="IM795" s="2"/>
      <c r="IN795" s="2"/>
      <c r="IO795" s="2"/>
      <c r="IP795" s="2"/>
      <c r="IQ795" s="2"/>
      <c r="IR795" s="2"/>
      <c r="IS795" s="2"/>
      <c r="IT795" s="2"/>
      <c r="IU795" s="2"/>
      <c r="IV795" s="2"/>
      <c r="IW795" s="2"/>
      <c r="IX795" s="2"/>
    </row>
    <row r="796" spans="1:258" ht="21.95" customHeight="1" x14ac:dyDescent="0.25">
      <c r="A796" s="26" t="s">
        <v>1069</v>
      </c>
      <c r="B796" s="25" t="s">
        <v>77</v>
      </c>
      <c r="C796" s="12">
        <f t="shared" si="367"/>
        <v>1641255</v>
      </c>
      <c r="D796" s="20">
        <f t="shared" si="393"/>
        <v>1441255</v>
      </c>
      <c r="E796" s="20">
        <f>350*613.3</f>
        <v>214654.99999999997</v>
      </c>
      <c r="F796" s="20">
        <f>800*613.3</f>
        <v>490639.99999999994</v>
      </c>
      <c r="G796" s="20">
        <f>300*613.3</f>
        <v>183990</v>
      </c>
      <c r="H796" s="20">
        <f>500*613.3</f>
        <v>306650</v>
      </c>
      <c r="I796" s="20">
        <f>400*613.3</f>
        <v>245319.99999999997</v>
      </c>
      <c r="J796" s="20">
        <f>350*0</f>
        <v>0</v>
      </c>
      <c r="K796" s="9">
        <v>0</v>
      </c>
      <c r="L796" s="8">
        <v>0</v>
      </c>
      <c r="M796" s="8">
        <v>0</v>
      </c>
      <c r="N796" s="8">
        <v>0</v>
      </c>
      <c r="O796" s="8">
        <v>0</v>
      </c>
      <c r="P796" s="8">
        <v>0</v>
      </c>
      <c r="Q796" s="8">
        <v>0</v>
      </c>
      <c r="R796" s="20">
        <f t="shared" si="394"/>
        <v>0</v>
      </c>
      <c r="S796" s="8">
        <v>0</v>
      </c>
      <c r="T796" s="20">
        <v>0</v>
      </c>
      <c r="U796" s="8">
        <v>200000</v>
      </c>
      <c r="V796" s="1" t="e">
        <f t="shared" si="395"/>
        <v>#DIV/0!</v>
      </c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1"/>
      <c r="FZ796" s="1"/>
      <c r="GA796" s="1"/>
      <c r="GB796" s="1"/>
      <c r="GC796" s="1"/>
      <c r="GD796" s="1"/>
      <c r="GE796" s="1"/>
      <c r="GF796" s="1"/>
      <c r="GG796" s="1"/>
      <c r="GH796" s="1"/>
      <c r="GI796" s="1"/>
      <c r="GJ796" s="1"/>
      <c r="GK796" s="1"/>
      <c r="GL796" s="1"/>
      <c r="GM796" s="1"/>
      <c r="GN796" s="1"/>
      <c r="GO796" s="1"/>
      <c r="GP796" s="1"/>
      <c r="GQ796" s="1"/>
      <c r="GR796" s="1"/>
      <c r="GS796" s="1"/>
      <c r="GT796" s="1"/>
      <c r="GU796" s="1"/>
      <c r="GV796" s="1"/>
      <c r="GW796" s="1"/>
      <c r="GX796" s="1"/>
      <c r="GY796" s="1"/>
      <c r="GZ796" s="1"/>
      <c r="HA796" s="1"/>
      <c r="HB796" s="1"/>
      <c r="HC796" s="1"/>
      <c r="HD796" s="1"/>
      <c r="HE796" s="1"/>
      <c r="HF796" s="1"/>
      <c r="HG796" s="1"/>
      <c r="HH796" s="1"/>
      <c r="HI796" s="1"/>
      <c r="HJ796" s="1"/>
      <c r="HK796" s="1"/>
      <c r="HL796" s="1"/>
      <c r="HM796" s="1"/>
      <c r="HN796" s="1"/>
      <c r="HO796" s="1"/>
      <c r="HP796" s="1"/>
      <c r="HQ796" s="1"/>
      <c r="HR796" s="1"/>
      <c r="HS796" s="1"/>
      <c r="HT796" s="1"/>
      <c r="HU796" s="1"/>
      <c r="HV796" s="1"/>
      <c r="HW796" s="1"/>
      <c r="HX796" s="1"/>
      <c r="HY796" s="1"/>
      <c r="HZ796" s="1"/>
      <c r="IA796" s="1"/>
      <c r="IB796" s="1"/>
      <c r="IC796" s="1"/>
      <c r="ID796" s="1"/>
      <c r="IE796" s="1"/>
      <c r="IF796" s="1"/>
      <c r="IG796" s="1"/>
      <c r="IH796" s="1"/>
      <c r="II796" s="1"/>
      <c r="IJ796" s="1"/>
      <c r="IK796" s="1"/>
      <c r="IL796" s="1"/>
      <c r="IM796" s="1"/>
      <c r="IN796" s="1"/>
      <c r="IO796" s="1"/>
      <c r="IP796" s="1"/>
      <c r="IQ796" s="1"/>
      <c r="IR796" s="1"/>
      <c r="IS796" s="1"/>
      <c r="IT796" s="1"/>
      <c r="IU796" s="1"/>
      <c r="IV796" s="1"/>
      <c r="IW796" s="1"/>
      <c r="IX796" s="1"/>
    </row>
    <row r="797" spans="1:258" ht="45" customHeight="1" x14ac:dyDescent="0.25">
      <c r="A797" s="63" t="s">
        <v>82</v>
      </c>
      <c r="B797" s="63"/>
      <c r="C797" s="12">
        <f t="shared" si="367"/>
        <v>2460850</v>
      </c>
      <c r="D797" s="12">
        <f t="shared" ref="D797:U797" si="396">SUM(D798:D799)</f>
        <v>0</v>
      </c>
      <c r="E797" s="12">
        <f t="shared" si="396"/>
        <v>0</v>
      </c>
      <c r="F797" s="12">
        <f t="shared" si="396"/>
        <v>0</v>
      </c>
      <c r="G797" s="12">
        <f t="shared" si="396"/>
        <v>0</v>
      </c>
      <c r="H797" s="12">
        <f t="shared" si="396"/>
        <v>0</v>
      </c>
      <c r="I797" s="12">
        <f t="shared" si="396"/>
        <v>0</v>
      </c>
      <c r="J797" s="12">
        <f t="shared" si="396"/>
        <v>0</v>
      </c>
      <c r="K797" s="13">
        <f t="shared" si="396"/>
        <v>0</v>
      </c>
      <c r="L797" s="12">
        <f t="shared" si="396"/>
        <v>0</v>
      </c>
      <c r="M797" s="12">
        <f t="shared" si="396"/>
        <v>374.7</v>
      </c>
      <c r="N797" s="12">
        <f t="shared" si="396"/>
        <v>2060850</v>
      </c>
      <c r="O797" s="12">
        <f t="shared" si="396"/>
        <v>0</v>
      </c>
      <c r="P797" s="12">
        <f t="shared" si="396"/>
        <v>0</v>
      </c>
      <c r="Q797" s="12">
        <f t="shared" si="396"/>
        <v>0</v>
      </c>
      <c r="R797" s="12">
        <f t="shared" si="396"/>
        <v>0</v>
      </c>
      <c r="S797" s="12">
        <f t="shared" si="396"/>
        <v>0</v>
      </c>
      <c r="T797" s="12">
        <f t="shared" si="396"/>
        <v>0</v>
      </c>
      <c r="U797" s="12">
        <f t="shared" si="396"/>
        <v>400000</v>
      </c>
    </row>
    <row r="798" spans="1:258" ht="21.95" customHeight="1" x14ac:dyDescent="0.25">
      <c r="A798" s="18" t="s">
        <v>1070</v>
      </c>
      <c r="B798" s="27" t="s">
        <v>83</v>
      </c>
      <c r="C798" s="12">
        <f t="shared" si="367"/>
        <v>1215850</v>
      </c>
      <c r="D798" s="20">
        <f t="shared" ref="D798:D799" si="397">SUM(E798:J798)</f>
        <v>0</v>
      </c>
      <c r="E798" s="20">
        <v>0</v>
      </c>
      <c r="F798" s="20">
        <v>0</v>
      </c>
      <c r="G798" s="20">
        <v>0</v>
      </c>
      <c r="H798" s="20">
        <v>0</v>
      </c>
      <c r="I798" s="20">
        <v>0</v>
      </c>
      <c r="J798" s="20">
        <v>0</v>
      </c>
      <c r="K798" s="21">
        <v>0</v>
      </c>
      <c r="L798" s="20">
        <v>0</v>
      </c>
      <c r="M798" s="20">
        <v>184.7</v>
      </c>
      <c r="N798" s="20">
        <f t="shared" ref="N798:N799" si="398">M798*5500</f>
        <v>1015849.9999999999</v>
      </c>
      <c r="O798" s="20">
        <v>0</v>
      </c>
      <c r="P798" s="20">
        <v>0</v>
      </c>
      <c r="Q798" s="20">
        <v>0</v>
      </c>
      <c r="R798" s="20">
        <f t="shared" ref="R798:R799" si="399">Q798*3000</f>
        <v>0</v>
      </c>
      <c r="S798" s="20">
        <v>0</v>
      </c>
      <c r="T798" s="20">
        <v>0</v>
      </c>
      <c r="U798" s="20">
        <v>200000</v>
      </c>
      <c r="V798" s="1">
        <f t="shared" ref="V798:V799" si="400">N798/M798</f>
        <v>5500</v>
      </c>
    </row>
    <row r="799" spans="1:258" s="17" customFormat="1" ht="21.95" customHeight="1" x14ac:dyDescent="0.25">
      <c r="A799" s="18" t="s">
        <v>1071</v>
      </c>
      <c r="B799" s="27" t="s">
        <v>84</v>
      </c>
      <c r="C799" s="12">
        <f t="shared" si="367"/>
        <v>1245000</v>
      </c>
      <c r="D799" s="20">
        <f t="shared" si="397"/>
        <v>0</v>
      </c>
      <c r="E799" s="20">
        <v>0</v>
      </c>
      <c r="F799" s="20">
        <v>0</v>
      </c>
      <c r="G799" s="20">
        <v>0</v>
      </c>
      <c r="H799" s="20">
        <v>0</v>
      </c>
      <c r="I799" s="20">
        <v>0</v>
      </c>
      <c r="J799" s="20">
        <v>0</v>
      </c>
      <c r="K799" s="21">
        <v>0</v>
      </c>
      <c r="L799" s="20">
        <v>0</v>
      </c>
      <c r="M799" s="20">
        <v>190</v>
      </c>
      <c r="N799" s="20">
        <f t="shared" si="398"/>
        <v>1045000</v>
      </c>
      <c r="O799" s="20">
        <v>0</v>
      </c>
      <c r="P799" s="20">
        <v>0</v>
      </c>
      <c r="Q799" s="20">
        <v>0</v>
      </c>
      <c r="R799" s="20">
        <f t="shared" si="399"/>
        <v>0</v>
      </c>
      <c r="S799" s="20">
        <v>0</v>
      </c>
      <c r="T799" s="20">
        <v>0</v>
      </c>
      <c r="U799" s="20">
        <v>200000</v>
      </c>
      <c r="V799" s="1">
        <f t="shared" si="400"/>
        <v>5500</v>
      </c>
    </row>
    <row r="800" spans="1:258" ht="45" customHeight="1" x14ac:dyDescent="0.25">
      <c r="A800" s="63" t="s">
        <v>836</v>
      </c>
      <c r="B800" s="63"/>
      <c r="C800" s="12">
        <f t="shared" si="367"/>
        <v>11863392</v>
      </c>
      <c r="D800" s="12">
        <f t="shared" ref="D800:U800" si="401">SUM(D801:D803)</f>
        <v>3388092</v>
      </c>
      <c r="E800" s="12">
        <f t="shared" si="401"/>
        <v>571193</v>
      </c>
      <c r="F800" s="12">
        <f t="shared" si="401"/>
        <v>992304</v>
      </c>
      <c r="G800" s="12">
        <f t="shared" si="401"/>
        <v>551613</v>
      </c>
      <c r="H800" s="12">
        <f t="shared" si="401"/>
        <v>620190</v>
      </c>
      <c r="I800" s="12">
        <f t="shared" si="401"/>
        <v>652792</v>
      </c>
      <c r="J800" s="12">
        <f t="shared" si="401"/>
        <v>0</v>
      </c>
      <c r="K800" s="13">
        <f t="shared" si="401"/>
        <v>0</v>
      </c>
      <c r="L800" s="12">
        <f t="shared" si="401"/>
        <v>0</v>
      </c>
      <c r="M800" s="12">
        <f t="shared" si="401"/>
        <v>1128.5999999999999</v>
      </c>
      <c r="N800" s="12">
        <f t="shared" si="401"/>
        <v>6207300</v>
      </c>
      <c r="O800" s="12">
        <f t="shared" si="401"/>
        <v>0</v>
      </c>
      <c r="P800" s="12">
        <f t="shared" si="401"/>
        <v>0</v>
      </c>
      <c r="Q800" s="12">
        <f t="shared" si="401"/>
        <v>556</v>
      </c>
      <c r="R800" s="12">
        <f t="shared" si="401"/>
        <v>1668000</v>
      </c>
      <c r="S800" s="12">
        <f t="shared" si="401"/>
        <v>0</v>
      </c>
      <c r="T800" s="12">
        <f t="shared" si="401"/>
        <v>0</v>
      </c>
      <c r="U800" s="12">
        <f t="shared" si="401"/>
        <v>600000</v>
      </c>
    </row>
    <row r="801" spans="1:22" ht="21.95" customHeight="1" x14ac:dyDescent="0.25">
      <c r="A801" s="18" t="s">
        <v>1072</v>
      </c>
      <c r="B801" s="25" t="s">
        <v>86</v>
      </c>
      <c r="C801" s="12">
        <f t="shared" si="367"/>
        <v>2213880</v>
      </c>
      <c r="D801" s="20">
        <f t="shared" ref="D801:D803" si="402">SUM(E801:J801)</f>
        <v>411180</v>
      </c>
      <c r="E801" s="20">
        <f>350*391.6</f>
        <v>137060</v>
      </c>
      <c r="F801" s="20">
        <v>0</v>
      </c>
      <c r="G801" s="20">
        <f>300*391.6</f>
        <v>117480</v>
      </c>
      <c r="H801" s="20">
        <v>0</v>
      </c>
      <c r="I801" s="20">
        <f>400*391.6</f>
        <v>156640</v>
      </c>
      <c r="J801" s="20">
        <f>350*0</f>
        <v>0</v>
      </c>
      <c r="K801" s="21">
        <v>0</v>
      </c>
      <c r="L801" s="20">
        <v>0</v>
      </c>
      <c r="M801" s="8">
        <v>291.39999999999998</v>
      </c>
      <c r="N801" s="20">
        <f t="shared" ref="N801:N803" si="403">M801*5500</f>
        <v>1602699.9999999998</v>
      </c>
      <c r="O801" s="20">
        <v>0</v>
      </c>
      <c r="P801" s="20">
        <v>0</v>
      </c>
      <c r="Q801" s="20">
        <v>0</v>
      </c>
      <c r="R801" s="20">
        <f t="shared" ref="R801:R803" si="404">Q801*3000</f>
        <v>0</v>
      </c>
      <c r="S801" s="20">
        <v>0</v>
      </c>
      <c r="T801" s="20">
        <v>0</v>
      </c>
      <c r="U801" s="20">
        <v>200000</v>
      </c>
      <c r="V801" s="1">
        <f t="shared" ref="V801:V803" si="405">N801/M801</f>
        <v>5500</v>
      </c>
    </row>
    <row r="802" spans="1:22" ht="21.95" customHeight="1" x14ac:dyDescent="0.25">
      <c r="A802" s="18" t="s">
        <v>1073</v>
      </c>
      <c r="B802" s="25" t="s">
        <v>1387</v>
      </c>
      <c r="C802" s="12">
        <f t="shared" si="367"/>
        <v>6432320</v>
      </c>
      <c r="D802" s="20">
        <f t="shared" si="402"/>
        <v>1792320</v>
      </c>
      <c r="E802" s="20">
        <f>350*746.8</f>
        <v>261379.99999999997</v>
      </c>
      <c r="F802" s="20">
        <f>800*746.8</f>
        <v>597440</v>
      </c>
      <c r="G802" s="20">
        <f>350*746.8</f>
        <v>261379.99999999997</v>
      </c>
      <c r="H802" s="20">
        <f>500*746.8</f>
        <v>373400</v>
      </c>
      <c r="I802" s="20">
        <f>400*746.8</f>
        <v>298720</v>
      </c>
      <c r="J802" s="20">
        <v>0</v>
      </c>
      <c r="K802" s="21">
        <v>0</v>
      </c>
      <c r="L802" s="20">
        <v>0</v>
      </c>
      <c r="M802" s="8">
        <v>504</v>
      </c>
      <c r="N802" s="20">
        <f t="shared" si="403"/>
        <v>2772000</v>
      </c>
      <c r="O802" s="20">
        <v>0</v>
      </c>
      <c r="P802" s="20">
        <v>0</v>
      </c>
      <c r="Q802" s="20">
        <v>556</v>
      </c>
      <c r="R802" s="20">
        <f t="shared" si="404"/>
        <v>1668000</v>
      </c>
      <c r="S802" s="20">
        <v>0</v>
      </c>
      <c r="T802" s="20">
        <v>0</v>
      </c>
      <c r="U802" s="20">
        <v>200000</v>
      </c>
      <c r="V802" s="1">
        <f t="shared" si="405"/>
        <v>5500</v>
      </c>
    </row>
    <row r="803" spans="1:22" ht="21.95" customHeight="1" x14ac:dyDescent="0.25">
      <c r="A803" s="18" t="s">
        <v>1074</v>
      </c>
      <c r="B803" s="25" t="s">
        <v>87</v>
      </c>
      <c r="C803" s="12">
        <f t="shared" si="367"/>
        <v>3217192</v>
      </c>
      <c r="D803" s="20">
        <f t="shared" si="402"/>
        <v>1184592</v>
      </c>
      <c r="E803" s="20">
        <f>350*493.58</f>
        <v>172753</v>
      </c>
      <c r="F803" s="20">
        <f>800*493.58</f>
        <v>394864</v>
      </c>
      <c r="G803" s="20">
        <f>350*493.58</f>
        <v>172753</v>
      </c>
      <c r="H803" s="20">
        <f>500*493.58</f>
        <v>246790</v>
      </c>
      <c r="I803" s="20">
        <f>400*493.58</f>
        <v>197432</v>
      </c>
      <c r="J803" s="20">
        <v>0</v>
      </c>
      <c r="K803" s="21">
        <v>0</v>
      </c>
      <c r="L803" s="20">
        <v>0</v>
      </c>
      <c r="M803" s="8">
        <v>333.2</v>
      </c>
      <c r="N803" s="20">
        <f t="shared" si="403"/>
        <v>1832600</v>
      </c>
      <c r="O803" s="20">
        <v>0</v>
      </c>
      <c r="P803" s="20">
        <v>0</v>
      </c>
      <c r="Q803" s="20">
        <v>0</v>
      </c>
      <c r="R803" s="20">
        <f t="shared" si="404"/>
        <v>0</v>
      </c>
      <c r="S803" s="20">
        <v>0</v>
      </c>
      <c r="T803" s="20">
        <v>0</v>
      </c>
      <c r="U803" s="20">
        <v>200000</v>
      </c>
      <c r="V803" s="1">
        <f t="shared" si="405"/>
        <v>5500</v>
      </c>
    </row>
    <row r="804" spans="1:22" ht="45" customHeight="1" x14ac:dyDescent="0.25">
      <c r="A804" s="63" t="s">
        <v>1204</v>
      </c>
      <c r="B804" s="63"/>
      <c r="C804" s="12">
        <f t="shared" si="367"/>
        <v>4073617.4000000004</v>
      </c>
      <c r="D804" s="12">
        <f t="shared" ref="D804:U804" si="406">SUM(D805)</f>
        <v>0</v>
      </c>
      <c r="E804" s="12">
        <f t="shared" si="406"/>
        <v>0</v>
      </c>
      <c r="F804" s="12">
        <f t="shared" si="406"/>
        <v>0</v>
      </c>
      <c r="G804" s="12">
        <f t="shared" si="406"/>
        <v>0</v>
      </c>
      <c r="H804" s="12">
        <f t="shared" si="406"/>
        <v>0</v>
      </c>
      <c r="I804" s="12">
        <f t="shared" si="406"/>
        <v>0</v>
      </c>
      <c r="J804" s="12">
        <f t="shared" si="406"/>
        <v>0</v>
      </c>
      <c r="K804" s="13">
        <f t="shared" si="406"/>
        <v>0</v>
      </c>
      <c r="L804" s="12">
        <f t="shared" si="406"/>
        <v>0</v>
      </c>
      <c r="M804" s="12">
        <f t="shared" si="406"/>
        <v>1050.9000000000001</v>
      </c>
      <c r="N804" s="12">
        <f t="shared" si="406"/>
        <v>3873617.4000000004</v>
      </c>
      <c r="O804" s="12">
        <f t="shared" si="406"/>
        <v>0</v>
      </c>
      <c r="P804" s="12">
        <f t="shared" si="406"/>
        <v>0</v>
      </c>
      <c r="Q804" s="12">
        <f t="shared" si="406"/>
        <v>0</v>
      </c>
      <c r="R804" s="12">
        <f t="shared" si="406"/>
        <v>0</v>
      </c>
      <c r="S804" s="12">
        <f t="shared" si="406"/>
        <v>0</v>
      </c>
      <c r="T804" s="12">
        <f t="shared" si="406"/>
        <v>0</v>
      </c>
      <c r="U804" s="12">
        <f t="shared" si="406"/>
        <v>200000</v>
      </c>
      <c r="V804" s="22">
        <f>C804</f>
        <v>4073617.4000000004</v>
      </c>
    </row>
    <row r="805" spans="1:22" ht="21.95" customHeight="1" x14ac:dyDescent="0.25">
      <c r="A805" s="18" t="s">
        <v>1075</v>
      </c>
      <c r="B805" s="25" t="s">
        <v>1205</v>
      </c>
      <c r="C805" s="12">
        <f t="shared" si="367"/>
        <v>4073617.4000000004</v>
      </c>
      <c r="D805" s="20">
        <f t="shared" ref="D805" si="407">SUM(E805:J805)</f>
        <v>0</v>
      </c>
      <c r="E805" s="20">
        <v>0</v>
      </c>
      <c r="F805" s="20">
        <v>0</v>
      </c>
      <c r="G805" s="20">
        <v>0</v>
      </c>
      <c r="H805" s="20">
        <v>0</v>
      </c>
      <c r="I805" s="20">
        <v>0</v>
      </c>
      <c r="J805" s="20">
        <v>0</v>
      </c>
      <c r="K805" s="21">
        <v>0</v>
      </c>
      <c r="L805" s="20">
        <v>0</v>
      </c>
      <c r="M805" s="8">
        <v>1050.9000000000001</v>
      </c>
      <c r="N805" s="20">
        <f>M805*3686</f>
        <v>3873617.4000000004</v>
      </c>
      <c r="O805" s="20">
        <v>0</v>
      </c>
      <c r="P805" s="20">
        <v>0</v>
      </c>
      <c r="Q805" s="20">
        <v>0</v>
      </c>
      <c r="R805" s="20">
        <f>Q805*3000</f>
        <v>0</v>
      </c>
      <c r="S805" s="20">
        <v>0</v>
      </c>
      <c r="T805" s="20">
        <v>0</v>
      </c>
      <c r="U805" s="20">
        <v>200000</v>
      </c>
      <c r="V805" s="1">
        <f t="shared" ref="V805" si="408">N805/M805</f>
        <v>3686</v>
      </c>
    </row>
    <row r="806" spans="1:22" ht="45" customHeight="1" x14ac:dyDescent="0.25">
      <c r="A806" s="63" t="s">
        <v>94</v>
      </c>
      <c r="B806" s="63"/>
      <c r="C806" s="12">
        <f t="shared" si="367"/>
        <v>5000000</v>
      </c>
      <c r="D806" s="12">
        <f t="shared" ref="D806:U806" si="409">SUM(D807:D808)</f>
        <v>0</v>
      </c>
      <c r="E806" s="12">
        <f t="shared" si="409"/>
        <v>0</v>
      </c>
      <c r="F806" s="12">
        <f t="shared" si="409"/>
        <v>0</v>
      </c>
      <c r="G806" s="12">
        <f t="shared" si="409"/>
        <v>0</v>
      </c>
      <c r="H806" s="12">
        <f t="shared" si="409"/>
        <v>0</v>
      </c>
      <c r="I806" s="12">
        <f t="shared" si="409"/>
        <v>0</v>
      </c>
      <c r="J806" s="12">
        <f t="shared" si="409"/>
        <v>0</v>
      </c>
      <c r="K806" s="13">
        <f t="shared" si="409"/>
        <v>2</v>
      </c>
      <c r="L806" s="12">
        <f t="shared" si="409"/>
        <v>4600000</v>
      </c>
      <c r="M806" s="12">
        <f t="shared" si="409"/>
        <v>0</v>
      </c>
      <c r="N806" s="12">
        <f t="shared" si="409"/>
        <v>0</v>
      </c>
      <c r="O806" s="12">
        <f t="shared" si="409"/>
        <v>0</v>
      </c>
      <c r="P806" s="12">
        <f t="shared" si="409"/>
        <v>0</v>
      </c>
      <c r="Q806" s="12">
        <f t="shared" si="409"/>
        <v>0</v>
      </c>
      <c r="R806" s="12">
        <f t="shared" si="409"/>
        <v>0</v>
      </c>
      <c r="S806" s="12">
        <f t="shared" si="409"/>
        <v>0</v>
      </c>
      <c r="T806" s="12">
        <f t="shared" si="409"/>
        <v>0</v>
      </c>
      <c r="U806" s="12">
        <f t="shared" si="409"/>
        <v>400000</v>
      </c>
    </row>
    <row r="807" spans="1:22" ht="21.95" customHeight="1" x14ac:dyDescent="0.25">
      <c r="A807" s="18" t="s">
        <v>1613</v>
      </c>
      <c r="B807" s="25" t="s">
        <v>98</v>
      </c>
      <c r="C807" s="12">
        <f t="shared" si="367"/>
        <v>2500000</v>
      </c>
      <c r="D807" s="20">
        <f t="shared" ref="D807:D808" si="410">SUM(E807:J807)</f>
        <v>0</v>
      </c>
      <c r="E807" s="20">
        <v>0</v>
      </c>
      <c r="F807" s="20">
        <v>0</v>
      </c>
      <c r="G807" s="20">
        <v>0</v>
      </c>
      <c r="H807" s="20">
        <v>0</v>
      </c>
      <c r="I807" s="20">
        <v>0</v>
      </c>
      <c r="J807" s="20">
        <v>0</v>
      </c>
      <c r="K807" s="21">
        <v>1</v>
      </c>
      <c r="L807" s="20">
        <v>2300000</v>
      </c>
      <c r="M807" s="8">
        <v>0</v>
      </c>
      <c r="N807" s="8">
        <v>0</v>
      </c>
      <c r="O807" s="20">
        <v>0</v>
      </c>
      <c r="P807" s="20">
        <v>0</v>
      </c>
      <c r="Q807" s="20">
        <v>0</v>
      </c>
      <c r="R807" s="20">
        <f t="shared" ref="R807:R808" si="411">Q807*3000</f>
        <v>0</v>
      </c>
      <c r="S807" s="20">
        <v>0</v>
      </c>
      <c r="T807" s="20">
        <v>0</v>
      </c>
      <c r="U807" s="20">
        <v>200000</v>
      </c>
      <c r="V807" s="1" t="e">
        <f t="shared" ref="V807:V808" si="412">N807/M807</f>
        <v>#DIV/0!</v>
      </c>
    </row>
    <row r="808" spans="1:22" ht="21.95" customHeight="1" x14ac:dyDescent="0.25">
      <c r="A808" s="18" t="s">
        <v>1076</v>
      </c>
      <c r="B808" s="25" t="s">
        <v>102</v>
      </c>
      <c r="C808" s="12">
        <f t="shared" si="367"/>
        <v>2500000</v>
      </c>
      <c r="D808" s="20">
        <f t="shared" si="410"/>
        <v>0</v>
      </c>
      <c r="E808" s="20">
        <v>0</v>
      </c>
      <c r="F808" s="20">
        <v>0</v>
      </c>
      <c r="G808" s="20">
        <v>0</v>
      </c>
      <c r="H808" s="20">
        <v>0</v>
      </c>
      <c r="I808" s="20">
        <v>0</v>
      </c>
      <c r="J808" s="20">
        <v>0</v>
      </c>
      <c r="K808" s="21">
        <v>1</v>
      </c>
      <c r="L808" s="20">
        <v>2300000</v>
      </c>
      <c r="M808" s="8">
        <v>0</v>
      </c>
      <c r="N808" s="8">
        <v>0</v>
      </c>
      <c r="O808" s="20">
        <v>0</v>
      </c>
      <c r="P808" s="20">
        <v>0</v>
      </c>
      <c r="Q808" s="20">
        <v>0</v>
      </c>
      <c r="R808" s="20">
        <f t="shared" si="411"/>
        <v>0</v>
      </c>
      <c r="S808" s="20">
        <v>0</v>
      </c>
      <c r="T808" s="20">
        <v>0</v>
      </c>
      <c r="U808" s="20">
        <v>200000</v>
      </c>
      <c r="V808" s="1" t="e">
        <f t="shared" si="412"/>
        <v>#DIV/0!</v>
      </c>
    </row>
    <row r="809" spans="1:22" ht="45" customHeight="1" x14ac:dyDescent="0.25">
      <c r="A809" s="63" t="s">
        <v>103</v>
      </c>
      <c r="B809" s="63"/>
      <c r="C809" s="12">
        <f t="shared" si="367"/>
        <v>12045600</v>
      </c>
      <c r="D809" s="12">
        <f t="shared" ref="D809:U809" si="413">SUM(D810:D813)</f>
        <v>0</v>
      </c>
      <c r="E809" s="12">
        <f t="shared" si="413"/>
        <v>0</v>
      </c>
      <c r="F809" s="12">
        <f t="shared" si="413"/>
        <v>0</v>
      </c>
      <c r="G809" s="12">
        <f t="shared" si="413"/>
        <v>0</v>
      </c>
      <c r="H809" s="12">
        <f t="shared" si="413"/>
        <v>0</v>
      </c>
      <c r="I809" s="12">
        <f t="shared" si="413"/>
        <v>0</v>
      </c>
      <c r="J809" s="12">
        <f t="shared" si="413"/>
        <v>0</v>
      </c>
      <c r="K809" s="13">
        <f t="shared" si="413"/>
        <v>0</v>
      </c>
      <c r="L809" s="12">
        <f t="shared" si="413"/>
        <v>0</v>
      </c>
      <c r="M809" s="12">
        <f t="shared" si="413"/>
        <v>2325</v>
      </c>
      <c r="N809" s="12">
        <f t="shared" si="413"/>
        <v>11245600</v>
      </c>
      <c r="O809" s="12">
        <f t="shared" si="413"/>
        <v>0</v>
      </c>
      <c r="P809" s="12">
        <f t="shared" si="413"/>
        <v>0</v>
      </c>
      <c r="Q809" s="12">
        <f t="shared" si="413"/>
        <v>0</v>
      </c>
      <c r="R809" s="12">
        <f t="shared" si="413"/>
        <v>0</v>
      </c>
      <c r="S809" s="12">
        <f t="shared" si="413"/>
        <v>0</v>
      </c>
      <c r="T809" s="12">
        <f t="shared" si="413"/>
        <v>0</v>
      </c>
      <c r="U809" s="12">
        <f t="shared" si="413"/>
        <v>800000</v>
      </c>
    </row>
    <row r="810" spans="1:22" ht="21" customHeight="1" x14ac:dyDescent="0.25">
      <c r="A810" s="18" t="s">
        <v>1077</v>
      </c>
      <c r="B810" s="25" t="s">
        <v>105</v>
      </c>
      <c r="C810" s="12">
        <f t="shared" si="367"/>
        <v>2680500</v>
      </c>
      <c r="D810" s="20">
        <f t="shared" ref="D810:D813" si="414">SUM(E810:J810)</f>
        <v>0</v>
      </c>
      <c r="E810" s="20">
        <v>0</v>
      </c>
      <c r="F810" s="20">
        <v>0</v>
      </c>
      <c r="G810" s="20">
        <v>0</v>
      </c>
      <c r="H810" s="20">
        <v>0</v>
      </c>
      <c r="I810" s="20">
        <v>0</v>
      </c>
      <c r="J810" s="20">
        <v>0</v>
      </c>
      <c r="K810" s="21">
        <v>0</v>
      </c>
      <c r="L810" s="20">
        <v>0</v>
      </c>
      <c r="M810" s="8">
        <v>451</v>
      </c>
      <c r="N810" s="20">
        <f t="shared" ref="N810:N811" si="415">M810*5500</f>
        <v>2480500</v>
      </c>
      <c r="O810" s="20">
        <v>0</v>
      </c>
      <c r="P810" s="20">
        <v>0</v>
      </c>
      <c r="Q810" s="20">
        <v>0</v>
      </c>
      <c r="R810" s="20">
        <f t="shared" ref="R810:R813" si="416">Q810*3000</f>
        <v>0</v>
      </c>
      <c r="S810" s="20">
        <v>0</v>
      </c>
      <c r="T810" s="20">
        <v>0</v>
      </c>
      <c r="U810" s="20">
        <v>200000</v>
      </c>
      <c r="V810" s="1">
        <f t="shared" ref="V810:V813" si="417">N810/M810</f>
        <v>5500</v>
      </c>
    </row>
    <row r="811" spans="1:22" ht="21" customHeight="1" x14ac:dyDescent="0.25">
      <c r="A811" s="18" t="s">
        <v>1078</v>
      </c>
      <c r="B811" s="25" t="s">
        <v>107</v>
      </c>
      <c r="C811" s="12">
        <f t="shared" si="367"/>
        <v>3450500</v>
      </c>
      <c r="D811" s="20">
        <f t="shared" si="414"/>
        <v>0</v>
      </c>
      <c r="E811" s="20">
        <v>0</v>
      </c>
      <c r="F811" s="20">
        <v>0</v>
      </c>
      <c r="G811" s="20">
        <v>0</v>
      </c>
      <c r="H811" s="20">
        <v>0</v>
      </c>
      <c r="I811" s="20">
        <v>0</v>
      </c>
      <c r="J811" s="20">
        <v>0</v>
      </c>
      <c r="K811" s="21">
        <v>0</v>
      </c>
      <c r="L811" s="20">
        <v>0</v>
      </c>
      <c r="M811" s="8">
        <v>591</v>
      </c>
      <c r="N811" s="20">
        <f t="shared" si="415"/>
        <v>3250500</v>
      </c>
      <c r="O811" s="20">
        <v>0</v>
      </c>
      <c r="P811" s="20">
        <v>0</v>
      </c>
      <c r="Q811" s="20">
        <v>0</v>
      </c>
      <c r="R811" s="20">
        <f t="shared" si="416"/>
        <v>0</v>
      </c>
      <c r="S811" s="20">
        <v>0</v>
      </c>
      <c r="T811" s="20">
        <v>0</v>
      </c>
      <c r="U811" s="20">
        <v>200000</v>
      </c>
      <c r="V811" s="1">
        <f t="shared" si="417"/>
        <v>5500</v>
      </c>
    </row>
    <row r="812" spans="1:22" ht="21" customHeight="1" x14ac:dyDescent="0.25">
      <c r="A812" s="18" t="s">
        <v>1079</v>
      </c>
      <c r="B812" s="25" t="s">
        <v>108</v>
      </c>
      <c r="C812" s="12">
        <f t="shared" si="367"/>
        <v>3333100</v>
      </c>
      <c r="D812" s="20">
        <f t="shared" si="414"/>
        <v>0</v>
      </c>
      <c r="E812" s="20">
        <v>0</v>
      </c>
      <c r="F812" s="20">
        <v>0</v>
      </c>
      <c r="G812" s="20">
        <v>0</v>
      </c>
      <c r="H812" s="20">
        <v>0</v>
      </c>
      <c r="I812" s="20">
        <v>0</v>
      </c>
      <c r="J812" s="20">
        <v>0</v>
      </c>
      <c r="K812" s="21">
        <v>0</v>
      </c>
      <c r="L812" s="20">
        <v>0</v>
      </c>
      <c r="M812" s="8">
        <v>850</v>
      </c>
      <c r="N812" s="20">
        <f>M812*3686</f>
        <v>3133100</v>
      </c>
      <c r="O812" s="20">
        <v>0</v>
      </c>
      <c r="P812" s="20">
        <v>0</v>
      </c>
      <c r="Q812" s="20">
        <v>0</v>
      </c>
      <c r="R812" s="20">
        <f t="shared" si="416"/>
        <v>0</v>
      </c>
      <c r="S812" s="20">
        <v>0</v>
      </c>
      <c r="T812" s="20">
        <v>0</v>
      </c>
      <c r="U812" s="20">
        <v>200000</v>
      </c>
      <c r="V812" s="1">
        <f t="shared" si="417"/>
        <v>3686</v>
      </c>
    </row>
    <row r="813" spans="1:22" ht="21" customHeight="1" x14ac:dyDescent="0.25">
      <c r="A813" s="18" t="s">
        <v>1080</v>
      </c>
      <c r="B813" s="25" t="s">
        <v>110</v>
      </c>
      <c r="C813" s="12">
        <f t="shared" si="367"/>
        <v>2581500</v>
      </c>
      <c r="D813" s="20">
        <f t="shared" si="414"/>
        <v>0</v>
      </c>
      <c r="E813" s="20">
        <v>0</v>
      </c>
      <c r="F813" s="20">
        <v>0</v>
      </c>
      <c r="G813" s="20">
        <v>0</v>
      </c>
      <c r="H813" s="20">
        <v>0</v>
      </c>
      <c r="I813" s="20">
        <v>0</v>
      </c>
      <c r="J813" s="20">
        <v>0</v>
      </c>
      <c r="K813" s="21">
        <v>0</v>
      </c>
      <c r="L813" s="20">
        <v>0</v>
      </c>
      <c r="M813" s="8">
        <v>433</v>
      </c>
      <c r="N813" s="20">
        <f t="shared" ref="N813" si="418">M813*5500</f>
        <v>2381500</v>
      </c>
      <c r="O813" s="20">
        <v>0</v>
      </c>
      <c r="P813" s="20">
        <v>0</v>
      </c>
      <c r="Q813" s="20">
        <v>0</v>
      </c>
      <c r="R813" s="20">
        <f t="shared" si="416"/>
        <v>0</v>
      </c>
      <c r="S813" s="20">
        <v>0</v>
      </c>
      <c r="T813" s="20">
        <v>0</v>
      </c>
      <c r="U813" s="20">
        <v>200000</v>
      </c>
      <c r="V813" s="1">
        <f t="shared" si="417"/>
        <v>5500</v>
      </c>
    </row>
    <row r="814" spans="1:22" ht="45" customHeight="1" x14ac:dyDescent="0.25">
      <c r="A814" s="63" t="s">
        <v>117</v>
      </c>
      <c r="B814" s="63"/>
      <c r="C814" s="12">
        <f t="shared" si="367"/>
        <v>1476000</v>
      </c>
      <c r="D814" s="12">
        <f t="shared" ref="D814:U814" si="419">SUM(D815)</f>
        <v>0</v>
      </c>
      <c r="E814" s="12">
        <f t="shared" si="419"/>
        <v>0</v>
      </c>
      <c r="F814" s="12">
        <f t="shared" si="419"/>
        <v>0</v>
      </c>
      <c r="G814" s="12">
        <f t="shared" si="419"/>
        <v>0</v>
      </c>
      <c r="H814" s="12">
        <f t="shared" si="419"/>
        <v>0</v>
      </c>
      <c r="I814" s="12">
        <f t="shared" si="419"/>
        <v>0</v>
      </c>
      <c r="J814" s="12">
        <f t="shared" si="419"/>
        <v>0</v>
      </c>
      <c r="K814" s="13">
        <f t="shared" si="419"/>
        <v>0</v>
      </c>
      <c r="L814" s="12">
        <f t="shared" si="419"/>
        <v>0</v>
      </c>
      <c r="M814" s="12">
        <f t="shared" si="419"/>
        <v>232</v>
      </c>
      <c r="N814" s="12">
        <f t="shared" si="419"/>
        <v>1276000</v>
      </c>
      <c r="O814" s="12">
        <f t="shared" si="419"/>
        <v>0</v>
      </c>
      <c r="P814" s="12">
        <f t="shared" si="419"/>
        <v>0</v>
      </c>
      <c r="Q814" s="12">
        <f t="shared" si="419"/>
        <v>0</v>
      </c>
      <c r="R814" s="12">
        <f t="shared" si="419"/>
        <v>0</v>
      </c>
      <c r="S814" s="12">
        <f t="shared" si="419"/>
        <v>0</v>
      </c>
      <c r="T814" s="12">
        <f t="shared" si="419"/>
        <v>0</v>
      </c>
      <c r="U814" s="12">
        <f t="shared" si="419"/>
        <v>200000</v>
      </c>
    </row>
    <row r="815" spans="1:22" ht="21.95" customHeight="1" x14ac:dyDescent="0.25">
      <c r="A815" s="26" t="s">
        <v>1081</v>
      </c>
      <c r="B815" s="25" t="s">
        <v>118</v>
      </c>
      <c r="C815" s="12">
        <f t="shared" si="367"/>
        <v>1476000</v>
      </c>
      <c r="D815" s="20">
        <f t="shared" ref="D815" si="420">SUM(E815:J815)</f>
        <v>0</v>
      </c>
      <c r="E815" s="20">
        <v>0</v>
      </c>
      <c r="F815" s="20">
        <v>0</v>
      </c>
      <c r="G815" s="20">
        <v>0</v>
      </c>
      <c r="H815" s="20">
        <v>0</v>
      </c>
      <c r="I815" s="20">
        <v>0</v>
      </c>
      <c r="J815" s="20">
        <v>0</v>
      </c>
      <c r="K815" s="9">
        <v>0</v>
      </c>
      <c r="L815" s="8">
        <v>0</v>
      </c>
      <c r="M815" s="8">
        <v>232</v>
      </c>
      <c r="N815" s="20">
        <f t="shared" ref="N815" si="421">M815*5500</f>
        <v>1276000</v>
      </c>
      <c r="O815" s="8">
        <v>0</v>
      </c>
      <c r="P815" s="8">
        <v>0</v>
      </c>
      <c r="Q815" s="8">
        <v>0</v>
      </c>
      <c r="R815" s="20">
        <f>Q815*3000</f>
        <v>0</v>
      </c>
      <c r="S815" s="8">
        <v>0</v>
      </c>
      <c r="T815" s="8">
        <v>0</v>
      </c>
      <c r="U815" s="8">
        <v>200000</v>
      </c>
      <c r="V815" s="1">
        <f t="shared" ref="V815" si="422">N815/M815</f>
        <v>5500</v>
      </c>
    </row>
    <row r="816" spans="1:22" ht="45" customHeight="1" x14ac:dyDescent="0.25">
      <c r="A816" s="63" t="s">
        <v>1591</v>
      </c>
      <c r="B816" s="63"/>
      <c r="C816" s="12">
        <f t="shared" si="367"/>
        <v>15544149.800000001</v>
      </c>
      <c r="D816" s="12">
        <f t="shared" ref="D816:U816" si="423">SUM(D817:D819)</f>
        <v>0</v>
      </c>
      <c r="E816" s="12">
        <f t="shared" si="423"/>
        <v>0</v>
      </c>
      <c r="F816" s="12">
        <f t="shared" si="423"/>
        <v>0</v>
      </c>
      <c r="G816" s="12">
        <f t="shared" si="423"/>
        <v>0</v>
      </c>
      <c r="H816" s="12">
        <f t="shared" si="423"/>
        <v>0</v>
      </c>
      <c r="I816" s="12">
        <f t="shared" si="423"/>
        <v>0</v>
      </c>
      <c r="J816" s="12">
        <f t="shared" si="423"/>
        <v>0</v>
      </c>
      <c r="K816" s="13">
        <f t="shared" si="423"/>
        <v>0</v>
      </c>
      <c r="L816" s="12">
        <f t="shared" si="423"/>
        <v>0</v>
      </c>
      <c r="M816" s="12">
        <f t="shared" si="423"/>
        <v>4054.3</v>
      </c>
      <c r="N816" s="12">
        <f t="shared" si="423"/>
        <v>14944149.800000001</v>
      </c>
      <c r="O816" s="12">
        <f t="shared" si="423"/>
        <v>0</v>
      </c>
      <c r="P816" s="12">
        <f t="shared" si="423"/>
        <v>0</v>
      </c>
      <c r="Q816" s="12">
        <f t="shared" si="423"/>
        <v>0</v>
      </c>
      <c r="R816" s="12">
        <f t="shared" si="423"/>
        <v>0</v>
      </c>
      <c r="S816" s="12">
        <f t="shared" si="423"/>
        <v>0</v>
      </c>
      <c r="T816" s="12">
        <f t="shared" si="423"/>
        <v>0</v>
      </c>
      <c r="U816" s="12">
        <f t="shared" si="423"/>
        <v>600000</v>
      </c>
      <c r="V816" s="22">
        <f>C816+C1239</f>
        <v>15544149.800000001</v>
      </c>
    </row>
    <row r="817" spans="1:22" ht="21.95" customHeight="1" x14ac:dyDescent="0.25">
      <c r="A817" s="18" t="s">
        <v>1082</v>
      </c>
      <c r="B817" s="25" t="s">
        <v>1592</v>
      </c>
      <c r="C817" s="12">
        <f t="shared" si="367"/>
        <v>5253506</v>
      </c>
      <c r="D817" s="20">
        <f t="shared" ref="D817:D819" si="424">SUM(E817:J817)</f>
        <v>0</v>
      </c>
      <c r="E817" s="20">
        <v>0</v>
      </c>
      <c r="F817" s="20">
        <v>0</v>
      </c>
      <c r="G817" s="20">
        <v>0</v>
      </c>
      <c r="H817" s="20">
        <v>0</v>
      </c>
      <c r="I817" s="20">
        <v>0</v>
      </c>
      <c r="J817" s="20">
        <v>0</v>
      </c>
      <c r="K817" s="21">
        <v>0</v>
      </c>
      <c r="L817" s="20">
        <v>0</v>
      </c>
      <c r="M817" s="8">
        <v>1371</v>
      </c>
      <c r="N817" s="8">
        <f>M817*3686</f>
        <v>5053506</v>
      </c>
      <c r="O817" s="8">
        <v>0</v>
      </c>
      <c r="P817" s="8">
        <v>0</v>
      </c>
      <c r="Q817" s="8">
        <v>0</v>
      </c>
      <c r="R817" s="20">
        <f t="shared" ref="R817:R819" si="425">Q817*3000</f>
        <v>0</v>
      </c>
      <c r="S817" s="8">
        <v>0</v>
      </c>
      <c r="T817" s="8">
        <v>0</v>
      </c>
      <c r="U817" s="8">
        <v>200000</v>
      </c>
      <c r="V817" s="1">
        <f t="shared" ref="V817:V819" si="426">N817/M817</f>
        <v>3686</v>
      </c>
    </row>
    <row r="818" spans="1:22" ht="21.95" customHeight="1" x14ac:dyDescent="0.25">
      <c r="A818" s="18" t="s">
        <v>1083</v>
      </c>
      <c r="B818" s="25" t="s">
        <v>1593</v>
      </c>
      <c r="C818" s="12">
        <f t="shared" si="367"/>
        <v>4742257.8</v>
      </c>
      <c r="D818" s="20">
        <f t="shared" si="424"/>
        <v>0</v>
      </c>
      <c r="E818" s="20">
        <v>0</v>
      </c>
      <c r="F818" s="20">
        <v>0</v>
      </c>
      <c r="G818" s="20">
        <v>0</v>
      </c>
      <c r="H818" s="20">
        <v>0</v>
      </c>
      <c r="I818" s="20">
        <v>0</v>
      </c>
      <c r="J818" s="20">
        <v>0</v>
      </c>
      <c r="K818" s="21">
        <v>0</v>
      </c>
      <c r="L818" s="20">
        <v>0</v>
      </c>
      <c r="M818" s="8">
        <v>1232.3</v>
      </c>
      <c r="N818" s="8">
        <f>M818*3686</f>
        <v>4542257.8</v>
      </c>
      <c r="O818" s="8">
        <v>0</v>
      </c>
      <c r="P818" s="8">
        <v>0</v>
      </c>
      <c r="Q818" s="8">
        <v>0</v>
      </c>
      <c r="R818" s="20">
        <f t="shared" si="425"/>
        <v>0</v>
      </c>
      <c r="S818" s="8">
        <v>0</v>
      </c>
      <c r="T818" s="8">
        <v>0</v>
      </c>
      <c r="U818" s="8">
        <v>200000</v>
      </c>
      <c r="V818" s="1">
        <f t="shared" si="426"/>
        <v>3686</v>
      </c>
    </row>
    <row r="819" spans="1:22" ht="21.95" customHeight="1" x14ac:dyDescent="0.25">
      <c r="A819" s="18" t="s">
        <v>1084</v>
      </c>
      <c r="B819" s="25" t="s">
        <v>1594</v>
      </c>
      <c r="C819" s="12">
        <f t="shared" si="367"/>
        <v>5548386</v>
      </c>
      <c r="D819" s="20">
        <f t="shared" si="424"/>
        <v>0</v>
      </c>
      <c r="E819" s="20">
        <v>0</v>
      </c>
      <c r="F819" s="20">
        <v>0</v>
      </c>
      <c r="G819" s="20">
        <v>0</v>
      </c>
      <c r="H819" s="20">
        <v>0</v>
      </c>
      <c r="I819" s="20">
        <v>0</v>
      </c>
      <c r="J819" s="20">
        <v>0</v>
      </c>
      <c r="K819" s="21">
        <v>0</v>
      </c>
      <c r="L819" s="20">
        <v>0</v>
      </c>
      <c r="M819" s="8">
        <v>1451</v>
      </c>
      <c r="N819" s="8">
        <f>M819*3686</f>
        <v>5348386</v>
      </c>
      <c r="O819" s="8">
        <v>0</v>
      </c>
      <c r="P819" s="8">
        <v>0</v>
      </c>
      <c r="Q819" s="8">
        <v>0</v>
      </c>
      <c r="R819" s="20">
        <f t="shared" si="425"/>
        <v>0</v>
      </c>
      <c r="S819" s="8">
        <v>0</v>
      </c>
      <c r="T819" s="8">
        <v>0</v>
      </c>
      <c r="U819" s="8">
        <v>200000</v>
      </c>
      <c r="V819" s="1">
        <f t="shared" si="426"/>
        <v>3686</v>
      </c>
    </row>
    <row r="820" spans="1:22" ht="45" customHeight="1" x14ac:dyDescent="0.25">
      <c r="A820" s="63" t="s">
        <v>1589</v>
      </c>
      <c r="B820" s="63"/>
      <c r="C820" s="12">
        <f>SUM(C821)</f>
        <v>473220</v>
      </c>
      <c r="D820" s="12">
        <f t="shared" ref="D820:U820" si="427">SUM(D821)</f>
        <v>473220</v>
      </c>
      <c r="E820" s="12">
        <f t="shared" si="427"/>
        <v>150570</v>
      </c>
      <c r="F820" s="12">
        <f t="shared" si="427"/>
        <v>0</v>
      </c>
      <c r="G820" s="12">
        <f t="shared" si="427"/>
        <v>150570</v>
      </c>
      <c r="H820" s="12">
        <f t="shared" si="427"/>
        <v>0</v>
      </c>
      <c r="I820" s="12">
        <f t="shared" si="427"/>
        <v>172080</v>
      </c>
      <c r="J820" s="12">
        <f t="shared" si="427"/>
        <v>0</v>
      </c>
      <c r="K820" s="12">
        <f t="shared" si="427"/>
        <v>0</v>
      </c>
      <c r="L820" s="12">
        <f t="shared" si="427"/>
        <v>0</v>
      </c>
      <c r="M820" s="12">
        <f t="shared" si="427"/>
        <v>0</v>
      </c>
      <c r="N820" s="12">
        <f t="shared" si="427"/>
        <v>0</v>
      </c>
      <c r="O820" s="12">
        <f t="shared" si="427"/>
        <v>0</v>
      </c>
      <c r="P820" s="12">
        <f t="shared" si="427"/>
        <v>0</v>
      </c>
      <c r="Q820" s="12">
        <f t="shared" si="427"/>
        <v>0</v>
      </c>
      <c r="R820" s="12">
        <f t="shared" si="427"/>
        <v>0</v>
      </c>
      <c r="S820" s="12">
        <f t="shared" si="427"/>
        <v>0</v>
      </c>
      <c r="T820" s="12">
        <f t="shared" si="427"/>
        <v>0</v>
      </c>
      <c r="U820" s="12">
        <f t="shared" si="427"/>
        <v>0</v>
      </c>
      <c r="V820" s="22">
        <f>C820+C1237</f>
        <v>473220</v>
      </c>
    </row>
    <row r="821" spans="1:22" ht="21.95" customHeight="1" x14ac:dyDescent="0.25">
      <c r="A821" s="18" t="s">
        <v>1085</v>
      </c>
      <c r="B821" s="25" t="s">
        <v>1590</v>
      </c>
      <c r="C821" s="12">
        <f>D821+L821+N821+P821+R821+S821+T821+U821</f>
        <v>473220</v>
      </c>
      <c r="D821" s="20">
        <f t="shared" ref="D821" si="428">SUM(E821:J821)</f>
        <v>473220</v>
      </c>
      <c r="E821" s="20">
        <f>350*430.2</f>
        <v>150570</v>
      </c>
      <c r="F821" s="20">
        <v>0</v>
      </c>
      <c r="G821" s="20">
        <f>350*430.2</f>
        <v>150570</v>
      </c>
      <c r="H821" s="20">
        <v>0</v>
      </c>
      <c r="I821" s="20">
        <f>400*430.2</f>
        <v>172080</v>
      </c>
      <c r="J821" s="20">
        <v>0</v>
      </c>
      <c r="K821" s="21">
        <v>0</v>
      </c>
      <c r="L821" s="20">
        <v>0</v>
      </c>
      <c r="M821" s="8">
        <v>0</v>
      </c>
      <c r="N821" s="8">
        <v>0</v>
      </c>
      <c r="O821" s="8">
        <v>0</v>
      </c>
      <c r="P821" s="8">
        <v>0</v>
      </c>
      <c r="Q821" s="8">
        <v>0</v>
      </c>
      <c r="R821" s="8">
        <v>0</v>
      </c>
      <c r="S821" s="8">
        <v>0</v>
      </c>
      <c r="T821" s="8">
        <v>0</v>
      </c>
      <c r="U821" s="8">
        <v>0</v>
      </c>
      <c r="V821" s="1" t="e">
        <f t="shared" ref="V821" si="429">N821/M821</f>
        <v>#DIV/0!</v>
      </c>
    </row>
    <row r="822" spans="1:22" ht="45" customHeight="1" x14ac:dyDescent="0.25">
      <c r="A822" s="63" t="s">
        <v>125</v>
      </c>
      <c r="B822" s="63"/>
      <c r="C822" s="12">
        <f t="shared" si="367"/>
        <v>4848950</v>
      </c>
      <c r="D822" s="12">
        <f t="shared" ref="D822:U822" si="430">SUM(D823:D824)</f>
        <v>0</v>
      </c>
      <c r="E822" s="12">
        <f t="shared" si="430"/>
        <v>0</v>
      </c>
      <c r="F822" s="12">
        <f t="shared" si="430"/>
        <v>0</v>
      </c>
      <c r="G822" s="12">
        <f t="shared" si="430"/>
        <v>0</v>
      </c>
      <c r="H822" s="12">
        <f t="shared" si="430"/>
        <v>0</v>
      </c>
      <c r="I822" s="12">
        <f t="shared" si="430"/>
        <v>0</v>
      </c>
      <c r="J822" s="12">
        <f t="shared" si="430"/>
        <v>0</v>
      </c>
      <c r="K822" s="13">
        <f t="shared" si="430"/>
        <v>0</v>
      </c>
      <c r="L822" s="12">
        <f t="shared" si="430"/>
        <v>0</v>
      </c>
      <c r="M822" s="12">
        <f t="shared" si="430"/>
        <v>808.9</v>
      </c>
      <c r="N822" s="12">
        <f t="shared" si="430"/>
        <v>4448950</v>
      </c>
      <c r="O822" s="12">
        <f t="shared" si="430"/>
        <v>0</v>
      </c>
      <c r="P822" s="12">
        <f t="shared" si="430"/>
        <v>0</v>
      </c>
      <c r="Q822" s="12">
        <f t="shared" si="430"/>
        <v>0</v>
      </c>
      <c r="R822" s="12">
        <f t="shared" si="430"/>
        <v>0</v>
      </c>
      <c r="S822" s="12">
        <f t="shared" si="430"/>
        <v>0</v>
      </c>
      <c r="T822" s="12">
        <f t="shared" si="430"/>
        <v>0</v>
      </c>
      <c r="U822" s="12">
        <f t="shared" si="430"/>
        <v>400000</v>
      </c>
    </row>
    <row r="823" spans="1:22" ht="21.95" customHeight="1" x14ac:dyDescent="0.25">
      <c r="A823" s="18" t="s">
        <v>1086</v>
      </c>
      <c r="B823" s="27" t="s">
        <v>120</v>
      </c>
      <c r="C823" s="12">
        <f t="shared" si="367"/>
        <v>3273950</v>
      </c>
      <c r="D823" s="20">
        <f t="shared" ref="D823:D824" si="431">SUM(E823:J823)</f>
        <v>0</v>
      </c>
      <c r="E823" s="20">
        <v>0</v>
      </c>
      <c r="F823" s="20">
        <v>0</v>
      </c>
      <c r="G823" s="20">
        <v>0</v>
      </c>
      <c r="H823" s="20">
        <v>0</v>
      </c>
      <c r="I823" s="20">
        <v>0</v>
      </c>
      <c r="J823" s="20">
        <v>0</v>
      </c>
      <c r="K823" s="21">
        <v>0</v>
      </c>
      <c r="L823" s="20">
        <v>0</v>
      </c>
      <c r="M823" s="8">
        <v>558.9</v>
      </c>
      <c r="N823" s="20">
        <f t="shared" ref="N823:N824" si="432">M823*5500</f>
        <v>3073950</v>
      </c>
      <c r="O823" s="20">
        <v>0</v>
      </c>
      <c r="P823" s="20">
        <v>0</v>
      </c>
      <c r="Q823" s="20">
        <v>0</v>
      </c>
      <c r="R823" s="20">
        <v>0</v>
      </c>
      <c r="S823" s="20">
        <v>0</v>
      </c>
      <c r="T823" s="20">
        <v>0</v>
      </c>
      <c r="U823" s="20">
        <v>200000</v>
      </c>
      <c r="V823" s="1">
        <f t="shared" ref="V823:V824" si="433">N823/M823</f>
        <v>5500</v>
      </c>
    </row>
    <row r="824" spans="1:22" ht="21.95" customHeight="1" x14ac:dyDescent="0.25">
      <c r="A824" s="18" t="s">
        <v>1087</v>
      </c>
      <c r="B824" s="27" t="s">
        <v>121</v>
      </c>
      <c r="C824" s="12">
        <f t="shared" si="367"/>
        <v>1575000</v>
      </c>
      <c r="D824" s="20">
        <f t="shared" si="431"/>
        <v>0</v>
      </c>
      <c r="E824" s="20">
        <v>0</v>
      </c>
      <c r="F824" s="20">
        <v>0</v>
      </c>
      <c r="G824" s="20">
        <v>0</v>
      </c>
      <c r="H824" s="20">
        <v>0</v>
      </c>
      <c r="I824" s="20">
        <v>0</v>
      </c>
      <c r="J824" s="20">
        <v>0</v>
      </c>
      <c r="K824" s="21">
        <v>0</v>
      </c>
      <c r="L824" s="20">
        <v>0</v>
      </c>
      <c r="M824" s="8">
        <v>250</v>
      </c>
      <c r="N824" s="20">
        <f t="shared" si="432"/>
        <v>1375000</v>
      </c>
      <c r="O824" s="20">
        <v>0</v>
      </c>
      <c r="P824" s="20">
        <v>0</v>
      </c>
      <c r="Q824" s="20">
        <v>0</v>
      </c>
      <c r="R824" s="20">
        <v>0</v>
      </c>
      <c r="S824" s="20">
        <v>0</v>
      </c>
      <c r="T824" s="20">
        <v>0</v>
      </c>
      <c r="U824" s="20">
        <v>200000</v>
      </c>
      <c r="V824" s="1">
        <f t="shared" si="433"/>
        <v>5500</v>
      </c>
    </row>
    <row r="825" spans="1:22" ht="45" customHeight="1" x14ac:dyDescent="0.25">
      <c r="A825" s="63" t="s">
        <v>128</v>
      </c>
      <c r="B825" s="63"/>
      <c r="C825" s="12">
        <f t="shared" si="367"/>
        <v>2070000</v>
      </c>
      <c r="D825" s="12">
        <f t="shared" ref="D825:U825" si="434">SUM(D826)</f>
        <v>0</v>
      </c>
      <c r="E825" s="12">
        <f t="shared" si="434"/>
        <v>0</v>
      </c>
      <c r="F825" s="12">
        <f t="shared" si="434"/>
        <v>0</v>
      </c>
      <c r="G825" s="12">
        <f t="shared" si="434"/>
        <v>0</v>
      </c>
      <c r="H825" s="12">
        <f t="shared" si="434"/>
        <v>0</v>
      </c>
      <c r="I825" s="12">
        <f t="shared" si="434"/>
        <v>0</v>
      </c>
      <c r="J825" s="12">
        <f t="shared" si="434"/>
        <v>0</v>
      </c>
      <c r="K825" s="13">
        <f t="shared" si="434"/>
        <v>0</v>
      </c>
      <c r="L825" s="12">
        <f t="shared" si="434"/>
        <v>0</v>
      </c>
      <c r="M825" s="12">
        <f t="shared" si="434"/>
        <v>340</v>
      </c>
      <c r="N825" s="12">
        <f t="shared" si="434"/>
        <v>1870000</v>
      </c>
      <c r="O825" s="12">
        <f t="shared" si="434"/>
        <v>0</v>
      </c>
      <c r="P825" s="12">
        <f t="shared" si="434"/>
        <v>0</v>
      </c>
      <c r="Q825" s="12">
        <f t="shared" si="434"/>
        <v>0</v>
      </c>
      <c r="R825" s="12">
        <f t="shared" si="434"/>
        <v>0</v>
      </c>
      <c r="S825" s="12">
        <f t="shared" si="434"/>
        <v>0</v>
      </c>
      <c r="T825" s="12">
        <f t="shared" si="434"/>
        <v>0</v>
      </c>
      <c r="U825" s="12">
        <f t="shared" si="434"/>
        <v>200000</v>
      </c>
    </row>
    <row r="826" spans="1:22" ht="21.95" customHeight="1" x14ac:dyDescent="0.25">
      <c r="A826" s="18" t="s">
        <v>1088</v>
      </c>
      <c r="B826" s="32" t="s">
        <v>127</v>
      </c>
      <c r="C826" s="12">
        <f t="shared" ref="C826:C887" si="435">D826+L826+N826+P826+R826+S826+T826+U826</f>
        <v>2070000</v>
      </c>
      <c r="D826" s="20">
        <f t="shared" ref="D826" si="436">SUM(E826:J826)</f>
        <v>0</v>
      </c>
      <c r="E826" s="20">
        <v>0</v>
      </c>
      <c r="F826" s="20">
        <v>0</v>
      </c>
      <c r="G826" s="20">
        <v>0</v>
      </c>
      <c r="H826" s="20">
        <v>0</v>
      </c>
      <c r="I826" s="20">
        <v>0</v>
      </c>
      <c r="J826" s="20">
        <v>0</v>
      </c>
      <c r="K826" s="21">
        <v>0</v>
      </c>
      <c r="L826" s="20">
        <v>0</v>
      </c>
      <c r="M826" s="20">
        <v>340</v>
      </c>
      <c r="N826" s="20">
        <f t="shared" ref="N826" si="437">M826*5500</f>
        <v>1870000</v>
      </c>
      <c r="O826" s="20">
        <v>0</v>
      </c>
      <c r="P826" s="20">
        <v>0</v>
      </c>
      <c r="Q826" s="20">
        <v>0</v>
      </c>
      <c r="R826" s="8">
        <v>0</v>
      </c>
      <c r="S826" s="20">
        <v>0</v>
      </c>
      <c r="T826" s="20">
        <v>0</v>
      </c>
      <c r="U826" s="20">
        <v>200000</v>
      </c>
      <c r="V826" s="1">
        <f t="shared" ref="V826" si="438">N826/M826</f>
        <v>5500</v>
      </c>
    </row>
    <row r="827" spans="1:22" ht="45" customHeight="1" x14ac:dyDescent="0.25">
      <c r="A827" s="63" t="s">
        <v>1406</v>
      </c>
      <c r="B827" s="63"/>
      <c r="C827" s="12">
        <f t="shared" si="435"/>
        <v>10315100</v>
      </c>
      <c r="D827" s="12">
        <f t="shared" ref="D827:U827" si="439">SUM(D828)</f>
        <v>2366160</v>
      </c>
      <c r="E827" s="12">
        <f t="shared" si="439"/>
        <v>345065</v>
      </c>
      <c r="F827" s="12">
        <f t="shared" si="439"/>
        <v>788720</v>
      </c>
      <c r="G827" s="12">
        <f t="shared" si="439"/>
        <v>345065</v>
      </c>
      <c r="H827" s="12">
        <f t="shared" si="439"/>
        <v>492950</v>
      </c>
      <c r="I827" s="12">
        <f t="shared" si="439"/>
        <v>394360</v>
      </c>
      <c r="J827" s="12">
        <f t="shared" si="439"/>
        <v>0</v>
      </c>
      <c r="K827" s="13">
        <f t="shared" si="439"/>
        <v>0</v>
      </c>
      <c r="L827" s="12">
        <f t="shared" si="439"/>
        <v>0</v>
      </c>
      <c r="M827" s="12">
        <f t="shared" si="439"/>
        <v>1072</v>
      </c>
      <c r="N827" s="12">
        <f t="shared" si="439"/>
        <v>5896000</v>
      </c>
      <c r="O827" s="12">
        <f t="shared" si="439"/>
        <v>0</v>
      </c>
      <c r="P827" s="12">
        <f t="shared" si="439"/>
        <v>0</v>
      </c>
      <c r="Q827" s="12">
        <f t="shared" si="439"/>
        <v>514.5</v>
      </c>
      <c r="R827" s="12">
        <f t="shared" si="439"/>
        <v>1543500</v>
      </c>
      <c r="S827" s="12">
        <f t="shared" si="439"/>
        <v>409440</v>
      </c>
      <c r="T827" s="12">
        <f t="shared" si="439"/>
        <v>0</v>
      </c>
      <c r="U827" s="12">
        <f t="shared" si="439"/>
        <v>100000</v>
      </c>
      <c r="V827" s="22">
        <f>C827</f>
        <v>10315100</v>
      </c>
    </row>
    <row r="828" spans="1:22" ht="21" customHeight="1" x14ac:dyDescent="0.25">
      <c r="A828" s="18" t="s">
        <v>1089</v>
      </c>
      <c r="B828" s="25" t="s">
        <v>1407</v>
      </c>
      <c r="C828" s="12">
        <f t="shared" si="435"/>
        <v>10315100</v>
      </c>
      <c r="D828" s="20">
        <f t="shared" ref="D828" si="440">SUM(E828:J828)</f>
        <v>2366160</v>
      </c>
      <c r="E828" s="20">
        <f>350*985.9</f>
        <v>345065</v>
      </c>
      <c r="F828" s="20">
        <f>800*985.9</f>
        <v>788720</v>
      </c>
      <c r="G828" s="20">
        <f>350*985.9</f>
        <v>345065</v>
      </c>
      <c r="H828" s="20">
        <f>500*985.9</f>
        <v>492950</v>
      </c>
      <c r="I828" s="20">
        <f>400*985.9</f>
        <v>394360</v>
      </c>
      <c r="J828" s="20">
        <v>0</v>
      </c>
      <c r="K828" s="21">
        <v>0</v>
      </c>
      <c r="L828" s="20">
        <v>0</v>
      </c>
      <c r="M828" s="20">
        <v>1072</v>
      </c>
      <c r="N828" s="20">
        <f t="shared" ref="N828" si="441">M828*5500</f>
        <v>5896000</v>
      </c>
      <c r="O828" s="20">
        <v>0</v>
      </c>
      <c r="P828" s="20">
        <v>0</v>
      </c>
      <c r="Q828" s="20">
        <v>514.5</v>
      </c>
      <c r="R828" s="20">
        <f>Q828*3000</f>
        <v>1543500</v>
      </c>
      <c r="S828" s="20">
        <v>409440</v>
      </c>
      <c r="T828" s="20">
        <v>0</v>
      </c>
      <c r="U828" s="20">
        <v>100000</v>
      </c>
      <c r="V828" s="1">
        <f t="shared" ref="V828" si="442">N828/M828</f>
        <v>5500</v>
      </c>
    </row>
    <row r="829" spans="1:22" ht="45" customHeight="1" x14ac:dyDescent="0.25">
      <c r="A829" s="63" t="s">
        <v>1600</v>
      </c>
      <c r="B829" s="63"/>
      <c r="C829" s="12">
        <f t="shared" si="435"/>
        <v>2723950</v>
      </c>
      <c r="D829" s="12">
        <f t="shared" ref="D829:U829" si="443">SUM(D830)</f>
        <v>0</v>
      </c>
      <c r="E829" s="12">
        <f t="shared" si="443"/>
        <v>0</v>
      </c>
      <c r="F829" s="12">
        <f t="shared" si="443"/>
        <v>0</v>
      </c>
      <c r="G829" s="12">
        <f t="shared" si="443"/>
        <v>0</v>
      </c>
      <c r="H829" s="12">
        <f t="shared" si="443"/>
        <v>0</v>
      </c>
      <c r="I829" s="12">
        <f t="shared" si="443"/>
        <v>0</v>
      </c>
      <c r="J829" s="12">
        <f t="shared" si="443"/>
        <v>0</v>
      </c>
      <c r="K829" s="13">
        <f t="shared" si="443"/>
        <v>0</v>
      </c>
      <c r="L829" s="12">
        <f t="shared" si="443"/>
        <v>0</v>
      </c>
      <c r="M829" s="12">
        <f t="shared" si="443"/>
        <v>458.9</v>
      </c>
      <c r="N829" s="12">
        <f t="shared" si="443"/>
        <v>2523950</v>
      </c>
      <c r="O829" s="12">
        <f t="shared" si="443"/>
        <v>0</v>
      </c>
      <c r="P829" s="12">
        <f t="shared" si="443"/>
        <v>0</v>
      </c>
      <c r="Q829" s="12">
        <f t="shared" si="443"/>
        <v>0</v>
      </c>
      <c r="R829" s="12">
        <f t="shared" si="443"/>
        <v>0</v>
      </c>
      <c r="S829" s="12">
        <f t="shared" si="443"/>
        <v>0</v>
      </c>
      <c r="T829" s="12">
        <f t="shared" si="443"/>
        <v>0</v>
      </c>
      <c r="U829" s="12">
        <f t="shared" si="443"/>
        <v>200000</v>
      </c>
      <c r="V829" s="22">
        <f>C829</f>
        <v>2723950</v>
      </c>
    </row>
    <row r="830" spans="1:22" ht="21" customHeight="1" x14ac:dyDescent="0.25">
      <c r="A830" s="18" t="s">
        <v>1090</v>
      </c>
      <c r="B830" s="25" t="s">
        <v>132</v>
      </c>
      <c r="C830" s="12">
        <f t="shared" si="435"/>
        <v>2723950</v>
      </c>
      <c r="D830" s="20">
        <f t="shared" ref="D830" si="444">SUM(E830:J830)</f>
        <v>0</v>
      </c>
      <c r="E830" s="20">
        <v>0</v>
      </c>
      <c r="F830" s="20">
        <v>0</v>
      </c>
      <c r="G830" s="20">
        <v>0</v>
      </c>
      <c r="H830" s="20">
        <v>0</v>
      </c>
      <c r="I830" s="20">
        <v>0</v>
      </c>
      <c r="J830" s="20">
        <v>0</v>
      </c>
      <c r="K830" s="21">
        <v>0</v>
      </c>
      <c r="L830" s="20">
        <v>0</v>
      </c>
      <c r="M830" s="20">
        <v>458.9</v>
      </c>
      <c r="N830" s="20">
        <f t="shared" ref="N830" si="445">M830*5500</f>
        <v>2523950</v>
      </c>
      <c r="O830" s="20">
        <v>0</v>
      </c>
      <c r="P830" s="20">
        <v>0</v>
      </c>
      <c r="Q830" s="20">
        <v>0</v>
      </c>
      <c r="R830" s="8">
        <v>0</v>
      </c>
      <c r="S830" s="20">
        <v>0</v>
      </c>
      <c r="T830" s="20">
        <v>0</v>
      </c>
      <c r="U830" s="20">
        <v>200000</v>
      </c>
      <c r="V830" s="1">
        <f t="shared" ref="V830" si="446">N830/M830</f>
        <v>5500</v>
      </c>
    </row>
    <row r="831" spans="1:22" ht="45" customHeight="1" x14ac:dyDescent="0.25">
      <c r="A831" s="63" t="s">
        <v>148</v>
      </c>
      <c r="B831" s="63"/>
      <c r="C831" s="12">
        <f t="shared" si="435"/>
        <v>3501179.5</v>
      </c>
      <c r="D831" s="12">
        <f t="shared" ref="D831:U831" si="447">SUM(D832)</f>
        <v>111779.5</v>
      </c>
      <c r="E831" s="12">
        <f t="shared" si="447"/>
        <v>111779.5</v>
      </c>
      <c r="F831" s="12">
        <f t="shared" si="447"/>
        <v>0</v>
      </c>
      <c r="G831" s="12">
        <f t="shared" si="447"/>
        <v>0</v>
      </c>
      <c r="H831" s="12">
        <f t="shared" si="447"/>
        <v>0</v>
      </c>
      <c r="I831" s="12">
        <f t="shared" si="447"/>
        <v>0</v>
      </c>
      <c r="J831" s="12">
        <f t="shared" si="447"/>
        <v>0</v>
      </c>
      <c r="K831" s="13">
        <f t="shared" si="447"/>
        <v>0</v>
      </c>
      <c r="L831" s="12">
        <f t="shared" si="447"/>
        <v>0</v>
      </c>
      <c r="M831" s="12">
        <f t="shared" si="447"/>
        <v>283</v>
      </c>
      <c r="N831" s="12">
        <f t="shared" si="447"/>
        <v>1556500</v>
      </c>
      <c r="O831" s="12">
        <f t="shared" si="447"/>
        <v>126.2</v>
      </c>
      <c r="P831" s="12">
        <f t="shared" si="447"/>
        <v>151440</v>
      </c>
      <c r="Q831" s="12">
        <f t="shared" si="447"/>
        <v>493.82</v>
      </c>
      <c r="R831" s="12">
        <f t="shared" si="447"/>
        <v>1481460</v>
      </c>
      <c r="S831" s="12">
        <f t="shared" si="447"/>
        <v>0</v>
      </c>
      <c r="T831" s="12">
        <f t="shared" si="447"/>
        <v>0</v>
      </c>
      <c r="U831" s="12">
        <f t="shared" si="447"/>
        <v>200000</v>
      </c>
      <c r="V831" s="22">
        <f>C831</f>
        <v>3501179.5</v>
      </c>
    </row>
    <row r="832" spans="1:22" ht="21" customHeight="1" x14ac:dyDescent="0.25">
      <c r="A832" s="18" t="s">
        <v>1091</v>
      </c>
      <c r="B832" s="41" t="s">
        <v>149</v>
      </c>
      <c r="C832" s="12">
        <f t="shared" si="435"/>
        <v>3501179.5</v>
      </c>
      <c r="D832" s="20">
        <f t="shared" ref="D832" si="448">SUM(E832:J832)</f>
        <v>111779.5</v>
      </c>
      <c r="E832" s="20">
        <f>350*319.37</f>
        <v>111779.5</v>
      </c>
      <c r="F832" s="20">
        <f>800*0</f>
        <v>0</v>
      </c>
      <c r="G832" s="20">
        <f>350*0</f>
        <v>0</v>
      </c>
      <c r="H832" s="20">
        <f>500*0</f>
        <v>0</v>
      </c>
      <c r="I832" s="20">
        <f>400*0</f>
        <v>0</v>
      </c>
      <c r="J832" s="20">
        <v>0</v>
      </c>
      <c r="K832" s="21">
        <v>0</v>
      </c>
      <c r="L832" s="20">
        <v>0</v>
      </c>
      <c r="M832" s="20">
        <v>283</v>
      </c>
      <c r="N832" s="20">
        <f t="shared" ref="N832" si="449">M832*5500</f>
        <v>1556500</v>
      </c>
      <c r="O832" s="20">
        <v>126.2</v>
      </c>
      <c r="P832" s="20">
        <v>151440</v>
      </c>
      <c r="Q832" s="20">
        <v>493.82</v>
      </c>
      <c r="R832" s="20">
        <f>Q832*3000</f>
        <v>1481460</v>
      </c>
      <c r="S832" s="20">
        <v>0</v>
      </c>
      <c r="T832" s="20">
        <v>0</v>
      </c>
      <c r="U832" s="20">
        <v>200000</v>
      </c>
      <c r="V832" s="1">
        <f t="shared" ref="V832" si="450">N832/M832</f>
        <v>5500</v>
      </c>
    </row>
    <row r="833" spans="1:22" ht="45" customHeight="1" x14ac:dyDescent="0.25">
      <c r="A833" s="63" t="s">
        <v>150</v>
      </c>
      <c r="B833" s="63"/>
      <c r="C833" s="12">
        <f t="shared" si="435"/>
        <v>11574565</v>
      </c>
      <c r="D833" s="12">
        <f t="shared" ref="D833:U833" si="451">SUM(D834:D837)</f>
        <v>979830.00000000012</v>
      </c>
      <c r="E833" s="12">
        <f t="shared" si="451"/>
        <v>180495.00000000003</v>
      </c>
      <c r="F833" s="12">
        <f t="shared" si="451"/>
        <v>412560.00000000006</v>
      </c>
      <c r="G833" s="12">
        <f t="shared" si="451"/>
        <v>180495.00000000003</v>
      </c>
      <c r="H833" s="12">
        <f t="shared" si="451"/>
        <v>0</v>
      </c>
      <c r="I833" s="12">
        <f t="shared" si="451"/>
        <v>206280.00000000003</v>
      </c>
      <c r="J833" s="12">
        <f t="shared" si="451"/>
        <v>0</v>
      </c>
      <c r="K833" s="13">
        <f t="shared" si="451"/>
        <v>0</v>
      </c>
      <c r="L833" s="12">
        <f t="shared" si="451"/>
        <v>0</v>
      </c>
      <c r="M833" s="12">
        <f t="shared" si="451"/>
        <v>1071.1300000000001</v>
      </c>
      <c r="N833" s="12">
        <f t="shared" si="451"/>
        <v>5891215</v>
      </c>
      <c r="O833" s="12">
        <f t="shared" si="451"/>
        <v>0</v>
      </c>
      <c r="P833" s="12">
        <f t="shared" si="451"/>
        <v>0</v>
      </c>
      <c r="Q833" s="12">
        <f t="shared" si="451"/>
        <v>1367.84</v>
      </c>
      <c r="R833" s="12">
        <f t="shared" si="451"/>
        <v>4103519.9999999995</v>
      </c>
      <c r="S833" s="12">
        <f t="shared" si="451"/>
        <v>0</v>
      </c>
      <c r="T833" s="12">
        <f t="shared" si="451"/>
        <v>0</v>
      </c>
      <c r="U833" s="12">
        <f t="shared" si="451"/>
        <v>600000</v>
      </c>
    </row>
    <row r="834" spans="1:22" ht="21" customHeight="1" x14ac:dyDescent="0.25">
      <c r="A834" s="18" t="s">
        <v>1092</v>
      </c>
      <c r="B834" s="25" t="s">
        <v>154</v>
      </c>
      <c r="C834" s="12">
        <f t="shared" si="435"/>
        <v>7289340</v>
      </c>
      <c r="D834" s="20">
        <f t="shared" ref="D834:D837" si="452">SUM(E834:J834)</f>
        <v>0</v>
      </c>
      <c r="E834" s="20">
        <v>0</v>
      </c>
      <c r="F834" s="20">
        <v>0</v>
      </c>
      <c r="G834" s="20">
        <v>0</v>
      </c>
      <c r="H834" s="20">
        <v>0</v>
      </c>
      <c r="I834" s="20">
        <v>0</v>
      </c>
      <c r="J834" s="20">
        <v>0</v>
      </c>
      <c r="K834" s="21">
        <v>0</v>
      </c>
      <c r="L834" s="20">
        <v>0</v>
      </c>
      <c r="M834" s="20">
        <v>579.24</v>
      </c>
      <c r="N834" s="20">
        <f t="shared" ref="N834:N835" si="453">M834*5500</f>
        <v>3185820</v>
      </c>
      <c r="O834" s="20">
        <v>0</v>
      </c>
      <c r="P834" s="20">
        <v>0</v>
      </c>
      <c r="Q834" s="20">
        <v>1367.84</v>
      </c>
      <c r="R834" s="20">
        <f>Q834*3000</f>
        <v>4103519.9999999995</v>
      </c>
      <c r="S834" s="20">
        <v>0</v>
      </c>
      <c r="T834" s="20">
        <v>0</v>
      </c>
      <c r="U834" s="20">
        <v>0</v>
      </c>
      <c r="V834" s="1">
        <f t="shared" ref="V834:V837" si="454">N834/M834</f>
        <v>5500</v>
      </c>
    </row>
    <row r="835" spans="1:22" ht="21" customHeight="1" x14ac:dyDescent="0.25">
      <c r="A835" s="18" t="s">
        <v>1093</v>
      </c>
      <c r="B835" s="25" t="s">
        <v>156</v>
      </c>
      <c r="C835" s="12">
        <f t="shared" si="435"/>
        <v>1506140</v>
      </c>
      <c r="D835" s="20">
        <f t="shared" si="452"/>
        <v>0</v>
      </c>
      <c r="E835" s="20">
        <v>0</v>
      </c>
      <c r="F835" s="20">
        <v>0</v>
      </c>
      <c r="G835" s="20">
        <v>0</v>
      </c>
      <c r="H835" s="20">
        <v>0</v>
      </c>
      <c r="I835" s="20">
        <v>0</v>
      </c>
      <c r="J835" s="20">
        <v>0</v>
      </c>
      <c r="K835" s="21">
        <v>0</v>
      </c>
      <c r="L835" s="20">
        <v>0</v>
      </c>
      <c r="M835" s="20">
        <v>237.48</v>
      </c>
      <c r="N835" s="20">
        <f t="shared" si="453"/>
        <v>1306140</v>
      </c>
      <c r="O835" s="20">
        <v>0</v>
      </c>
      <c r="P835" s="20">
        <v>0</v>
      </c>
      <c r="Q835" s="20">
        <v>0</v>
      </c>
      <c r="R835" s="8">
        <v>0</v>
      </c>
      <c r="S835" s="20">
        <v>0</v>
      </c>
      <c r="T835" s="20">
        <v>0</v>
      </c>
      <c r="U835" s="20">
        <v>200000</v>
      </c>
      <c r="V835" s="1">
        <f t="shared" si="454"/>
        <v>5500</v>
      </c>
    </row>
    <row r="836" spans="1:22" ht="21" customHeight="1" x14ac:dyDescent="0.25">
      <c r="A836" s="18" t="s">
        <v>1094</v>
      </c>
      <c r="B836" s="25" t="s">
        <v>157</v>
      </c>
      <c r="C836" s="12">
        <f t="shared" si="435"/>
        <v>1179830</v>
      </c>
      <c r="D836" s="20">
        <f t="shared" si="452"/>
        <v>979830.00000000012</v>
      </c>
      <c r="E836" s="20">
        <f>350*515.7</f>
        <v>180495.00000000003</v>
      </c>
      <c r="F836" s="20">
        <f>800*515.7</f>
        <v>412560.00000000006</v>
      </c>
      <c r="G836" s="20">
        <f>350*515.7</f>
        <v>180495.00000000003</v>
      </c>
      <c r="H836" s="20">
        <f>500*0</f>
        <v>0</v>
      </c>
      <c r="I836" s="20">
        <f>400*515.7</f>
        <v>206280.00000000003</v>
      </c>
      <c r="J836" s="20">
        <v>0</v>
      </c>
      <c r="K836" s="21">
        <v>0</v>
      </c>
      <c r="L836" s="20">
        <v>0</v>
      </c>
      <c r="M836" s="20">
        <v>0</v>
      </c>
      <c r="N836" s="20">
        <v>0</v>
      </c>
      <c r="O836" s="20">
        <v>0</v>
      </c>
      <c r="P836" s="20">
        <v>0</v>
      </c>
      <c r="Q836" s="20">
        <v>0</v>
      </c>
      <c r="R836" s="8">
        <v>0</v>
      </c>
      <c r="S836" s="20">
        <v>0</v>
      </c>
      <c r="T836" s="20">
        <v>0</v>
      </c>
      <c r="U836" s="20">
        <v>200000</v>
      </c>
      <c r="V836" s="1" t="e">
        <f t="shared" si="454"/>
        <v>#DIV/0!</v>
      </c>
    </row>
    <row r="837" spans="1:22" ht="21" customHeight="1" x14ac:dyDescent="0.25">
      <c r="A837" s="18" t="s">
        <v>1095</v>
      </c>
      <c r="B837" s="25" t="s">
        <v>158</v>
      </c>
      <c r="C837" s="12">
        <f t="shared" si="435"/>
        <v>1599255</v>
      </c>
      <c r="D837" s="20">
        <f t="shared" si="452"/>
        <v>0</v>
      </c>
      <c r="E837" s="20">
        <v>0</v>
      </c>
      <c r="F837" s="20">
        <v>0</v>
      </c>
      <c r="G837" s="20">
        <v>0</v>
      </c>
      <c r="H837" s="20">
        <v>0</v>
      </c>
      <c r="I837" s="20">
        <v>0</v>
      </c>
      <c r="J837" s="20">
        <v>0</v>
      </c>
      <c r="K837" s="21">
        <v>0</v>
      </c>
      <c r="L837" s="20">
        <v>0</v>
      </c>
      <c r="M837" s="20">
        <v>254.41</v>
      </c>
      <c r="N837" s="20">
        <f t="shared" ref="N837" si="455">M837*5500</f>
        <v>1399255</v>
      </c>
      <c r="O837" s="20">
        <v>0</v>
      </c>
      <c r="P837" s="20">
        <v>0</v>
      </c>
      <c r="Q837" s="20">
        <v>0</v>
      </c>
      <c r="R837" s="8">
        <v>0</v>
      </c>
      <c r="S837" s="20">
        <v>0</v>
      </c>
      <c r="T837" s="20">
        <v>0</v>
      </c>
      <c r="U837" s="20">
        <v>200000</v>
      </c>
      <c r="V837" s="1">
        <f t="shared" si="454"/>
        <v>5500</v>
      </c>
    </row>
    <row r="838" spans="1:22" ht="45" customHeight="1" x14ac:dyDescent="0.25">
      <c r="A838" s="63" t="s">
        <v>1615</v>
      </c>
      <c r="B838" s="63"/>
      <c r="C838" s="12">
        <f t="shared" si="435"/>
        <v>1515270</v>
      </c>
      <c r="D838" s="12">
        <f t="shared" ref="D838:U838" si="456">SUM(D839)</f>
        <v>0</v>
      </c>
      <c r="E838" s="12">
        <f t="shared" si="456"/>
        <v>0</v>
      </c>
      <c r="F838" s="12">
        <f t="shared" si="456"/>
        <v>0</v>
      </c>
      <c r="G838" s="12">
        <f t="shared" si="456"/>
        <v>0</v>
      </c>
      <c r="H838" s="12">
        <f t="shared" si="456"/>
        <v>0</v>
      </c>
      <c r="I838" s="12">
        <f t="shared" si="456"/>
        <v>0</v>
      </c>
      <c r="J838" s="12">
        <f t="shared" si="456"/>
        <v>0</v>
      </c>
      <c r="K838" s="13">
        <f t="shared" si="456"/>
        <v>0</v>
      </c>
      <c r="L838" s="12">
        <f t="shared" si="456"/>
        <v>0</v>
      </c>
      <c r="M838" s="12">
        <f t="shared" si="456"/>
        <v>239.14</v>
      </c>
      <c r="N838" s="12">
        <f t="shared" si="456"/>
        <v>1315270</v>
      </c>
      <c r="O838" s="12">
        <f t="shared" si="456"/>
        <v>0</v>
      </c>
      <c r="P838" s="12">
        <f t="shared" si="456"/>
        <v>0</v>
      </c>
      <c r="Q838" s="12">
        <f t="shared" si="456"/>
        <v>0</v>
      </c>
      <c r="R838" s="12">
        <f t="shared" si="456"/>
        <v>0</v>
      </c>
      <c r="S838" s="12">
        <f t="shared" si="456"/>
        <v>0</v>
      </c>
      <c r="T838" s="12">
        <f t="shared" si="456"/>
        <v>0</v>
      </c>
      <c r="U838" s="12">
        <f t="shared" si="456"/>
        <v>200000</v>
      </c>
    </row>
    <row r="839" spans="1:22" ht="21.95" customHeight="1" x14ac:dyDescent="0.25">
      <c r="A839" s="18" t="s">
        <v>1096</v>
      </c>
      <c r="B839" s="25" t="s">
        <v>162</v>
      </c>
      <c r="C839" s="12">
        <f t="shared" si="435"/>
        <v>1515270</v>
      </c>
      <c r="D839" s="20">
        <f t="shared" ref="D839" si="457">SUM(E839:J839)</f>
        <v>0</v>
      </c>
      <c r="E839" s="20">
        <v>0</v>
      </c>
      <c r="F839" s="20">
        <v>0</v>
      </c>
      <c r="G839" s="20">
        <v>0</v>
      </c>
      <c r="H839" s="20">
        <v>0</v>
      </c>
      <c r="I839" s="20">
        <v>0</v>
      </c>
      <c r="J839" s="20">
        <v>0</v>
      </c>
      <c r="K839" s="21">
        <v>0</v>
      </c>
      <c r="L839" s="20">
        <v>0</v>
      </c>
      <c r="M839" s="20">
        <v>239.14</v>
      </c>
      <c r="N839" s="20">
        <f t="shared" ref="N839" si="458">M839*5500</f>
        <v>1315270</v>
      </c>
      <c r="O839" s="20">
        <v>0</v>
      </c>
      <c r="P839" s="20">
        <v>0</v>
      </c>
      <c r="Q839" s="20">
        <v>0</v>
      </c>
      <c r="R839" s="8">
        <v>0</v>
      </c>
      <c r="S839" s="20">
        <v>0</v>
      </c>
      <c r="T839" s="20">
        <v>0</v>
      </c>
      <c r="U839" s="20">
        <v>200000</v>
      </c>
      <c r="V839" s="1">
        <f t="shared" ref="V839" si="459">N839/M839</f>
        <v>5500</v>
      </c>
    </row>
    <row r="840" spans="1:22" ht="45" customHeight="1" x14ac:dyDescent="0.25">
      <c r="A840" s="63" t="s">
        <v>165</v>
      </c>
      <c r="B840" s="63"/>
      <c r="C840" s="12">
        <f t="shared" si="435"/>
        <v>89037437.599999994</v>
      </c>
      <c r="D840" s="12">
        <f t="shared" ref="D840:U840" si="460">SUM(D841:D855)</f>
        <v>22224585</v>
      </c>
      <c r="E840" s="12">
        <f t="shared" si="460"/>
        <v>4633160</v>
      </c>
      <c r="F840" s="12">
        <f t="shared" si="460"/>
        <v>9145200</v>
      </c>
      <c r="G840" s="12">
        <f t="shared" si="460"/>
        <v>3873625</v>
      </c>
      <c r="H840" s="12">
        <f t="shared" si="460"/>
        <v>0</v>
      </c>
      <c r="I840" s="12">
        <f t="shared" si="460"/>
        <v>4572600</v>
      </c>
      <c r="J840" s="12">
        <f t="shared" si="460"/>
        <v>0</v>
      </c>
      <c r="K840" s="13">
        <f t="shared" si="460"/>
        <v>0</v>
      </c>
      <c r="L840" s="12">
        <f t="shared" si="460"/>
        <v>0</v>
      </c>
      <c r="M840" s="12">
        <f t="shared" si="460"/>
        <v>7297.6</v>
      </c>
      <c r="N840" s="12">
        <f t="shared" si="460"/>
        <v>38596532.600000001</v>
      </c>
      <c r="O840" s="12">
        <f t="shared" si="460"/>
        <v>507.1</v>
      </c>
      <c r="P840" s="12">
        <f t="shared" si="460"/>
        <v>608520</v>
      </c>
      <c r="Q840" s="12">
        <f t="shared" si="460"/>
        <v>8202.6</v>
      </c>
      <c r="R840" s="12">
        <f t="shared" si="460"/>
        <v>24607800</v>
      </c>
      <c r="S840" s="12">
        <f t="shared" si="460"/>
        <v>0</v>
      </c>
      <c r="T840" s="12">
        <f t="shared" si="460"/>
        <v>0</v>
      </c>
      <c r="U840" s="12">
        <f t="shared" si="460"/>
        <v>3000000</v>
      </c>
    </row>
    <row r="841" spans="1:22" ht="21.95" customHeight="1" x14ac:dyDescent="0.25">
      <c r="A841" s="18" t="s">
        <v>1097</v>
      </c>
      <c r="B841" s="27" t="s">
        <v>195</v>
      </c>
      <c r="C841" s="12">
        <f t="shared" si="435"/>
        <v>6217000</v>
      </c>
      <c r="D841" s="20">
        <f t="shared" ref="D841:D855" si="461">SUM(E841:J841)</f>
        <v>0</v>
      </c>
      <c r="E841" s="20">
        <v>0</v>
      </c>
      <c r="F841" s="20">
        <v>0</v>
      </c>
      <c r="G841" s="20">
        <v>0</v>
      </c>
      <c r="H841" s="20">
        <v>0</v>
      </c>
      <c r="I841" s="20">
        <v>0</v>
      </c>
      <c r="J841" s="20">
        <v>0</v>
      </c>
      <c r="K841" s="21">
        <v>0</v>
      </c>
      <c r="L841" s="20">
        <v>0</v>
      </c>
      <c r="M841" s="20">
        <v>735.8</v>
      </c>
      <c r="N841" s="20">
        <f t="shared" ref="N841:N848" si="462">M841*5500</f>
        <v>4046899.9999999995</v>
      </c>
      <c r="O841" s="20">
        <v>0</v>
      </c>
      <c r="P841" s="20">
        <f>O841*410</f>
        <v>0</v>
      </c>
      <c r="Q841" s="20">
        <v>656.7</v>
      </c>
      <c r="R841" s="20">
        <f t="shared" ref="R841:R855" si="463">Q841*3000</f>
        <v>1970100.0000000002</v>
      </c>
      <c r="S841" s="20">
        <f>S883</f>
        <v>0</v>
      </c>
      <c r="T841" s="20">
        <v>0</v>
      </c>
      <c r="U841" s="20">
        <v>200000</v>
      </c>
      <c r="V841" s="1">
        <f t="shared" ref="V841:V855" si="464">N841/M841</f>
        <v>5500</v>
      </c>
    </row>
    <row r="842" spans="1:22" ht="21.95" customHeight="1" x14ac:dyDescent="0.25">
      <c r="A842" s="18" t="s">
        <v>1098</v>
      </c>
      <c r="B842" s="27" t="s">
        <v>196</v>
      </c>
      <c r="C842" s="12">
        <f t="shared" si="435"/>
        <v>5720080</v>
      </c>
      <c r="D842" s="20">
        <f t="shared" si="461"/>
        <v>1752180</v>
      </c>
      <c r="E842" s="20">
        <f>350*922.2</f>
        <v>322770</v>
      </c>
      <c r="F842" s="20">
        <f>800*922.2</f>
        <v>737760</v>
      </c>
      <c r="G842" s="20">
        <f>350*922.2</f>
        <v>322770</v>
      </c>
      <c r="H842" s="20">
        <f>500*0</f>
        <v>0</v>
      </c>
      <c r="I842" s="20">
        <f>400*922.2</f>
        <v>368880</v>
      </c>
      <c r="J842" s="20">
        <v>0</v>
      </c>
      <c r="K842" s="21">
        <v>0</v>
      </c>
      <c r="L842" s="20">
        <v>0</v>
      </c>
      <c r="M842" s="20">
        <v>306.8</v>
      </c>
      <c r="N842" s="20">
        <f t="shared" si="462"/>
        <v>1687400</v>
      </c>
      <c r="O842" s="20">
        <v>0</v>
      </c>
      <c r="P842" s="20">
        <f>O842*410</f>
        <v>0</v>
      </c>
      <c r="Q842" s="20">
        <v>693.5</v>
      </c>
      <c r="R842" s="20">
        <f t="shared" si="463"/>
        <v>2080500</v>
      </c>
      <c r="S842" s="20">
        <f>S885</f>
        <v>0</v>
      </c>
      <c r="T842" s="20">
        <v>0</v>
      </c>
      <c r="U842" s="20">
        <v>200000</v>
      </c>
      <c r="V842" s="1">
        <f t="shared" si="464"/>
        <v>5500</v>
      </c>
    </row>
    <row r="843" spans="1:22" ht="21.95" customHeight="1" x14ac:dyDescent="0.25">
      <c r="A843" s="18" t="s">
        <v>1932</v>
      </c>
      <c r="B843" s="27" t="s">
        <v>197</v>
      </c>
      <c r="C843" s="12">
        <f t="shared" si="435"/>
        <v>6701640</v>
      </c>
      <c r="D843" s="20">
        <f t="shared" si="461"/>
        <v>519540.00000000006</v>
      </c>
      <c r="E843" s="20">
        <f>350*1484.4</f>
        <v>519540.00000000006</v>
      </c>
      <c r="F843" s="20">
        <f>800*0</f>
        <v>0</v>
      </c>
      <c r="G843" s="20">
        <f>350*0</f>
        <v>0</v>
      </c>
      <c r="H843" s="20">
        <f>500*0</f>
        <v>0</v>
      </c>
      <c r="I843" s="20">
        <f>400*0</f>
        <v>0</v>
      </c>
      <c r="J843" s="20">
        <v>0</v>
      </c>
      <c r="K843" s="21">
        <v>0</v>
      </c>
      <c r="L843" s="20">
        <v>0</v>
      </c>
      <c r="M843" s="20">
        <v>688.6</v>
      </c>
      <c r="N843" s="20">
        <f t="shared" si="462"/>
        <v>3787300</v>
      </c>
      <c r="O843" s="20">
        <v>0</v>
      </c>
      <c r="P843" s="20">
        <f>O843*410</f>
        <v>0</v>
      </c>
      <c r="Q843" s="20">
        <v>731.6</v>
      </c>
      <c r="R843" s="20">
        <f t="shared" si="463"/>
        <v>2194800</v>
      </c>
      <c r="S843" s="20">
        <f t="shared" ref="S843:S847" si="465">S887</f>
        <v>0</v>
      </c>
      <c r="T843" s="20">
        <v>0</v>
      </c>
      <c r="U843" s="20">
        <v>200000</v>
      </c>
      <c r="V843" s="1">
        <f t="shared" si="464"/>
        <v>5500</v>
      </c>
    </row>
    <row r="844" spans="1:22" ht="21.95" customHeight="1" x14ac:dyDescent="0.25">
      <c r="A844" s="18" t="s">
        <v>1099</v>
      </c>
      <c r="B844" s="27" t="s">
        <v>198</v>
      </c>
      <c r="C844" s="12">
        <f t="shared" si="435"/>
        <v>6082300</v>
      </c>
      <c r="D844" s="20">
        <f t="shared" si="461"/>
        <v>2290300</v>
      </c>
      <c r="E844" s="20">
        <f>350*1238</f>
        <v>433300</v>
      </c>
      <c r="F844" s="20">
        <f>800*1238</f>
        <v>990400</v>
      </c>
      <c r="G844" s="20">
        <f>300*1238</f>
        <v>371400</v>
      </c>
      <c r="H844" s="20">
        <v>0</v>
      </c>
      <c r="I844" s="20">
        <f>400*1238</f>
        <v>495200</v>
      </c>
      <c r="J844" s="20">
        <f>350*0</f>
        <v>0</v>
      </c>
      <c r="K844" s="21">
        <v>0</v>
      </c>
      <c r="L844" s="20">
        <v>0</v>
      </c>
      <c r="M844" s="20">
        <v>476.2</v>
      </c>
      <c r="N844" s="20">
        <f t="shared" si="462"/>
        <v>2619100</v>
      </c>
      <c r="O844" s="20">
        <v>0</v>
      </c>
      <c r="P844" s="20">
        <f>O844*410</f>
        <v>0</v>
      </c>
      <c r="Q844" s="20">
        <v>324.3</v>
      </c>
      <c r="R844" s="20">
        <f t="shared" si="463"/>
        <v>972900</v>
      </c>
      <c r="S844" s="20">
        <f t="shared" si="465"/>
        <v>0</v>
      </c>
      <c r="T844" s="20">
        <v>0</v>
      </c>
      <c r="U844" s="20">
        <v>200000</v>
      </c>
      <c r="V844" s="1">
        <f t="shared" si="464"/>
        <v>5500</v>
      </c>
    </row>
    <row r="845" spans="1:22" ht="21.95" customHeight="1" x14ac:dyDescent="0.25">
      <c r="A845" s="18" t="s">
        <v>1933</v>
      </c>
      <c r="B845" s="27" t="s">
        <v>199</v>
      </c>
      <c r="C845" s="12">
        <f t="shared" si="435"/>
        <v>6566900</v>
      </c>
      <c r="D845" s="20">
        <f t="shared" si="461"/>
        <v>2423500</v>
      </c>
      <c r="E845" s="20">
        <f>350*1310</f>
        <v>458500</v>
      </c>
      <c r="F845" s="20">
        <f>800*1310</f>
        <v>1048000</v>
      </c>
      <c r="G845" s="20">
        <f>300*1310</f>
        <v>393000</v>
      </c>
      <c r="H845" s="20">
        <v>0</v>
      </c>
      <c r="I845" s="20">
        <f>400*1310</f>
        <v>524000</v>
      </c>
      <c r="J845" s="20">
        <f>350*0</f>
        <v>0</v>
      </c>
      <c r="K845" s="21">
        <v>0</v>
      </c>
      <c r="L845" s="20">
        <v>0</v>
      </c>
      <c r="M845" s="20">
        <v>582.79999999999995</v>
      </c>
      <c r="N845" s="20">
        <f t="shared" si="462"/>
        <v>3205399.9999999995</v>
      </c>
      <c r="O845" s="20">
        <v>0</v>
      </c>
      <c r="P845" s="20">
        <f>O845*410</f>
        <v>0</v>
      </c>
      <c r="Q845" s="20">
        <v>246</v>
      </c>
      <c r="R845" s="20">
        <f t="shared" si="463"/>
        <v>738000</v>
      </c>
      <c r="S845" s="20">
        <f t="shared" si="465"/>
        <v>0</v>
      </c>
      <c r="T845" s="20">
        <v>0</v>
      </c>
      <c r="U845" s="20">
        <v>200000</v>
      </c>
      <c r="V845" s="1">
        <f t="shared" si="464"/>
        <v>5500</v>
      </c>
    </row>
    <row r="846" spans="1:22" ht="21.95" customHeight="1" x14ac:dyDescent="0.25">
      <c r="A846" s="18" t="s">
        <v>1100</v>
      </c>
      <c r="B846" s="27" t="s">
        <v>200</v>
      </c>
      <c r="C846" s="12">
        <f t="shared" si="435"/>
        <v>2199245</v>
      </c>
      <c r="D846" s="20">
        <f t="shared" si="461"/>
        <v>112595</v>
      </c>
      <c r="E846" s="20">
        <f>350*321.7</f>
        <v>112595</v>
      </c>
      <c r="F846" s="20">
        <f>800*0</f>
        <v>0</v>
      </c>
      <c r="G846" s="20">
        <f>350*0</f>
        <v>0</v>
      </c>
      <c r="H846" s="20">
        <f>500*0</f>
        <v>0</v>
      </c>
      <c r="I846" s="20">
        <f>400*0</f>
        <v>0</v>
      </c>
      <c r="J846" s="20">
        <v>0</v>
      </c>
      <c r="K846" s="21">
        <v>0</v>
      </c>
      <c r="L846" s="20">
        <v>0</v>
      </c>
      <c r="M846" s="20">
        <v>176.5</v>
      </c>
      <c r="N846" s="20">
        <f t="shared" si="462"/>
        <v>970750</v>
      </c>
      <c r="O846" s="20">
        <v>0</v>
      </c>
      <c r="P846" s="20">
        <v>0</v>
      </c>
      <c r="Q846" s="20">
        <v>305.3</v>
      </c>
      <c r="R846" s="20">
        <f t="shared" si="463"/>
        <v>915900</v>
      </c>
      <c r="S846" s="20">
        <f t="shared" si="465"/>
        <v>0</v>
      </c>
      <c r="T846" s="20">
        <v>0</v>
      </c>
      <c r="U846" s="20">
        <v>200000</v>
      </c>
      <c r="V846" s="1">
        <f t="shared" si="464"/>
        <v>5500</v>
      </c>
    </row>
    <row r="847" spans="1:22" ht="21.95" customHeight="1" x14ac:dyDescent="0.25">
      <c r="A847" s="18" t="s">
        <v>1101</v>
      </c>
      <c r="B847" s="27" t="s">
        <v>201</v>
      </c>
      <c r="C847" s="12">
        <f t="shared" si="435"/>
        <v>11310180</v>
      </c>
      <c r="D847" s="20">
        <f t="shared" si="461"/>
        <v>4150929.9999999995</v>
      </c>
      <c r="E847" s="20">
        <f>350*2184.7</f>
        <v>764644.99999999988</v>
      </c>
      <c r="F847" s="20">
        <f>800*2184.7</f>
        <v>1747759.9999999998</v>
      </c>
      <c r="G847" s="20">
        <f>350*2184.7</f>
        <v>764644.99999999988</v>
      </c>
      <c r="H847" s="20">
        <f>500*0</f>
        <v>0</v>
      </c>
      <c r="I847" s="20">
        <f>400*2184.7</f>
        <v>873879.99999999988</v>
      </c>
      <c r="J847" s="20">
        <v>0</v>
      </c>
      <c r="K847" s="21">
        <v>0</v>
      </c>
      <c r="L847" s="20">
        <v>0</v>
      </c>
      <c r="M847" s="20">
        <v>657.9</v>
      </c>
      <c r="N847" s="20">
        <f t="shared" si="462"/>
        <v>3618450</v>
      </c>
      <c r="O847" s="20">
        <v>0</v>
      </c>
      <c r="P847" s="20">
        <v>0</v>
      </c>
      <c r="Q847" s="20">
        <v>1113.5999999999999</v>
      </c>
      <c r="R847" s="20">
        <f t="shared" si="463"/>
        <v>3340799.9999999995</v>
      </c>
      <c r="S847" s="20">
        <f t="shared" si="465"/>
        <v>0</v>
      </c>
      <c r="T847" s="20">
        <v>0</v>
      </c>
      <c r="U847" s="20">
        <v>200000</v>
      </c>
      <c r="V847" s="1">
        <f t="shared" si="464"/>
        <v>5500</v>
      </c>
    </row>
    <row r="848" spans="1:22" ht="21.95" customHeight="1" x14ac:dyDescent="0.25">
      <c r="A848" s="18" t="s">
        <v>1102</v>
      </c>
      <c r="B848" s="27" t="s">
        <v>202</v>
      </c>
      <c r="C848" s="12">
        <f t="shared" si="435"/>
        <v>7086820</v>
      </c>
      <c r="D848" s="20">
        <f t="shared" si="461"/>
        <v>1847750</v>
      </c>
      <c r="E848" s="20">
        <f>350*972.5</f>
        <v>340375</v>
      </c>
      <c r="F848" s="20">
        <f>800*972.5</f>
        <v>778000</v>
      </c>
      <c r="G848" s="20">
        <f>350*972.5</f>
        <v>340375</v>
      </c>
      <c r="H848" s="20">
        <f>500*0</f>
        <v>0</v>
      </c>
      <c r="I848" s="20">
        <f>400*972.5</f>
        <v>389000</v>
      </c>
      <c r="J848" s="20">
        <v>0</v>
      </c>
      <c r="K848" s="21">
        <v>0</v>
      </c>
      <c r="L848" s="20">
        <v>0</v>
      </c>
      <c r="M848" s="20">
        <v>620.70000000000005</v>
      </c>
      <c r="N848" s="20">
        <f t="shared" si="462"/>
        <v>3413850.0000000005</v>
      </c>
      <c r="O848" s="20">
        <v>507.1</v>
      </c>
      <c r="P848" s="20">
        <f>O848*1200</f>
        <v>608520</v>
      </c>
      <c r="Q848" s="20">
        <v>338.9</v>
      </c>
      <c r="R848" s="20">
        <f t="shared" si="463"/>
        <v>1016699.9999999999</v>
      </c>
      <c r="S848" s="20">
        <v>0</v>
      </c>
      <c r="T848" s="20">
        <v>0</v>
      </c>
      <c r="U848" s="20">
        <v>200000</v>
      </c>
      <c r="V848" s="1">
        <f t="shared" si="464"/>
        <v>5500</v>
      </c>
    </row>
    <row r="849" spans="1:22" ht="21.95" customHeight="1" x14ac:dyDescent="0.25">
      <c r="A849" s="18" t="s">
        <v>1103</v>
      </c>
      <c r="B849" s="27" t="s">
        <v>203</v>
      </c>
      <c r="C849" s="12">
        <f t="shared" si="435"/>
        <v>200000</v>
      </c>
      <c r="D849" s="20">
        <f t="shared" si="461"/>
        <v>0</v>
      </c>
      <c r="E849" s="20">
        <v>0</v>
      </c>
      <c r="F849" s="20">
        <v>0</v>
      </c>
      <c r="G849" s="20">
        <v>0</v>
      </c>
      <c r="H849" s="20">
        <v>0</v>
      </c>
      <c r="I849" s="20">
        <v>0</v>
      </c>
      <c r="J849" s="20">
        <v>0</v>
      </c>
      <c r="K849" s="21">
        <v>0</v>
      </c>
      <c r="L849" s="20">
        <v>0</v>
      </c>
      <c r="M849" s="20">
        <v>0</v>
      </c>
      <c r="N849" s="20">
        <v>0</v>
      </c>
      <c r="O849" s="20">
        <v>0</v>
      </c>
      <c r="P849" s="20">
        <v>0</v>
      </c>
      <c r="Q849" s="20">
        <v>0</v>
      </c>
      <c r="R849" s="20">
        <f t="shared" si="463"/>
        <v>0</v>
      </c>
      <c r="S849" s="20">
        <v>0</v>
      </c>
      <c r="T849" s="20">
        <v>0</v>
      </c>
      <c r="U849" s="20">
        <v>200000</v>
      </c>
      <c r="V849" s="1" t="e">
        <f t="shared" si="464"/>
        <v>#DIV/0!</v>
      </c>
    </row>
    <row r="850" spans="1:22" ht="21.95" customHeight="1" x14ac:dyDescent="0.25">
      <c r="A850" s="18" t="s">
        <v>1104</v>
      </c>
      <c r="B850" s="27" t="s">
        <v>204</v>
      </c>
      <c r="C850" s="12">
        <f t="shared" si="435"/>
        <v>3329782.6</v>
      </c>
      <c r="D850" s="20">
        <f t="shared" si="461"/>
        <v>0</v>
      </c>
      <c r="E850" s="20">
        <v>0</v>
      </c>
      <c r="F850" s="20">
        <v>0</v>
      </c>
      <c r="G850" s="20">
        <v>0</v>
      </c>
      <c r="H850" s="20">
        <v>0</v>
      </c>
      <c r="I850" s="20">
        <v>0</v>
      </c>
      <c r="J850" s="20">
        <v>0</v>
      </c>
      <c r="K850" s="21">
        <v>0</v>
      </c>
      <c r="L850" s="20">
        <v>0</v>
      </c>
      <c r="M850" s="20">
        <v>849.1</v>
      </c>
      <c r="N850" s="20">
        <f>M850*3686</f>
        <v>3129782.6</v>
      </c>
      <c r="O850" s="20">
        <v>0</v>
      </c>
      <c r="P850" s="20">
        <v>0</v>
      </c>
      <c r="Q850" s="20">
        <v>0</v>
      </c>
      <c r="R850" s="20">
        <f t="shared" si="463"/>
        <v>0</v>
      </c>
      <c r="S850" s="20">
        <v>0</v>
      </c>
      <c r="T850" s="20">
        <v>0</v>
      </c>
      <c r="U850" s="20">
        <v>200000</v>
      </c>
      <c r="V850" s="1">
        <f t="shared" si="464"/>
        <v>3686</v>
      </c>
    </row>
    <row r="851" spans="1:22" ht="21.95" customHeight="1" x14ac:dyDescent="0.25">
      <c r="A851" s="18" t="s">
        <v>1105</v>
      </c>
      <c r="B851" s="29" t="s">
        <v>205</v>
      </c>
      <c r="C851" s="12">
        <f t="shared" si="435"/>
        <v>15538490</v>
      </c>
      <c r="D851" s="20">
        <f t="shared" si="461"/>
        <v>5118790</v>
      </c>
      <c r="E851" s="20">
        <f>350*2694.1</f>
        <v>942935</v>
      </c>
      <c r="F851" s="20">
        <f>800*2694.1</f>
        <v>2155280</v>
      </c>
      <c r="G851" s="20">
        <f>350*2694.1</f>
        <v>942935</v>
      </c>
      <c r="H851" s="20">
        <f>500*0</f>
        <v>0</v>
      </c>
      <c r="I851" s="20">
        <f>400*2694.1</f>
        <v>1077640</v>
      </c>
      <c r="J851" s="20">
        <v>0</v>
      </c>
      <c r="K851" s="21">
        <v>0</v>
      </c>
      <c r="L851" s="20">
        <v>0</v>
      </c>
      <c r="M851" s="20">
        <v>781.4</v>
      </c>
      <c r="N851" s="20">
        <f t="shared" ref="N851:N855" si="466">M851*5500</f>
        <v>4297700</v>
      </c>
      <c r="O851" s="20">
        <v>0</v>
      </c>
      <c r="P851" s="20">
        <v>0</v>
      </c>
      <c r="Q851" s="20">
        <v>1974</v>
      </c>
      <c r="R851" s="20">
        <f t="shared" si="463"/>
        <v>5922000</v>
      </c>
      <c r="S851" s="20">
        <f t="shared" ref="S851:S854" si="467">S893</f>
        <v>0</v>
      </c>
      <c r="T851" s="20">
        <v>0</v>
      </c>
      <c r="U851" s="20">
        <v>200000</v>
      </c>
      <c r="V851" s="1">
        <f t="shared" si="464"/>
        <v>5500</v>
      </c>
    </row>
    <row r="852" spans="1:22" ht="21.95" customHeight="1" x14ac:dyDescent="0.25">
      <c r="A852" s="18" t="s">
        <v>1106</v>
      </c>
      <c r="B852" s="27" t="s">
        <v>209</v>
      </c>
      <c r="C852" s="12">
        <f t="shared" si="435"/>
        <v>3894900</v>
      </c>
      <c r="D852" s="20">
        <f t="shared" si="461"/>
        <v>0</v>
      </c>
      <c r="E852" s="20">
        <v>0</v>
      </c>
      <c r="F852" s="20">
        <v>0</v>
      </c>
      <c r="G852" s="20">
        <v>0</v>
      </c>
      <c r="H852" s="20">
        <v>0</v>
      </c>
      <c r="I852" s="20">
        <v>0</v>
      </c>
      <c r="J852" s="20">
        <v>0</v>
      </c>
      <c r="K852" s="21">
        <v>0</v>
      </c>
      <c r="L852" s="20">
        <v>0</v>
      </c>
      <c r="M852" s="20">
        <v>415</v>
      </c>
      <c r="N852" s="20">
        <f t="shared" si="466"/>
        <v>2282500</v>
      </c>
      <c r="O852" s="20">
        <v>0</v>
      </c>
      <c r="P852" s="20">
        <v>0</v>
      </c>
      <c r="Q852" s="20">
        <v>470.8</v>
      </c>
      <c r="R852" s="20">
        <f t="shared" si="463"/>
        <v>1412400</v>
      </c>
      <c r="S852" s="20">
        <f t="shared" si="467"/>
        <v>0</v>
      </c>
      <c r="T852" s="20">
        <v>0</v>
      </c>
      <c r="U852" s="20">
        <v>200000</v>
      </c>
      <c r="V852" s="1">
        <f t="shared" si="464"/>
        <v>5500</v>
      </c>
    </row>
    <row r="853" spans="1:22" ht="21.95" customHeight="1" x14ac:dyDescent="0.25">
      <c r="A853" s="18" t="s">
        <v>1107</v>
      </c>
      <c r="B853" s="27" t="s">
        <v>206</v>
      </c>
      <c r="C853" s="12">
        <f t="shared" si="435"/>
        <v>4310330</v>
      </c>
      <c r="D853" s="20">
        <f t="shared" si="461"/>
        <v>1319930</v>
      </c>
      <c r="E853" s="20">
        <f>350*694.7</f>
        <v>243145.00000000003</v>
      </c>
      <c r="F853" s="20">
        <f>800*694.7</f>
        <v>555760</v>
      </c>
      <c r="G853" s="20">
        <f>350*694.7</f>
        <v>243145.00000000003</v>
      </c>
      <c r="H853" s="20">
        <f>500*0</f>
        <v>0</v>
      </c>
      <c r="I853" s="20">
        <f>400*694.7</f>
        <v>277880</v>
      </c>
      <c r="J853" s="20">
        <v>0</v>
      </c>
      <c r="K853" s="21">
        <v>0</v>
      </c>
      <c r="L853" s="20">
        <v>0</v>
      </c>
      <c r="M853" s="20">
        <v>254.8</v>
      </c>
      <c r="N853" s="20">
        <f t="shared" si="466"/>
        <v>1401400</v>
      </c>
      <c r="O853" s="20">
        <v>0</v>
      </c>
      <c r="P853" s="20">
        <v>0</v>
      </c>
      <c r="Q853" s="20">
        <v>463</v>
      </c>
      <c r="R853" s="20">
        <f t="shared" si="463"/>
        <v>1389000</v>
      </c>
      <c r="S853" s="20">
        <f t="shared" si="467"/>
        <v>0</v>
      </c>
      <c r="T853" s="20">
        <v>0</v>
      </c>
      <c r="U853" s="20">
        <v>200000</v>
      </c>
      <c r="V853" s="1">
        <f t="shared" si="464"/>
        <v>5500</v>
      </c>
    </row>
    <row r="854" spans="1:22" ht="21.95" customHeight="1" x14ac:dyDescent="0.25">
      <c r="A854" s="18" t="s">
        <v>1108</v>
      </c>
      <c r="B854" s="27" t="s">
        <v>207</v>
      </c>
      <c r="C854" s="12">
        <f t="shared" si="435"/>
        <v>5050300</v>
      </c>
      <c r="D854" s="20">
        <f t="shared" si="461"/>
        <v>1332850</v>
      </c>
      <c r="E854" s="20">
        <f>350*701.5</f>
        <v>245525</v>
      </c>
      <c r="F854" s="20">
        <f>800*701.5</f>
        <v>561200</v>
      </c>
      <c r="G854" s="20">
        <f>350*701.5</f>
        <v>245525</v>
      </c>
      <c r="H854" s="20">
        <f>500*0</f>
        <v>0</v>
      </c>
      <c r="I854" s="20">
        <f>400*701.5</f>
        <v>280600</v>
      </c>
      <c r="J854" s="20">
        <v>0</v>
      </c>
      <c r="K854" s="21">
        <v>0</v>
      </c>
      <c r="L854" s="20">
        <v>0</v>
      </c>
      <c r="M854" s="20">
        <v>384.1</v>
      </c>
      <c r="N854" s="20">
        <f t="shared" si="466"/>
        <v>2112550</v>
      </c>
      <c r="O854" s="20">
        <v>0</v>
      </c>
      <c r="P854" s="20">
        <v>0</v>
      </c>
      <c r="Q854" s="20">
        <v>468.3</v>
      </c>
      <c r="R854" s="20">
        <f t="shared" si="463"/>
        <v>1404900</v>
      </c>
      <c r="S854" s="20">
        <f t="shared" si="467"/>
        <v>0</v>
      </c>
      <c r="T854" s="20">
        <v>0</v>
      </c>
      <c r="U854" s="20">
        <v>200000</v>
      </c>
      <c r="V854" s="1">
        <f t="shared" si="464"/>
        <v>5500</v>
      </c>
    </row>
    <row r="855" spans="1:22" ht="21.95" customHeight="1" x14ac:dyDescent="0.25">
      <c r="A855" s="18" t="s">
        <v>1109</v>
      </c>
      <c r="B855" s="27" t="s">
        <v>208</v>
      </c>
      <c r="C855" s="12">
        <f t="shared" si="435"/>
        <v>4829470</v>
      </c>
      <c r="D855" s="20">
        <f t="shared" si="461"/>
        <v>1356220</v>
      </c>
      <c r="E855" s="20">
        <f>350*713.8</f>
        <v>249829.99999999997</v>
      </c>
      <c r="F855" s="20">
        <f>800*713.8</f>
        <v>571040</v>
      </c>
      <c r="G855" s="20">
        <f>350*713.8</f>
        <v>249829.99999999997</v>
      </c>
      <c r="H855" s="20">
        <f>500*0</f>
        <v>0</v>
      </c>
      <c r="I855" s="20">
        <f>400*713.8</f>
        <v>285520</v>
      </c>
      <c r="J855" s="20">
        <v>0</v>
      </c>
      <c r="K855" s="21">
        <v>0</v>
      </c>
      <c r="L855" s="20">
        <v>0</v>
      </c>
      <c r="M855" s="20">
        <v>367.9</v>
      </c>
      <c r="N855" s="20">
        <f t="shared" si="466"/>
        <v>2023449.9999999998</v>
      </c>
      <c r="O855" s="20">
        <v>0</v>
      </c>
      <c r="P855" s="20">
        <v>0</v>
      </c>
      <c r="Q855" s="20">
        <v>416.6</v>
      </c>
      <c r="R855" s="20">
        <f t="shared" si="463"/>
        <v>1249800</v>
      </c>
      <c r="S855" s="20">
        <v>0</v>
      </c>
      <c r="T855" s="20">
        <v>0</v>
      </c>
      <c r="U855" s="20">
        <v>200000</v>
      </c>
      <c r="V855" s="1">
        <f t="shared" si="464"/>
        <v>5500</v>
      </c>
    </row>
    <row r="856" spans="1:22" ht="45" customHeight="1" x14ac:dyDescent="0.25">
      <c r="A856" s="63" t="s">
        <v>224</v>
      </c>
      <c r="B856" s="63"/>
      <c r="C856" s="12">
        <f t="shared" si="435"/>
        <v>11561295</v>
      </c>
      <c r="D856" s="12">
        <f t="shared" ref="D856:U856" si="468">SUM(D857:D859)</f>
        <v>1595970</v>
      </c>
      <c r="E856" s="12">
        <f t="shared" si="468"/>
        <v>358785</v>
      </c>
      <c r="F856" s="12">
        <f t="shared" si="468"/>
        <v>585600</v>
      </c>
      <c r="G856" s="12">
        <f t="shared" si="468"/>
        <v>358785</v>
      </c>
      <c r="H856" s="12">
        <f t="shared" si="468"/>
        <v>0</v>
      </c>
      <c r="I856" s="12">
        <f t="shared" si="468"/>
        <v>292800</v>
      </c>
      <c r="J856" s="12">
        <f t="shared" si="468"/>
        <v>0</v>
      </c>
      <c r="K856" s="13">
        <f t="shared" si="468"/>
        <v>0</v>
      </c>
      <c r="L856" s="12">
        <f t="shared" si="468"/>
        <v>0</v>
      </c>
      <c r="M856" s="12">
        <f t="shared" si="468"/>
        <v>987.75</v>
      </c>
      <c r="N856" s="12">
        <f t="shared" si="468"/>
        <v>5432625</v>
      </c>
      <c r="O856" s="12">
        <f t="shared" si="468"/>
        <v>0</v>
      </c>
      <c r="P856" s="12">
        <f t="shared" si="468"/>
        <v>0</v>
      </c>
      <c r="Q856" s="12">
        <f t="shared" si="468"/>
        <v>1310.9</v>
      </c>
      <c r="R856" s="12">
        <f t="shared" si="468"/>
        <v>3932700</v>
      </c>
      <c r="S856" s="12">
        <f t="shared" si="468"/>
        <v>0</v>
      </c>
      <c r="T856" s="12">
        <f t="shared" si="468"/>
        <v>0</v>
      </c>
      <c r="U856" s="12">
        <f t="shared" si="468"/>
        <v>600000</v>
      </c>
    </row>
    <row r="857" spans="1:22" ht="21.95" customHeight="1" x14ac:dyDescent="0.25">
      <c r="A857" s="18" t="s">
        <v>1110</v>
      </c>
      <c r="B857" s="25" t="s">
        <v>221</v>
      </c>
      <c r="C857" s="12">
        <f t="shared" si="435"/>
        <v>3882420</v>
      </c>
      <c r="D857" s="20">
        <f t="shared" ref="D857:D859" si="469">SUM(E857:J857)</f>
        <v>205170.00000000003</v>
      </c>
      <c r="E857" s="20">
        <f>350*293.1</f>
        <v>102585.00000000001</v>
      </c>
      <c r="F857" s="20">
        <f>800*0</f>
        <v>0</v>
      </c>
      <c r="G857" s="20">
        <f>350*293.1</f>
        <v>102585.00000000001</v>
      </c>
      <c r="H857" s="20">
        <f>500*0</f>
        <v>0</v>
      </c>
      <c r="I857" s="20">
        <f>400*0</f>
        <v>0</v>
      </c>
      <c r="J857" s="20">
        <v>0</v>
      </c>
      <c r="K857" s="21">
        <v>0</v>
      </c>
      <c r="L857" s="20">
        <v>0</v>
      </c>
      <c r="M857" s="20">
        <v>371.5</v>
      </c>
      <c r="N857" s="20">
        <f t="shared" ref="N857:N859" si="470">M857*5500</f>
        <v>2043250</v>
      </c>
      <c r="O857" s="20">
        <v>0</v>
      </c>
      <c r="P857" s="20">
        <v>0</v>
      </c>
      <c r="Q857" s="20">
        <v>478</v>
      </c>
      <c r="R857" s="20">
        <f t="shared" ref="R857:R859" si="471">Q857*3000</f>
        <v>1434000</v>
      </c>
      <c r="S857" s="20">
        <v>0</v>
      </c>
      <c r="T857" s="20">
        <v>0</v>
      </c>
      <c r="U857" s="20">
        <v>200000</v>
      </c>
      <c r="V857" s="1">
        <f t="shared" ref="V857:V859" si="472">N857/M857</f>
        <v>5500</v>
      </c>
    </row>
    <row r="858" spans="1:22" ht="21.95" customHeight="1" x14ac:dyDescent="0.25">
      <c r="A858" s="18" t="s">
        <v>1111</v>
      </c>
      <c r="B858" s="25" t="s">
        <v>222</v>
      </c>
      <c r="C858" s="12">
        <f t="shared" si="435"/>
        <v>4513260</v>
      </c>
      <c r="D858" s="20">
        <f t="shared" si="469"/>
        <v>833910</v>
      </c>
      <c r="E858" s="20">
        <f>350*438.9</f>
        <v>153615</v>
      </c>
      <c r="F858" s="20">
        <f>800*438.9</f>
        <v>351120</v>
      </c>
      <c r="G858" s="20">
        <f>350*438.9</f>
        <v>153615</v>
      </c>
      <c r="H858" s="20">
        <f>500*0</f>
        <v>0</v>
      </c>
      <c r="I858" s="20">
        <f>400*438.9</f>
        <v>175560</v>
      </c>
      <c r="J858" s="20">
        <v>0</v>
      </c>
      <c r="K858" s="21">
        <v>0</v>
      </c>
      <c r="L858" s="20">
        <v>0</v>
      </c>
      <c r="M858" s="20">
        <v>371.5</v>
      </c>
      <c r="N858" s="20">
        <f t="shared" si="470"/>
        <v>2043250</v>
      </c>
      <c r="O858" s="20">
        <v>0</v>
      </c>
      <c r="P858" s="20">
        <v>0</v>
      </c>
      <c r="Q858" s="20">
        <v>478.7</v>
      </c>
      <c r="R858" s="20">
        <f t="shared" si="471"/>
        <v>1436100</v>
      </c>
      <c r="S858" s="20">
        <v>0</v>
      </c>
      <c r="T858" s="20">
        <v>0</v>
      </c>
      <c r="U858" s="20">
        <v>200000</v>
      </c>
      <c r="V858" s="1">
        <f t="shared" si="472"/>
        <v>5500</v>
      </c>
    </row>
    <row r="859" spans="1:22" ht="21.95" customHeight="1" x14ac:dyDescent="0.25">
      <c r="A859" s="18" t="s">
        <v>1112</v>
      </c>
      <c r="B859" s="25" t="s">
        <v>223</v>
      </c>
      <c r="C859" s="12">
        <f t="shared" si="435"/>
        <v>3165615</v>
      </c>
      <c r="D859" s="20">
        <f t="shared" si="469"/>
        <v>556890.00000000012</v>
      </c>
      <c r="E859" s="20">
        <f>350*293.1</f>
        <v>102585.00000000001</v>
      </c>
      <c r="F859" s="20">
        <f>800*293.1</f>
        <v>234480.00000000003</v>
      </c>
      <c r="G859" s="20">
        <f>350*293.1</f>
        <v>102585.00000000001</v>
      </c>
      <c r="H859" s="20">
        <f>500*0</f>
        <v>0</v>
      </c>
      <c r="I859" s="20">
        <f>400*293.1</f>
        <v>117240.00000000001</v>
      </c>
      <c r="J859" s="20">
        <v>0</v>
      </c>
      <c r="K859" s="21">
        <v>0</v>
      </c>
      <c r="L859" s="20">
        <v>0</v>
      </c>
      <c r="M859" s="20">
        <v>244.75</v>
      </c>
      <c r="N859" s="20">
        <f t="shared" si="470"/>
        <v>1346125</v>
      </c>
      <c r="O859" s="20">
        <v>0</v>
      </c>
      <c r="P859" s="20">
        <v>0</v>
      </c>
      <c r="Q859" s="20">
        <v>354.2</v>
      </c>
      <c r="R859" s="20">
        <f t="shared" si="471"/>
        <v>1062600</v>
      </c>
      <c r="S859" s="20">
        <v>0</v>
      </c>
      <c r="T859" s="20">
        <v>0</v>
      </c>
      <c r="U859" s="20">
        <v>200000</v>
      </c>
      <c r="V859" s="1">
        <f t="shared" si="472"/>
        <v>5500</v>
      </c>
    </row>
    <row r="860" spans="1:22" ht="45" customHeight="1" x14ac:dyDescent="0.25">
      <c r="A860" s="63" t="s">
        <v>228</v>
      </c>
      <c r="B860" s="63"/>
      <c r="C860" s="12">
        <f t="shared" si="435"/>
        <v>13068194</v>
      </c>
      <c r="D860" s="12">
        <f t="shared" ref="D860:U860" si="473">SUM(D861:D864)</f>
        <v>1141210</v>
      </c>
      <c r="E860" s="12">
        <f t="shared" si="473"/>
        <v>429520</v>
      </c>
      <c r="F860" s="12">
        <f t="shared" si="473"/>
        <v>0</v>
      </c>
      <c r="G860" s="12">
        <f t="shared" si="473"/>
        <v>305010</v>
      </c>
      <c r="H860" s="12">
        <f t="shared" si="473"/>
        <v>0</v>
      </c>
      <c r="I860" s="12">
        <f t="shared" si="473"/>
        <v>406680</v>
      </c>
      <c r="J860" s="12">
        <f t="shared" si="473"/>
        <v>0</v>
      </c>
      <c r="K860" s="13">
        <f t="shared" si="473"/>
        <v>0</v>
      </c>
      <c r="L860" s="12">
        <f t="shared" si="473"/>
        <v>0</v>
      </c>
      <c r="M860" s="12">
        <f t="shared" si="473"/>
        <v>1110.56</v>
      </c>
      <c r="N860" s="12">
        <f t="shared" si="473"/>
        <v>6108080</v>
      </c>
      <c r="O860" s="12">
        <f t="shared" si="473"/>
        <v>0</v>
      </c>
      <c r="P860" s="12">
        <f t="shared" si="473"/>
        <v>0</v>
      </c>
      <c r="Q860" s="12">
        <f t="shared" si="473"/>
        <v>1502.8400000000001</v>
      </c>
      <c r="R860" s="12">
        <f t="shared" si="473"/>
        <v>4508520</v>
      </c>
      <c r="S860" s="12">
        <f t="shared" si="473"/>
        <v>510384</v>
      </c>
      <c r="T860" s="12">
        <f t="shared" si="473"/>
        <v>0</v>
      </c>
      <c r="U860" s="12">
        <f t="shared" si="473"/>
        <v>800000</v>
      </c>
    </row>
    <row r="861" spans="1:22" ht="21.95" customHeight="1" x14ac:dyDescent="0.25">
      <c r="A861" s="18" t="s">
        <v>1113</v>
      </c>
      <c r="B861" s="25" t="s">
        <v>235</v>
      </c>
      <c r="C861" s="12">
        <f t="shared" si="435"/>
        <v>4033130</v>
      </c>
      <c r="D861" s="20">
        <f t="shared" ref="D861:D864" si="474">SUM(E861:J861)</f>
        <v>437850</v>
      </c>
      <c r="E861" s="20">
        <f>350*417</f>
        <v>145950</v>
      </c>
      <c r="F861" s="20">
        <v>0</v>
      </c>
      <c r="G861" s="20">
        <f>300*417</f>
        <v>125100</v>
      </c>
      <c r="H861" s="20">
        <f>500*0</f>
        <v>0</v>
      </c>
      <c r="I861" s="20">
        <f>400*417</f>
        <v>166800</v>
      </c>
      <c r="J861" s="20">
        <f>350*0</f>
        <v>0</v>
      </c>
      <c r="K861" s="21">
        <v>0</v>
      </c>
      <c r="L861" s="20">
        <v>0</v>
      </c>
      <c r="M861" s="20">
        <v>347.64</v>
      </c>
      <c r="N861" s="20">
        <f t="shared" ref="N861:N864" si="475">M861*5500</f>
        <v>1912020</v>
      </c>
      <c r="O861" s="20">
        <v>0</v>
      </c>
      <c r="P861" s="20">
        <v>0</v>
      </c>
      <c r="Q861" s="20">
        <v>442.2</v>
      </c>
      <c r="R861" s="20">
        <f t="shared" ref="R861:R864" si="476">Q861*3000</f>
        <v>1326600</v>
      </c>
      <c r="S861" s="20">
        <v>156660</v>
      </c>
      <c r="T861" s="20">
        <v>0</v>
      </c>
      <c r="U861" s="20">
        <v>200000</v>
      </c>
      <c r="V861" s="1">
        <f t="shared" ref="V861:V864" si="477">N861/M861</f>
        <v>5500</v>
      </c>
    </row>
    <row r="862" spans="1:22" ht="21.95" customHeight="1" x14ac:dyDescent="0.25">
      <c r="A862" s="18" t="s">
        <v>1114</v>
      </c>
      <c r="B862" s="25" t="s">
        <v>236</v>
      </c>
      <c r="C862" s="12">
        <f t="shared" si="435"/>
        <v>3094243</v>
      </c>
      <c r="D862" s="20">
        <f t="shared" si="474"/>
        <v>314790</v>
      </c>
      <c r="E862" s="20">
        <f>350*299.8</f>
        <v>104930</v>
      </c>
      <c r="F862" s="20">
        <v>0</v>
      </c>
      <c r="G862" s="20">
        <f>300*299.8</f>
        <v>89940</v>
      </c>
      <c r="H862" s="20">
        <f>500*0</f>
        <v>0</v>
      </c>
      <c r="I862" s="20">
        <f>400*299.8</f>
        <v>119920</v>
      </c>
      <c r="J862" s="20">
        <f>350*0</f>
        <v>0</v>
      </c>
      <c r="K862" s="21">
        <v>0</v>
      </c>
      <c r="L862" s="20">
        <v>0</v>
      </c>
      <c r="M862" s="20">
        <v>255.83</v>
      </c>
      <c r="N862" s="20">
        <f t="shared" si="475"/>
        <v>1407065</v>
      </c>
      <c r="O862" s="20">
        <v>0</v>
      </c>
      <c r="P862" s="20">
        <v>0</v>
      </c>
      <c r="Q862" s="20">
        <v>350</v>
      </c>
      <c r="R862" s="20">
        <f t="shared" si="476"/>
        <v>1050000</v>
      </c>
      <c r="S862" s="20">
        <v>122388</v>
      </c>
      <c r="T862" s="20">
        <v>0</v>
      </c>
      <c r="U862" s="20">
        <v>200000</v>
      </c>
      <c r="V862" s="1">
        <f t="shared" si="477"/>
        <v>5500</v>
      </c>
    </row>
    <row r="863" spans="1:22" ht="21.95" customHeight="1" x14ac:dyDescent="0.25">
      <c r="A863" s="18" t="s">
        <v>1115</v>
      </c>
      <c r="B863" s="25" t="s">
        <v>238</v>
      </c>
      <c r="C863" s="12">
        <f t="shared" si="435"/>
        <v>2997125</v>
      </c>
      <c r="D863" s="20">
        <f t="shared" si="474"/>
        <v>314895</v>
      </c>
      <c r="E863" s="20">
        <f>350*299.9</f>
        <v>104964.99999999999</v>
      </c>
      <c r="F863" s="20">
        <v>0</v>
      </c>
      <c r="G863" s="20">
        <f>300*299.9</f>
        <v>89970</v>
      </c>
      <c r="H863" s="20">
        <f>500*0</f>
        <v>0</v>
      </c>
      <c r="I863" s="20">
        <f>400*299.9</f>
        <v>119959.99999999999</v>
      </c>
      <c r="J863" s="20">
        <f>350*0</f>
        <v>0</v>
      </c>
      <c r="K863" s="21">
        <v>0</v>
      </c>
      <c r="L863" s="20">
        <v>0</v>
      </c>
      <c r="M863" s="20">
        <v>238.62</v>
      </c>
      <c r="N863" s="20">
        <f t="shared" si="475"/>
        <v>1312410</v>
      </c>
      <c r="O863" s="20">
        <v>0</v>
      </c>
      <c r="P863" s="20">
        <v>0</v>
      </c>
      <c r="Q863" s="20">
        <v>349.2</v>
      </c>
      <c r="R863" s="20">
        <f t="shared" si="476"/>
        <v>1047600</v>
      </c>
      <c r="S863" s="20">
        <v>122220</v>
      </c>
      <c r="T863" s="20">
        <v>0</v>
      </c>
      <c r="U863" s="20">
        <v>200000</v>
      </c>
      <c r="V863" s="1">
        <f t="shared" si="477"/>
        <v>5500</v>
      </c>
    </row>
    <row r="864" spans="1:22" ht="21.95" customHeight="1" x14ac:dyDescent="0.25">
      <c r="A864" s="18" t="s">
        <v>1116</v>
      </c>
      <c r="B864" s="25" t="s">
        <v>239</v>
      </c>
      <c r="C864" s="12">
        <f t="shared" si="435"/>
        <v>2943696</v>
      </c>
      <c r="D864" s="20">
        <f t="shared" si="474"/>
        <v>73675</v>
      </c>
      <c r="E864" s="20">
        <f>350*210.5</f>
        <v>73675</v>
      </c>
      <c r="F864" s="20">
        <v>0</v>
      </c>
      <c r="G864" s="20">
        <v>0</v>
      </c>
      <c r="H864" s="20">
        <f>500*0</f>
        <v>0</v>
      </c>
      <c r="I864" s="20">
        <v>0</v>
      </c>
      <c r="J864" s="20">
        <f>350*0</f>
        <v>0</v>
      </c>
      <c r="K864" s="21">
        <v>0</v>
      </c>
      <c r="L864" s="20">
        <v>0</v>
      </c>
      <c r="M864" s="20">
        <v>268.47000000000003</v>
      </c>
      <c r="N864" s="20">
        <f t="shared" si="475"/>
        <v>1476585.0000000002</v>
      </c>
      <c r="O864" s="20">
        <v>0</v>
      </c>
      <c r="P864" s="20">
        <v>0</v>
      </c>
      <c r="Q864" s="20">
        <v>361.44</v>
      </c>
      <c r="R864" s="20">
        <f t="shared" si="476"/>
        <v>1084320</v>
      </c>
      <c r="S864" s="20">
        <v>109116</v>
      </c>
      <c r="T864" s="20">
        <v>0</v>
      </c>
      <c r="U864" s="20">
        <v>200000</v>
      </c>
      <c r="V864" s="1">
        <f t="shared" si="477"/>
        <v>5500</v>
      </c>
    </row>
    <row r="865" spans="1:22" ht="45" customHeight="1" x14ac:dyDescent="0.25">
      <c r="A865" s="63" t="s">
        <v>245</v>
      </c>
      <c r="B865" s="63"/>
      <c r="C865" s="12">
        <f t="shared" si="435"/>
        <v>3366035</v>
      </c>
      <c r="D865" s="12">
        <f t="shared" ref="D865:U865" si="478">SUM(D866)</f>
        <v>503755</v>
      </c>
      <c r="E865" s="12">
        <f t="shared" si="478"/>
        <v>95305</v>
      </c>
      <c r="F865" s="12">
        <f t="shared" si="478"/>
        <v>217840</v>
      </c>
      <c r="G865" s="12">
        <f t="shared" si="478"/>
        <v>81690</v>
      </c>
      <c r="H865" s="12">
        <f t="shared" si="478"/>
        <v>0</v>
      </c>
      <c r="I865" s="12">
        <f t="shared" si="478"/>
        <v>108920</v>
      </c>
      <c r="J865" s="12">
        <f t="shared" si="478"/>
        <v>0</v>
      </c>
      <c r="K865" s="13">
        <f t="shared" si="478"/>
        <v>0</v>
      </c>
      <c r="L865" s="12">
        <f t="shared" si="478"/>
        <v>0</v>
      </c>
      <c r="M865" s="12">
        <f t="shared" si="478"/>
        <v>272</v>
      </c>
      <c r="N865" s="12">
        <f t="shared" si="478"/>
        <v>1496000</v>
      </c>
      <c r="O865" s="12">
        <f t="shared" si="478"/>
        <v>0</v>
      </c>
      <c r="P865" s="12">
        <f t="shared" si="478"/>
        <v>0</v>
      </c>
      <c r="Q865" s="12">
        <f t="shared" si="478"/>
        <v>335</v>
      </c>
      <c r="R865" s="12">
        <f t="shared" si="478"/>
        <v>1005000</v>
      </c>
      <c r="S865" s="12">
        <f t="shared" si="478"/>
        <v>161280</v>
      </c>
      <c r="T865" s="12">
        <f t="shared" si="478"/>
        <v>0</v>
      </c>
      <c r="U865" s="12">
        <f t="shared" si="478"/>
        <v>200000</v>
      </c>
      <c r="V865" s="22">
        <f>C865</f>
        <v>3366035</v>
      </c>
    </row>
    <row r="866" spans="1:22" ht="21.95" customHeight="1" x14ac:dyDescent="0.25">
      <c r="A866" s="18" t="s">
        <v>1117</v>
      </c>
      <c r="B866" s="25" t="s">
        <v>244</v>
      </c>
      <c r="C866" s="12">
        <f t="shared" si="435"/>
        <v>3366035</v>
      </c>
      <c r="D866" s="20">
        <f t="shared" ref="D866" si="479">SUM(E866:J866)</f>
        <v>503755</v>
      </c>
      <c r="E866" s="20">
        <f>350*272.3</f>
        <v>95305</v>
      </c>
      <c r="F866" s="20">
        <f>800*272.3</f>
        <v>217840</v>
      </c>
      <c r="G866" s="20">
        <f>300*272.3</f>
        <v>81690</v>
      </c>
      <c r="H866" s="20">
        <f>500*0</f>
        <v>0</v>
      </c>
      <c r="I866" s="20">
        <f>400*272.3</f>
        <v>108920</v>
      </c>
      <c r="J866" s="20">
        <f>350*0</f>
        <v>0</v>
      </c>
      <c r="K866" s="21">
        <v>0</v>
      </c>
      <c r="L866" s="20">
        <v>0</v>
      </c>
      <c r="M866" s="20">
        <v>272</v>
      </c>
      <c r="N866" s="20">
        <f t="shared" ref="N866" si="480">M866*5500</f>
        <v>1496000</v>
      </c>
      <c r="O866" s="20">
        <v>0</v>
      </c>
      <c r="P866" s="20">
        <v>0</v>
      </c>
      <c r="Q866" s="20">
        <v>335</v>
      </c>
      <c r="R866" s="20">
        <f>Q866*3000</f>
        <v>1005000</v>
      </c>
      <c r="S866" s="20">
        <v>161280</v>
      </c>
      <c r="T866" s="20">
        <v>0</v>
      </c>
      <c r="U866" s="20">
        <v>200000</v>
      </c>
      <c r="V866" s="1">
        <f t="shared" ref="V866" si="481">N866/M866</f>
        <v>5500</v>
      </c>
    </row>
    <row r="867" spans="1:22" ht="45" customHeight="1" x14ac:dyDescent="0.25">
      <c r="A867" s="63" t="s">
        <v>270</v>
      </c>
      <c r="B867" s="63"/>
      <c r="C867" s="12">
        <f t="shared" si="435"/>
        <v>54312431.259999998</v>
      </c>
      <c r="D867" s="12">
        <f t="shared" ref="D867:U867" si="482">SUM(D868:D877)</f>
        <v>19021660</v>
      </c>
      <c r="E867" s="12">
        <f t="shared" si="482"/>
        <v>3742235</v>
      </c>
      <c r="F867" s="12">
        <f t="shared" si="482"/>
        <v>8553680</v>
      </c>
      <c r="G867" s="12">
        <f t="shared" si="482"/>
        <v>2448905</v>
      </c>
      <c r="H867" s="12">
        <f t="shared" si="482"/>
        <v>0</v>
      </c>
      <c r="I867" s="12">
        <f t="shared" si="482"/>
        <v>4276840</v>
      </c>
      <c r="J867" s="12">
        <f t="shared" si="482"/>
        <v>0</v>
      </c>
      <c r="K867" s="13">
        <f t="shared" si="482"/>
        <v>0</v>
      </c>
      <c r="L867" s="12">
        <f t="shared" si="482"/>
        <v>0</v>
      </c>
      <c r="M867" s="12">
        <f t="shared" si="482"/>
        <v>3933.8199999999997</v>
      </c>
      <c r="N867" s="12">
        <f t="shared" si="482"/>
        <v>19045781.259999998</v>
      </c>
      <c r="O867" s="12">
        <f t="shared" si="482"/>
        <v>315.59999999999997</v>
      </c>
      <c r="P867" s="12">
        <f t="shared" si="482"/>
        <v>781800</v>
      </c>
      <c r="Q867" s="12">
        <f t="shared" si="482"/>
        <v>4587.7300000000005</v>
      </c>
      <c r="R867" s="12">
        <f t="shared" si="482"/>
        <v>13763190</v>
      </c>
      <c r="S867" s="12">
        <f t="shared" si="482"/>
        <v>0</v>
      </c>
      <c r="T867" s="12">
        <f t="shared" si="482"/>
        <v>0</v>
      </c>
      <c r="U867" s="12">
        <f t="shared" si="482"/>
        <v>1700000</v>
      </c>
    </row>
    <row r="868" spans="1:22" ht="24" customHeight="1" x14ac:dyDescent="0.25">
      <c r="A868" s="18" t="s">
        <v>1118</v>
      </c>
      <c r="B868" s="25" t="s">
        <v>1598</v>
      </c>
      <c r="C868" s="12">
        <f t="shared" si="435"/>
        <v>3160270</v>
      </c>
      <c r="D868" s="20">
        <f t="shared" ref="D868:D877" si="483">SUM(E868:J868)</f>
        <v>3160270</v>
      </c>
      <c r="E868" s="20">
        <f>350*1663.3</f>
        <v>582155</v>
      </c>
      <c r="F868" s="20">
        <f>800*1663.3</f>
        <v>1330640</v>
      </c>
      <c r="G868" s="20">
        <f>350*1663.3</f>
        <v>582155</v>
      </c>
      <c r="H868" s="20">
        <v>0</v>
      </c>
      <c r="I868" s="20">
        <f>400*1663.3</f>
        <v>665320</v>
      </c>
      <c r="J868" s="20">
        <v>0</v>
      </c>
      <c r="K868" s="9">
        <v>0</v>
      </c>
      <c r="L868" s="8">
        <v>0</v>
      </c>
      <c r="M868" s="8">
        <v>0</v>
      </c>
      <c r="N868" s="8">
        <v>0</v>
      </c>
      <c r="O868" s="8">
        <v>0</v>
      </c>
      <c r="P868" s="8">
        <v>0</v>
      </c>
      <c r="Q868" s="8">
        <v>0</v>
      </c>
      <c r="R868" s="20">
        <f t="shared" ref="R868:R877" si="484">Q868*3000</f>
        <v>0</v>
      </c>
      <c r="S868" s="8">
        <v>0</v>
      </c>
      <c r="T868" s="8">
        <v>0</v>
      </c>
      <c r="U868" s="8">
        <v>0</v>
      </c>
      <c r="V868" s="1" t="e">
        <f t="shared" ref="V868:V877" si="485">N868/M868</f>
        <v>#DIV/0!</v>
      </c>
    </row>
    <row r="869" spans="1:22" ht="21.95" customHeight="1" x14ac:dyDescent="0.25">
      <c r="A869" s="18" t="s">
        <v>1119</v>
      </c>
      <c r="B869" s="25" t="s">
        <v>1585</v>
      </c>
      <c r="C869" s="12">
        <f t="shared" si="435"/>
        <v>1818750</v>
      </c>
      <c r="D869" s="20">
        <f t="shared" si="483"/>
        <v>0</v>
      </c>
      <c r="E869" s="8">
        <v>0</v>
      </c>
      <c r="F869" s="8">
        <v>0</v>
      </c>
      <c r="G869" s="8">
        <v>0</v>
      </c>
      <c r="H869" s="8">
        <v>0</v>
      </c>
      <c r="I869" s="8">
        <v>0</v>
      </c>
      <c r="J869" s="8">
        <v>0</v>
      </c>
      <c r="K869" s="9">
        <v>0</v>
      </c>
      <c r="L869" s="8">
        <v>0</v>
      </c>
      <c r="M869" s="8">
        <v>312.5</v>
      </c>
      <c r="N869" s="8">
        <f>M869*5500</f>
        <v>1718750</v>
      </c>
      <c r="O869" s="8">
        <v>0</v>
      </c>
      <c r="P869" s="8">
        <v>0</v>
      </c>
      <c r="Q869" s="8">
        <v>0</v>
      </c>
      <c r="R869" s="20">
        <f t="shared" si="484"/>
        <v>0</v>
      </c>
      <c r="S869" s="8">
        <v>0</v>
      </c>
      <c r="T869" s="8">
        <v>0</v>
      </c>
      <c r="U869" s="8">
        <v>100000</v>
      </c>
      <c r="V869" s="1">
        <f t="shared" si="485"/>
        <v>5500</v>
      </c>
    </row>
    <row r="870" spans="1:22" ht="21.95" customHeight="1" x14ac:dyDescent="0.25">
      <c r="A870" s="18" t="s">
        <v>1120</v>
      </c>
      <c r="B870" s="30" t="s">
        <v>250</v>
      </c>
      <c r="C870" s="12">
        <f t="shared" si="435"/>
        <v>6150090</v>
      </c>
      <c r="D870" s="20">
        <f t="shared" si="483"/>
        <v>5599810</v>
      </c>
      <c r="E870" s="20">
        <f>350*3482</f>
        <v>1218700</v>
      </c>
      <c r="F870" s="20">
        <f>800*3482</f>
        <v>2785600</v>
      </c>
      <c r="G870" s="20">
        <f>300*675.7</f>
        <v>202710</v>
      </c>
      <c r="H870" s="20">
        <f>500*0</f>
        <v>0</v>
      </c>
      <c r="I870" s="20">
        <f>400*3482</f>
        <v>1392800</v>
      </c>
      <c r="J870" s="20">
        <f>350*0</f>
        <v>0</v>
      </c>
      <c r="K870" s="21">
        <v>0</v>
      </c>
      <c r="L870" s="20">
        <v>0</v>
      </c>
      <c r="M870" s="20">
        <v>0</v>
      </c>
      <c r="N870" s="20">
        <v>0</v>
      </c>
      <c r="O870" s="20">
        <v>166.8</v>
      </c>
      <c r="P870" s="20">
        <v>350280</v>
      </c>
      <c r="Q870" s="20">
        <v>0</v>
      </c>
      <c r="R870" s="20">
        <f t="shared" si="484"/>
        <v>0</v>
      </c>
      <c r="S870" s="20">
        <v>0</v>
      </c>
      <c r="T870" s="20">
        <v>0</v>
      </c>
      <c r="U870" s="20">
        <v>200000</v>
      </c>
      <c r="V870" s="1" t="e">
        <f t="shared" si="485"/>
        <v>#DIV/0!</v>
      </c>
    </row>
    <row r="871" spans="1:22" ht="21.95" customHeight="1" x14ac:dyDescent="0.25">
      <c r="A871" s="18" t="s">
        <v>1121</v>
      </c>
      <c r="B871" s="30" t="s">
        <v>258</v>
      </c>
      <c r="C871" s="12">
        <f t="shared" si="435"/>
        <v>6452465</v>
      </c>
      <c r="D871" s="20">
        <f t="shared" si="483"/>
        <v>1250045</v>
      </c>
      <c r="E871" s="20">
        <f>350*675.7</f>
        <v>236495.00000000003</v>
      </c>
      <c r="F871" s="20">
        <f>800*675.7</f>
        <v>540560</v>
      </c>
      <c r="G871" s="20">
        <f>300*675.7</f>
        <v>202710</v>
      </c>
      <c r="H871" s="20">
        <f>500*0</f>
        <v>0</v>
      </c>
      <c r="I871" s="20">
        <f>400*675.7</f>
        <v>270280</v>
      </c>
      <c r="J871" s="20">
        <f>350*0</f>
        <v>0</v>
      </c>
      <c r="K871" s="21">
        <v>0</v>
      </c>
      <c r="L871" s="20">
        <v>0</v>
      </c>
      <c r="M871" s="20">
        <v>555.79999999999995</v>
      </c>
      <c r="N871" s="20">
        <f t="shared" ref="N871" si="486">M871*5500</f>
        <v>3056899.9999999995</v>
      </c>
      <c r="O871" s="20">
        <v>42.7</v>
      </c>
      <c r="P871" s="20">
        <v>123830</v>
      </c>
      <c r="Q871" s="20">
        <v>607.23</v>
      </c>
      <c r="R871" s="20">
        <f t="shared" si="484"/>
        <v>1821690</v>
      </c>
      <c r="S871" s="20">
        <v>0</v>
      </c>
      <c r="T871" s="20">
        <v>0</v>
      </c>
      <c r="U871" s="20">
        <v>200000</v>
      </c>
      <c r="V871" s="1">
        <f t="shared" si="485"/>
        <v>5500</v>
      </c>
    </row>
    <row r="872" spans="1:22" ht="21.95" customHeight="1" x14ac:dyDescent="0.25">
      <c r="A872" s="18" t="s">
        <v>1122</v>
      </c>
      <c r="B872" s="30" t="s">
        <v>263</v>
      </c>
      <c r="C872" s="12">
        <f t="shared" si="435"/>
        <v>3317399.9999999995</v>
      </c>
      <c r="D872" s="20">
        <f t="shared" si="483"/>
        <v>0</v>
      </c>
      <c r="E872" s="8">
        <v>0</v>
      </c>
      <c r="F872" s="8">
        <v>0</v>
      </c>
      <c r="G872" s="8">
        <v>0</v>
      </c>
      <c r="H872" s="8">
        <v>0</v>
      </c>
      <c r="I872" s="8">
        <v>0</v>
      </c>
      <c r="J872" s="8">
        <v>0</v>
      </c>
      <c r="K872" s="21">
        <v>0</v>
      </c>
      <c r="L872" s="20">
        <v>0</v>
      </c>
      <c r="M872" s="20">
        <v>566.79999999999995</v>
      </c>
      <c r="N872" s="20">
        <f t="shared" ref="N872" si="487">M872*5500</f>
        <v>3117399.9999999995</v>
      </c>
      <c r="O872" s="20">
        <v>0</v>
      </c>
      <c r="P872" s="20">
        <v>0</v>
      </c>
      <c r="Q872" s="20">
        <v>0</v>
      </c>
      <c r="R872" s="20">
        <f t="shared" si="484"/>
        <v>0</v>
      </c>
      <c r="S872" s="20">
        <v>0</v>
      </c>
      <c r="T872" s="20">
        <v>0</v>
      </c>
      <c r="U872" s="20">
        <v>200000</v>
      </c>
      <c r="V872" s="1">
        <f t="shared" si="485"/>
        <v>5500</v>
      </c>
    </row>
    <row r="873" spans="1:22" ht="21.95" customHeight="1" x14ac:dyDescent="0.25">
      <c r="A873" s="18" t="s">
        <v>1123</v>
      </c>
      <c r="B873" s="30" t="s">
        <v>265</v>
      </c>
      <c r="C873" s="12">
        <f t="shared" si="435"/>
        <v>9441174.7599999998</v>
      </c>
      <c r="D873" s="20">
        <f t="shared" si="483"/>
        <v>2944460</v>
      </c>
      <c r="E873" s="20">
        <f>350*1591.6</f>
        <v>557060</v>
      </c>
      <c r="F873" s="20">
        <f>800*1591.6</f>
        <v>1273280</v>
      </c>
      <c r="G873" s="20">
        <f>300*1591.6</f>
        <v>477480</v>
      </c>
      <c r="H873" s="20">
        <f>500*0</f>
        <v>0</v>
      </c>
      <c r="I873" s="20">
        <f>400*1591.6</f>
        <v>636640</v>
      </c>
      <c r="J873" s="20">
        <f>350*0</f>
        <v>0</v>
      </c>
      <c r="K873" s="21">
        <v>0</v>
      </c>
      <c r="L873" s="20">
        <v>0</v>
      </c>
      <c r="M873" s="20">
        <v>682.66</v>
      </c>
      <c r="N873" s="20">
        <f t="shared" ref="N873:N874" si="488">M873*3686</f>
        <v>2516284.7599999998</v>
      </c>
      <c r="O873" s="20">
        <v>52.7</v>
      </c>
      <c r="P873" s="20">
        <v>152830</v>
      </c>
      <c r="Q873" s="20">
        <v>1209.2</v>
      </c>
      <c r="R873" s="20">
        <f t="shared" si="484"/>
        <v>3627600</v>
      </c>
      <c r="S873" s="20">
        <v>0</v>
      </c>
      <c r="T873" s="20">
        <v>0</v>
      </c>
      <c r="U873" s="20">
        <v>200000</v>
      </c>
      <c r="V873" s="1">
        <f t="shared" si="485"/>
        <v>3686</v>
      </c>
    </row>
    <row r="874" spans="1:22" ht="21.95" customHeight="1" x14ac:dyDescent="0.25">
      <c r="A874" s="18" t="s">
        <v>1124</v>
      </c>
      <c r="B874" s="30" t="s">
        <v>266</v>
      </c>
      <c r="C874" s="12">
        <f t="shared" si="435"/>
        <v>9675381.5</v>
      </c>
      <c r="D874" s="20">
        <f t="shared" si="483"/>
        <v>2974430</v>
      </c>
      <c r="E874" s="20">
        <f>350*1607.8</f>
        <v>562730</v>
      </c>
      <c r="F874" s="20">
        <f>800*1607.8</f>
        <v>1286240</v>
      </c>
      <c r="G874" s="20">
        <f>300*1607.8</f>
        <v>482340</v>
      </c>
      <c r="H874" s="20">
        <f t="shared" ref="H874:H877" si="489">500*0</f>
        <v>0</v>
      </c>
      <c r="I874" s="20">
        <f>400*1607.8</f>
        <v>643120</v>
      </c>
      <c r="J874" s="20">
        <f t="shared" ref="J874:J877" si="490">350*0</f>
        <v>0</v>
      </c>
      <c r="K874" s="21">
        <v>0</v>
      </c>
      <c r="L874" s="20">
        <v>0</v>
      </c>
      <c r="M874" s="20">
        <v>745.25</v>
      </c>
      <c r="N874" s="20">
        <f t="shared" si="488"/>
        <v>2746991.5</v>
      </c>
      <c r="O874" s="20">
        <v>53.4</v>
      </c>
      <c r="P874" s="20">
        <v>154860</v>
      </c>
      <c r="Q874" s="20">
        <v>1199.7</v>
      </c>
      <c r="R874" s="20">
        <f t="shared" si="484"/>
        <v>3599100</v>
      </c>
      <c r="S874" s="20">
        <v>0</v>
      </c>
      <c r="T874" s="20">
        <v>0</v>
      </c>
      <c r="U874" s="20">
        <v>200000</v>
      </c>
      <c r="V874" s="1">
        <f t="shared" si="485"/>
        <v>3686</v>
      </c>
    </row>
    <row r="875" spans="1:22" ht="21.95" customHeight="1" x14ac:dyDescent="0.25">
      <c r="A875" s="18" t="s">
        <v>1125</v>
      </c>
      <c r="B875" s="30" t="s">
        <v>267</v>
      </c>
      <c r="C875" s="12">
        <f t="shared" si="435"/>
        <v>6179120</v>
      </c>
      <c r="D875" s="20">
        <f t="shared" si="483"/>
        <v>1251710</v>
      </c>
      <c r="E875" s="20">
        <f>350*676.6</f>
        <v>236810</v>
      </c>
      <c r="F875" s="20">
        <f>800*676.6</f>
        <v>541280</v>
      </c>
      <c r="G875" s="20">
        <f>300*676.6</f>
        <v>202980</v>
      </c>
      <c r="H875" s="20">
        <f t="shared" si="489"/>
        <v>0</v>
      </c>
      <c r="I875" s="20">
        <f>400*676.6</f>
        <v>270640</v>
      </c>
      <c r="J875" s="20">
        <f t="shared" si="490"/>
        <v>0</v>
      </c>
      <c r="K875" s="21">
        <v>0</v>
      </c>
      <c r="L875" s="20">
        <v>0</v>
      </c>
      <c r="M875" s="20">
        <v>562.9</v>
      </c>
      <c r="N875" s="20">
        <f t="shared" ref="N875:N876" si="491">M875*5500</f>
        <v>3095950</v>
      </c>
      <c r="O875" s="20">
        <v>0</v>
      </c>
      <c r="P875" s="20">
        <v>0</v>
      </c>
      <c r="Q875" s="20">
        <v>543.82000000000005</v>
      </c>
      <c r="R875" s="20">
        <f t="shared" si="484"/>
        <v>1631460.0000000002</v>
      </c>
      <c r="S875" s="20">
        <v>0</v>
      </c>
      <c r="T875" s="20">
        <v>0</v>
      </c>
      <c r="U875" s="20">
        <v>200000</v>
      </c>
      <c r="V875" s="1">
        <f t="shared" si="485"/>
        <v>5500</v>
      </c>
    </row>
    <row r="876" spans="1:22" ht="21.95" customHeight="1" x14ac:dyDescent="0.25">
      <c r="A876" s="18" t="s">
        <v>1126</v>
      </c>
      <c r="B876" s="30" t="s">
        <v>268</v>
      </c>
      <c r="C876" s="12">
        <f t="shared" si="435"/>
        <v>6201475</v>
      </c>
      <c r="D876" s="20">
        <f t="shared" si="483"/>
        <v>1236910</v>
      </c>
      <c r="E876" s="20">
        <f>350*668.6</f>
        <v>234010</v>
      </c>
      <c r="F876" s="20">
        <f>800*668.6</f>
        <v>534880</v>
      </c>
      <c r="G876" s="20">
        <f>300*668.6</f>
        <v>200580</v>
      </c>
      <c r="H876" s="20">
        <f t="shared" si="489"/>
        <v>0</v>
      </c>
      <c r="I876" s="20">
        <f>400*668.6</f>
        <v>267440</v>
      </c>
      <c r="J876" s="20">
        <f t="shared" si="490"/>
        <v>0</v>
      </c>
      <c r="K876" s="21">
        <v>0</v>
      </c>
      <c r="L876" s="20">
        <v>0</v>
      </c>
      <c r="M876" s="20">
        <v>507.91</v>
      </c>
      <c r="N876" s="20">
        <f t="shared" si="491"/>
        <v>2793505</v>
      </c>
      <c r="O876" s="20">
        <v>0</v>
      </c>
      <c r="P876" s="20">
        <v>0</v>
      </c>
      <c r="Q876" s="20">
        <v>657.02</v>
      </c>
      <c r="R876" s="20">
        <f t="shared" si="484"/>
        <v>1971060</v>
      </c>
      <c r="S876" s="20">
        <v>0</v>
      </c>
      <c r="T876" s="20">
        <v>0</v>
      </c>
      <c r="U876" s="20">
        <v>200000</v>
      </c>
      <c r="V876" s="1">
        <f t="shared" si="485"/>
        <v>5500</v>
      </c>
    </row>
    <row r="877" spans="1:22" ht="21.95" customHeight="1" x14ac:dyDescent="0.25">
      <c r="A877" s="18" t="s">
        <v>1127</v>
      </c>
      <c r="B877" s="30" t="s">
        <v>269</v>
      </c>
      <c r="C877" s="12">
        <f t="shared" si="435"/>
        <v>1916305</v>
      </c>
      <c r="D877" s="20">
        <f t="shared" si="483"/>
        <v>604025</v>
      </c>
      <c r="E877" s="20">
        <f>350*326.5</f>
        <v>114275</v>
      </c>
      <c r="F877" s="20">
        <f>800*326.5</f>
        <v>261200</v>
      </c>
      <c r="G877" s="20">
        <f>300*326.5</f>
        <v>97950</v>
      </c>
      <c r="H877" s="20">
        <f t="shared" si="489"/>
        <v>0</v>
      </c>
      <c r="I877" s="20">
        <f>400*326.5</f>
        <v>130600</v>
      </c>
      <c r="J877" s="20">
        <f t="shared" si="490"/>
        <v>0</v>
      </c>
      <c r="K877" s="21">
        <v>0</v>
      </c>
      <c r="L877" s="20">
        <v>0</v>
      </c>
      <c r="M877" s="20">
        <v>0</v>
      </c>
      <c r="N877" s="20">
        <v>0</v>
      </c>
      <c r="O877" s="20">
        <v>0</v>
      </c>
      <c r="P877" s="20">
        <v>0</v>
      </c>
      <c r="Q877" s="20">
        <v>370.76</v>
      </c>
      <c r="R877" s="20">
        <f t="shared" si="484"/>
        <v>1112280</v>
      </c>
      <c r="S877" s="20">
        <v>0</v>
      </c>
      <c r="T877" s="20">
        <v>0</v>
      </c>
      <c r="U877" s="20">
        <v>200000</v>
      </c>
      <c r="V877" s="1" t="e">
        <f t="shared" si="485"/>
        <v>#DIV/0!</v>
      </c>
    </row>
    <row r="878" spans="1:22" ht="45" customHeight="1" x14ac:dyDescent="0.25">
      <c r="A878" s="63" t="s">
        <v>273</v>
      </c>
      <c r="B878" s="63"/>
      <c r="C878" s="12">
        <f t="shared" si="435"/>
        <v>8069670</v>
      </c>
      <c r="D878" s="12">
        <f t="shared" ref="D878:U878" si="492">SUM(D879:D880)</f>
        <v>736070</v>
      </c>
      <c r="E878" s="12">
        <f t="shared" si="492"/>
        <v>287490</v>
      </c>
      <c r="F878" s="12">
        <f t="shared" si="492"/>
        <v>326240</v>
      </c>
      <c r="G878" s="12">
        <f t="shared" si="492"/>
        <v>122340</v>
      </c>
      <c r="H878" s="12">
        <f t="shared" si="492"/>
        <v>0</v>
      </c>
      <c r="I878" s="12">
        <f t="shared" si="492"/>
        <v>0</v>
      </c>
      <c r="J878" s="12">
        <f t="shared" si="492"/>
        <v>0</v>
      </c>
      <c r="K878" s="13">
        <f t="shared" si="492"/>
        <v>0</v>
      </c>
      <c r="L878" s="12">
        <f t="shared" si="492"/>
        <v>0</v>
      </c>
      <c r="M878" s="12">
        <f t="shared" si="492"/>
        <v>864</v>
      </c>
      <c r="N878" s="12">
        <f t="shared" si="492"/>
        <v>4752000</v>
      </c>
      <c r="O878" s="12">
        <f t="shared" si="492"/>
        <v>0</v>
      </c>
      <c r="P878" s="12">
        <f t="shared" si="492"/>
        <v>0</v>
      </c>
      <c r="Q878" s="12">
        <f t="shared" si="492"/>
        <v>727.2</v>
      </c>
      <c r="R878" s="12">
        <f t="shared" si="492"/>
        <v>2181600</v>
      </c>
      <c r="S878" s="12">
        <f t="shared" si="492"/>
        <v>0</v>
      </c>
      <c r="T878" s="12">
        <f t="shared" si="492"/>
        <v>0</v>
      </c>
      <c r="U878" s="12">
        <f t="shared" si="492"/>
        <v>400000</v>
      </c>
      <c r="V878" s="22">
        <f>C878</f>
        <v>8069670</v>
      </c>
    </row>
    <row r="879" spans="1:22" ht="21.95" customHeight="1" x14ac:dyDescent="0.25">
      <c r="A879" s="18" t="s">
        <v>1128</v>
      </c>
      <c r="B879" s="30" t="s">
        <v>274</v>
      </c>
      <c r="C879" s="12">
        <f t="shared" si="435"/>
        <v>4258110</v>
      </c>
      <c r="D879" s="20">
        <f t="shared" ref="D879:D880" si="493">SUM(E879:J879)</f>
        <v>591310</v>
      </c>
      <c r="E879" s="20">
        <f>350*407.8</f>
        <v>142730</v>
      </c>
      <c r="F879" s="20">
        <f>800*407.8</f>
        <v>326240</v>
      </c>
      <c r="G879" s="20">
        <f>300*407.8</f>
        <v>122340</v>
      </c>
      <c r="H879" s="20">
        <f t="shared" ref="H879:H880" si="494">500*0</f>
        <v>0</v>
      </c>
      <c r="I879" s="20">
        <f>400*0</f>
        <v>0</v>
      </c>
      <c r="J879" s="20">
        <f t="shared" ref="J879:J880" si="495">350*0</f>
        <v>0</v>
      </c>
      <c r="K879" s="21">
        <v>0</v>
      </c>
      <c r="L879" s="20">
        <v>0</v>
      </c>
      <c r="M879" s="20">
        <v>432</v>
      </c>
      <c r="N879" s="20">
        <f t="shared" ref="N879:N880" si="496">M879*5500</f>
        <v>2376000</v>
      </c>
      <c r="O879" s="20">
        <v>0</v>
      </c>
      <c r="P879" s="20">
        <v>0</v>
      </c>
      <c r="Q879" s="20">
        <v>363.6</v>
      </c>
      <c r="R879" s="20">
        <f t="shared" ref="R879:R880" si="497">Q879*3000</f>
        <v>1090800</v>
      </c>
      <c r="S879" s="20">
        <v>0</v>
      </c>
      <c r="T879" s="20">
        <v>0</v>
      </c>
      <c r="U879" s="20">
        <v>200000</v>
      </c>
      <c r="V879" s="1">
        <f t="shared" ref="V879:V880" si="498">N879/M879</f>
        <v>5500</v>
      </c>
    </row>
    <row r="880" spans="1:22" ht="21.95" customHeight="1" x14ac:dyDescent="0.25">
      <c r="A880" s="18" t="s">
        <v>1129</v>
      </c>
      <c r="B880" s="30" t="s">
        <v>1627</v>
      </c>
      <c r="C880" s="12">
        <f t="shared" si="435"/>
        <v>3811560</v>
      </c>
      <c r="D880" s="20">
        <f t="shared" si="493"/>
        <v>144760</v>
      </c>
      <c r="E880" s="20">
        <f>350*413.6</f>
        <v>144760</v>
      </c>
      <c r="F880" s="20">
        <f>800*0</f>
        <v>0</v>
      </c>
      <c r="G880" s="20">
        <f>300*0</f>
        <v>0</v>
      </c>
      <c r="H880" s="20">
        <f t="shared" si="494"/>
        <v>0</v>
      </c>
      <c r="I880" s="20">
        <f>400*0</f>
        <v>0</v>
      </c>
      <c r="J880" s="20">
        <f t="shared" si="495"/>
        <v>0</v>
      </c>
      <c r="K880" s="21">
        <v>0</v>
      </c>
      <c r="L880" s="20">
        <v>0</v>
      </c>
      <c r="M880" s="20">
        <v>432</v>
      </c>
      <c r="N880" s="20">
        <f t="shared" si="496"/>
        <v>2376000</v>
      </c>
      <c r="O880" s="20">
        <v>0</v>
      </c>
      <c r="P880" s="20">
        <v>0</v>
      </c>
      <c r="Q880" s="20">
        <v>363.6</v>
      </c>
      <c r="R880" s="20">
        <f t="shared" si="497"/>
        <v>1090800</v>
      </c>
      <c r="S880" s="20">
        <v>0</v>
      </c>
      <c r="T880" s="20">
        <v>0</v>
      </c>
      <c r="U880" s="20">
        <v>200000</v>
      </c>
      <c r="V880" s="1">
        <f t="shared" si="498"/>
        <v>5500</v>
      </c>
    </row>
    <row r="881" spans="1:258" ht="45" customHeight="1" x14ac:dyDescent="0.25">
      <c r="A881" s="63" t="s">
        <v>280</v>
      </c>
      <c r="B881" s="63"/>
      <c r="C881" s="12">
        <f t="shared" si="435"/>
        <v>7685000</v>
      </c>
      <c r="D881" s="12">
        <f t="shared" ref="D881:U881" si="499">SUM(D882:D883)</f>
        <v>351400</v>
      </c>
      <c r="E881" s="12">
        <f t="shared" si="499"/>
        <v>351400</v>
      </c>
      <c r="F881" s="12">
        <f t="shared" si="499"/>
        <v>0</v>
      </c>
      <c r="G881" s="12">
        <f t="shared" si="499"/>
        <v>0</v>
      </c>
      <c r="H881" s="12">
        <f t="shared" si="499"/>
        <v>0</v>
      </c>
      <c r="I881" s="12">
        <f t="shared" si="499"/>
        <v>0</v>
      </c>
      <c r="J881" s="12">
        <f t="shared" si="499"/>
        <v>0</v>
      </c>
      <c r="K881" s="13">
        <f t="shared" si="499"/>
        <v>0</v>
      </c>
      <c r="L881" s="12">
        <f t="shared" si="499"/>
        <v>0</v>
      </c>
      <c r="M881" s="12">
        <f t="shared" si="499"/>
        <v>864</v>
      </c>
      <c r="N881" s="12">
        <f t="shared" si="499"/>
        <v>4752000</v>
      </c>
      <c r="O881" s="12">
        <f t="shared" si="499"/>
        <v>0</v>
      </c>
      <c r="P881" s="12">
        <f t="shared" si="499"/>
        <v>0</v>
      </c>
      <c r="Q881" s="12">
        <f t="shared" si="499"/>
        <v>727.2</v>
      </c>
      <c r="R881" s="12">
        <f t="shared" si="499"/>
        <v>2181600</v>
      </c>
      <c r="S881" s="12">
        <f t="shared" si="499"/>
        <v>0</v>
      </c>
      <c r="T881" s="12">
        <f t="shared" si="499"/>
        <v>0</v>
      </c>
      <c r="U881" s="12">
        <f t="shared" si="499"/>
        <v>400000</v>
      </c>
      <c r="V881" s="22">
        <f>C881</f>
        <v>7685000</v>
      </c>
    </row>
    <row r="882" spans="1:258" ht="21.95" customHeight="1" x14ac:dyDescent="0.25">
      <c r="A882" s="18" t="s">
        <v>1130</v>
      </c>
      <c r="B882" s="30" t="s">
        <v>281</v>
      </c>
      <c r="C882" s="12">
        <f t="shared" si="435"/>
        <v>3842500</v>
      </c>
      <c r="D882" s="20">
        <f t="shared" ref="D882:D883" si="500">SUM(E882:J882)</f>
        <v>175700</v>
      </c>
      <c r="E882" s="20">
        <f>350*502</f>
        <v>175700</v>
      </c>
      <c r="F882" s="20">
        <f>800*0</f>
        <v>0</v>
      </c>
      <c r="G882" s="20">
        <f>350*0</f>
        <v>0</v>
      </c>
      <c r="H882" s="20">
        <f>500*0</f>
        <v>0</v>
      </c>
      <c r="I882" s="20">
        <f>400*0</f>
        <v>0</v>
      </c>
      <c r="J882" s="20">
        <v>0</v>
      </c>
      <c r="K882" s="21">
        <v>0</v>
      </c>
      <c r="L882" s="20">
        <v>0</v>
      </c>
      <c r="M882" s="20">
        <v>432</v>
      </c>
      <c r="N882" s="20">
        <f t="shared" ref="N882:N883" si="501">M882*5500</f>
        <v>2376000</v>
      </c>
      <c r="O882" s="20">
        <v>0</v>
      </c>
      <c r="P882" s="20">
        <v>0</v>
      </c>
      <c r="Q882" s="20">
        <v>363.6</v>
      </c>
      <c r="R882" s="20">
        <f t="shared" ref="R882:R883" si="502">Q882*3000</f>
        <v>1090800</v>
      </c>
      <c r="S882" s="20">
        <v>0</v>
      </c>
      <c r="T882" s="20">
        <v>0</v>
      </c>
      <c r="U882" s="20">
        <v>200000</v>
      </c>
      <c r="V882" s="1">
        <f t="shared" ref="V882:V883" si="503">N882/M882</f>
        <v>5500</v>
      </c>
    </row>
    <row r="883" spans="1:258" ht="21.95" customHeight="1" x14ac:dyDescent="0.25">
      <c r="A883" s="26" t="s">
        <v>1131</v>
      </c>
      <c r="B883" s="30" t="s">
        <v>282</v>
      </c>
      <c r="C883" s="12">
        <f t="shared" si="435"/>
        <v>3842500</v>
      </c>
      <c r="D883" s="20">
        <f t="shared" si="500"/>
        <v>175700</v>
      </c>
      <c r="E883" s="20">
        <f>350*502</f>
        <v>175700</v>
      </c>
      <c r="F883" s="20">
        <f>800*0</f>
        <v>0</v>
      </c>
      <c r="G883" s="20">
        <f>350*0</f>
        <v>0</v>
      </c>
      <c r="H883" s="20">
        <f>500*0</f>
        <v>0</v>
      </c>
      <c r="I883" s="20">
        <f>400*0</f>
        <v>0</v>
      </c>
      <c r="J883" s="20">
        <v>0</v>
      </c>
      <c r="K883" s="21">
        <v>0</v>
      </c>
      <c r="L883" s="20">
        <v>0</v>
      </c>
      <c r="M883" s="20">
        <v>432</v>
      </c>
      <c r="N883" s="20">
        <f t="shared" si="501"/>
        <v>2376000</v>
      </c>
      <c r="O883" s="20">
        <v>0</v>
      </c>
      <c r="P883" s="20">
        <v>0</v>
      </c>
      <c r="Q883" s="20">
        <v>363.6</v>
      </c>
      <c r="R883" s="20">
        <f t="shared" si="502"/>
        <v>1090800</v>
      </c>
      <c r="S883" s="20">
        <v>0</v>
      </c>
      <c r="T883" s="20">
        <v>0</v>
      </c>
      <c r="U883" s="20">
        <v>200000</v>
      </c>
      <c r="V883" s="1">
        <f t="shared" si="503"/>
        <v>5500</v>
      </c>
    </row>
    <row r="884" spans="1:258" ht="45" customHeight="1" x14ac:dyDescent="0.25">
      <c r="A884" s="63" t="s">
        <v>383</v>
      </c>
      <c r="B884" s="63"/>
      <c r="C884" s="12">
        <f t="shared" si="435"/>
        <v>728239074.79999995</v>
      </c>
      <c r="D884" s="12">
        <f t="shared" ref="D884:U884" si="504">SUM(D885:D1053)</f>
        <v>135169677</v>
      </c>
      <c r="E884" s="12">
        <f t="shared" si="504"/>
        <v>19891840.5</v>
      </c>
      <c r="F884" s="12">
        <f t="shared" si="504"/>
        <v>45467064</v>
      </c>
      <c r="G884" s="12">
        <f t="shared" si="504"/>
        <v>19891840.5</v>
      </c>
      <c r="H884" s="12">
        <f t="shared" si="504"/>
        <v>27185400</v>
      </c>
      <c r="I884" s="12">
        <f t="shared" si="504"/>
        <v>22733532</v>
      </c>
      <c r="J884" s="12">
        <f t="shared" si="504"/>
        <v>0</v>
      </c>
      <c r="K884" s="13">
        <f t="shared" si="504"/>
        <v>3</v>
      </c>
      <c r="L884" s="12">
        <f t="shared" si="504"/>
        <v>6450000</v>
      </c>
      <c r="M884" s="12">
        <f t="shared" si="504"/>
        <v>85136.280000000028</v>
      </c>
      <c r="N884" s="12">
        <f t="shared" si="504"/>
        <v>454540597.80000001</v>
      </c>
      <c r="O884" s="12">
        <f t="shared" si="504"/>
        <v>438</v>
      </c>
      <c r="P884" s="12">
        <f t="shared" si="504"/>
        <v>525600</v>
      </c>
      <c r="Q884" s="12">
        <f t="shared" si="504"/>
        <v>32460.400000000001</v>
      </c>
      <c r="R884" s="12">
        <f t="shared" si="504"/>
        <v>97381200</v>
      </c>
      <c r="S884" s="12">
        <f t="shared" si="504"/>
        <v>472000</v>
      </c>
      <c r="T884" s="12">
        <f t="shared" si="504"/>
        <v>0</v>
      </c>
      <c r="U884" s="12">
        <f t="shared" si="504"/>
        <v>33700000</v>
      </c>
    </row>
    <row r="885" spans="1:258" ht="21.95" customHeight="1" x14ac:dyDescent="0.25">
      <c r="A885" s="18" t="s">
        <v>1132</v>
      </c>
      <c r="B885" s="25" t="s">
        <v>771</v>
      </c>
      <c r="C885" s="12">
        <f t="shared" si="435"/>
        <v>2895000</v>
      </c>
      <c r="D885" s="20">
        <f t="shared" ref="D885:D948" si="505">SUM(E885:J885)</f>
        <v>0</v>
      </c>
      <c r="E885" s="20">
        <v>0</v>
      </c>
      <c r="F885" s="20">
        <v>0</v>
      </c>
      <c r="G885" s="20">
        <v>0</v>
      </c>
      <c r="H885" s="20">
        <v>0</v>
      </c>
      <c r="I885" s="20">
        <v>0</v>
      </c>
      <c r="J885" s="20">
        <v>0</v>
      </c>
      <c r="K885" s="9">
        <v>0</v>
      </c>
      <c r="L885" s="8">
        <v>0</v>
      </c>
      <c r="M885" s="8">
        <v>490</v>
      </c>
      <c r="N885" s="20">
        <f t="shared" ref="N885" si="506">M885*5500</f>
        <v>2695000</v>
      </c>
      <c r="O885" s="8">
        <v>0</v>
      </c>
      <c r="P885" s="8">
        <v>0</v>
      </c>
      <c r="Q885" s="8">
        <v>0</v>
      </c>
      <c r="R885" s="20">
        <f t="shared" ref="R885:R947" si="507">Q885*3000</f>
        <v>0</v>
      </c>
      <c r="S885" s="8">
        <v>0</v>
      </c>
      <c r="T885" s="8">
        <v>0</v>
      </c>
      <c r="U885" s="8">
        <v>200000</v>
      </c>
      <c r="V885" s="1">
        <f t="shared" ref="V885:V947" si="508">N885/M885</f>
        <v>5500</v>
      </c>
    </row>
    <row r="886" spans="1:258" ht="21.95" customHeight="1" x14ac:dyDescent="0.25">
      <c r="A886" s="18" t="s">
        <v>1133</v>
      </c>
      <c r="B886" s="25" t="s">
        <v>1402</v>
      </c>
      <c r="C886" s="12">
        <f t="shared" si="435"/>
        <v>1940000</v>
      </c>
      <c r="D886" s="20">
        <f t="shared" si="505"/>
        <v>0</v>
      </c>
      <c r="E886" s="20">
        <v>0</v>
      </c>
      <c r="F886" s="20">
        <v>0</v>
      </c>
      <c r="G886" s="20">
        <v>0</v>
      </c>
      <c r="H886" s="20">
        <v>0</v>
      </c>
      <c r="I886" s="20">
        <v>0</v>
      </c>
      <c r="J886" s="20">
        <v>0</v>
      </c>
      <c r="K886" s="9">
        <v>0</v>
      </c>
      <c r="L886" s="8">
        <v>0</v>
      </c>
      <c r="M886" s="8">
        <v>0</v>
      </c>
      <c r="N886" s="8">
        <v>0</v>
      </c>
      <c r="O886" s="8">
        <v>0</v>
      </c>
      <c r="P886" s="8">
        <v>0</v>
      </c>
      <c r="Q886" s="8">
        <v>580</v>
      </c>
      <c r="R886" s="20">
        <f t="shared" si="507"/>
        <v>1740000</v>
      </c>
      <c r="S886" s="8">
        <v>0</v>
      </c>
      <c r="T886" s="8">
        <v>0</v>
      </c>
      <c r="U886" s="8">
        <v>200000</v>
      </c>
      <c r="V886" s="1" t="e">
        <f t="shared" si="508"/>
        <v>#DIV/0!</v>
      </c>
    </row>
    <row r="887" spans="1:258" ht="21.95" customHeight="1" x14ac:dyDescent="0.25">
      <c r="A887" s="18" t="s">
        <v>1134</v>
      </c>
      <c r="B887" s="31" t="s">
        <v>772</v>
      </c>
      <c r="C887" s="12">
        <f t="shared" si="435"/>
        <v>1617350</v>
      </c>
      <c r="D887" s="20">
        <f t="shared" si="505"/>
        <v>0</v>
      </c>
      <c r="E887" s="20">
        <v>0</v>
      </c>
      <c r="F887" s="20">
        <v>0</v>
      </c>
      <c r="G887" s="20">
        <v>0</v>
      </c>
      <c r="H887" s="20">
        <v>0</v>
      </c>
      <c r="I887" s="20">
        <v>0</v>
      </c>
      <c r="J887" s="20">
        <v>0</v>
      </c>
      <c r="K887" s="21">
        <v>0</v>
      </c>
      <c r="L887" s="20">
        <v>0</v>
      </c>
      <c r="M887" s="20">
        <v>257.7</v>
      </c>
      <c r="N887" s="20">
        <f t="shared" ref="N887:N891" si="509">M887*5500</f>
        <v>1417350</v>
      </c>
      <c r="O887" s="20">
        <v>0</v>
      </c>
      <c r="P887" s="20">
        <v>0</v>
      </c>
      <c r="Q887" s="20">
        <v>0</v>
      </c>
      <c r="R887" s="20">
        <f t="shared" si="507"/>
        <v>0</v>
      </c>
      <c r="S887" s="20">
        <v>0</v>
      </c>
      <c r="T887" s="20">
        <v>0</v>
      </c>
      <c r="U887" s="20">
        <v>200000</v>
      </c>
      <c r="V887" s="1">
        <f t="shared" si="508"/>
        <v>5500</v>
      </c>
    </row>
    <row r="888" spans="1:258" ht="21.95" customHeight="1" x14ac:dyDescent="0.25">
      <c r="A888" s="18" t="s">
        <v>1135</v>
      </c>
      <c r="B888" s="31" t="s">
        <v>773</v>
      </c>
      <c r="C888" s="12">
        <f t="shared" ref="C888:C951" si="510">D888+L888+N888+P888+R888+S888+T888+U888</f>
        <v>2519900</v>
      </c>
      <c r="D888" s="20">
        <f t="shared" si="505"/>
        <v>0</v>
      </c>
      <c r="E888" s="20">
        <v>0</v>
      </c>
      <c r="F888" s="20">
        <v>0</v>
      </c>
      <c r="G888" s="20">
        <v>0</v>
      </c>
      <c r="H888" s="20">
        <v>0</v>
      </c>
      <c r="I888" s="20">
        <v>0</v>
      </c>
      <c r="J888" s="20">
        <v>0</v>
      </c>
      <c r="K888" s="21">
        <v>0</v>
      </c>
      <c r="L888" s="20">
        <v>0</v>
      </c>
      <c r="M888" s="20">
        <v>421.8</v>
      </c>
      <c r="N888" s="20">
        <f t="shared" si="509"/>
        <v>2319900</v>
      </c>
      <c r="O888" s="20">
        <v>0</v>
      </c>
      <c r="P888" s="20">
        <v>0</v>
      </c>
      <c r="Q888" s="20">
        <v>0</v>
      </c>
      <c r="R888" s="20">
        <f t="shared" si="507"/>
        <v>0</v>
      </c>
      <c r="S888" s="20">
        <v>0</v>
      </c>
      <c r="T888" s="20">
        <v>0</v>
      </c>
      <c r="U888" s="20">
        <v>200000</v>
      </c>
      <c r="V888" s="1">
        <f t="shared" si="508"/>
        <v>5500</v>
      </c>
    </row>
    <row r="889" spans="1:258" ht="21.95" customHeight="1" x14ac:dyDescent="0.25">
      <c r="A889" s="18" t="s">
        <v>1136</v>
      </c>
      <c r="B889" s="31" t="s">
        <v>774</v>
      </c>
      <c r="C889" s="12">
        <f t="shared" si="510"/>
        <v>1599750</v>
      </c>
      <c r="D889" s="20">
        <f t="shared" si="505"/>
        <v>0</v>
      </c>
      <c r="E889" s="20">
        <v>0</v>
      </c>
      <c r="F889" s="20">
        <v>0</v>
      </c>
      <c r="G889" s="20">
        <v>0</v>
      </c>
      <c r="H889" s="20">
        <v>0</v>
      </c>
      <c r="I889" s="20">
        <v>0</v>
      </c>
      <c r="J889" s="20">
        <v>0</v>
      </c>
      <c r="K889" s="21">
        <v>0</v>
      </c>
      <c r="L889" s="20">
        <v>0</v>
      </c>
      <c r="M889" s="20">
        <v>254.5</v>
      </c>
      <c r="N889" s="20">
        <f t="shared" si="509"/>
        <v>1399750</v>
      </c>
      <c r="O889" s="20">
        <v>0</v>
      </c>
      <c r="P889" s="20">
        <v>0</v>
      </c>
      <c r="Q889" s="20">
        <v>0</v>
      </c>
      <c r="R889" s="20">
        <f t="shared" si="507"/>
        <v>0</v>
      </c>
      <c r="S889" s="20">
        <v>0</v>
      </c>
      <c r="T889" s="20">
        <v>0</v>
      </c>
      <c r="U889" s="20">
        <v>200000</v>
      </c>
      <c r="V889" s="1">
        <f t="shared" si="508"/>
        <v>5500</v>
      </c>
    </row>
    <row r="890" spans="1:258" s="44" customFormat="1" ht="21.95" customHeight="1" x14ac:dyDescent="0.25">
      <c r="A890" s="18" t="s">
        <v>1137</v>
      </c>
      <c r="B890" s="25" t="s">
        <v>775</v>
      </c>
      <c r="C890" s="12">
        <f t="shared" si="510"/>
        <v>2947250</v>
      </c>
      <c r="D890" s="20">
        <f t="shared" si="505"/>
        <v>0</v>
      </c>
      <c r="E890" s="20">
        <v>0</v>
      </c>
      <c r="F890" s="20">
        <v>0</v>
      </c>
      <c r="G890" s="20">
        <v>0</v>
      </c>
      <c r="H890" s="20">
        <v>0</v>
      </c>
      <c r="I890" s="20">
        <v>0</v>
      </c>
      <c r="J890" s="20">
        <v>0</v>
      </c>
      <c r="K890" s="21">
        <v>0</v>
      </c>
      <c r="L890" s="20">
        <v>0</v>
      </c>
      <c r="M890" s="20">
        <v>499.5</v>
      </c>
      <c r="N890" s="20">
        <f t="shared" si="509"/>
        <v>2747250</v>
      </c>
      <c r="O890" s="20">
        <v>0</v>
      </c>
      <c r="P890" s="20">
        <v>0</v>
      </c>
      <c r="Q890" s="20">
        <v>0</v>
      </c>
      <c r="R890" s="20">
        <f t="shared" si="507"/>
        <v>0</v>
      </c>
      <c r="S890" s="20">
        <v>0</v>
      </c>
      <c r="T890" s="20">
        <v>0</v>
      </c>
      <c r="U890" s="20">
        <v>200000</v>
      </c>
      <c r="V890" s="1">
        <f t="shared" si="508"/>
        <v>5500</v>
      </c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  <c r="FE890" s="2"/>
      <c r="FF890" s="2"/>
      <c r="FG890" s="2"/>
      <c r="FH890" s="2"/>
      <c r="FI890" s="2"/>
      <c r="FJ890" s="2"/>
      <c r="FK890" s="2"/>
      <c r="FL890" s="2"/>
      <c r="FM890" s="2"/>
      <c r="FN890" s="2"/>
      <c r="FO890" s="2"/>
      <c r="FP890" s="2"/>
      <c r="FQ890" s="2"/>
      <c r="FR890" s="2"/>
      <c r="FS890" s="2"/>
      <c r="FT890" s="2"/>
      <c r="FU890" s="2"/>
      <c r="FV890" s="2"/>
      <c r="FW890" s="2"/>
      <c r="FX890" s="2"/>
      <c r="FY890" s="2"/>
      <c r="FZ890" s="2"/>
      <c r="GA890" s="2"/>
      <c r="GB890" s="2"/>
      <c r="GC890" s="2"/>
      <c r="GD890" s="2"/>
      <c r="GE890" s="2"/>
      <c r="GF890" s="2"/>
      <c r="GG890" s="2"/>
      <c r="GH890" s="2"/>
      <c r="GI890" s="2"/>
      <c r="GJ890" s="2"/>
      <c r="GK890" s="2"/>
      <c r="GL890" s="2"/>
      <c r="GM890" s="2"/>
      <c r="GN890" s="2"/>
      <c r="GO890" s="2"/>
      <c r="GP890" s="2"/>
      <c r="GQ890" s="2"/>
      <c r="GR890" s="2"/>
      <c r="GS890" s="2"/>
      <c r="GT890" s="2"/>
      <c r="GU890" s="2"/>
      <c r="GV890" s="2"/>
      <c r="GW890" s="2"/>
      <c r="GX890" s="2"/>
      <c r="GY890" s="2"/>
      <c r="GZ890" s="2"/>
      <c r="HA890" s="2"/>
      <c r="HB890" s="2"/>
      <c r="HC890" s="2"/>
      <c r="HD890" s="2"/>
      <c r="HE890" s="2"/>
      <c r="HF890" s="2"/>
      <c r="HG890" s="2"/>
      <c r="HH890" s="2"/>
      <c r="HI890" s="2"/>
      <c r="HJ890" s="2"/>
      <c r="HK890" s="2"/>
      <c r="HL890" s="2"/>
      <c r="HM890" s="2"/>
      <c r="HN890" s="2"/>
      <c r="HO890" s="2"/>
      <c r="HP890" s="2"/>
      <c r="HQ890" s="2"/>
      <c r="HR890" s="2"/>
      <c r="HS890" s="2"/>
      <c r="HT890" s="2"/>
      <c r="HU890" s="2"/>
      <c r="HV890" s="2"/>
      <c r="HW890" s="2"/>
      <c r="HX890" s="2"/>
      <c r="HY890" s="2"/>
      <c r="HZ890" s="2"/>
      <c r="IA890" s="2"/>
      <c r="IB890" s="2"/>
      <c r="IC890" s="2"/>
      <c r="ID890" s="2"/>
      <c r="IE890" s="2"/>
      <c r="IF890" s="2"/>
      <c r="IG890" s="2"/>
      <c r="IH890" s="2"/>
      <c r="II890" s="2"/>
      <c r="IJ890" s="2"/>
      <c r="IK890" s="2"/>
      <c r="IL890" s="2"/>
      <c r="IM890" s="2"/>
      <c r="IN890" s="2"/>
      <c r="IO890" s="2"/>
      <c r="IP890" s="2"/>
      <c r="IQ890" s="2"/>
      <c r="IR890" s="2"/>
      <c r="IS890" s="2"/>
      <c r="IT890" s="2"/>
      <c r="IU890" s="2"/>
      <c r="IV890" s="2"/>
      <c r="IW890" s="2"/>
      <c r="IX890" s="2"/>
    </row>
    <row r="891" spans="1:258" s="17" customFormat="1" ht="21.95" customHeight="1" x14ac:dyDescent="0.25">
      <c r="A891" s="18" t="s">
        <v>1138</v>
      </c>
      <c r="B891" s="25" t="s">
        <v>683</v>
      </c>
      <c r="C891" s="12">
        <f t="shared" si="510"/>
        <v>1699300.0000000002</v>
      </c>
      <c r="D891" s="20">
        <f t="shared" si="505"/>
        <v>0</v>
      </c>
      <c r="E891" s="20">
        <v>0</v>
      </c>
      <c r="F891" s="20">
        <v>0</v>
      </c>
      <c r="G891" s="20">
        <v>0</v>
      </c>
      <c r="H891" s="20">
        <v>0</v>
      </c>
      <c r="I891" s="20">
        <v>0</v>
      </c>
      <c r="J891" s="20">
        <v>0</v>
      </c>
      <c r="K891" s="21">
        <v>0</v>
      </c>
      <c r="L891" s="20">
        <v>0</v>
      </c>
      <c r="M891" s="20">
        <v>272.60000000000002</v>
      </c>
      <c r="N891" s="20">
        <f t="shared" si="509"/>
        <v>1499300.0000000002</v>
      </c>
      <c r="O891" s="20">
        <v>0</v>
      </c>
      <c r="P891" s="20">
        <v>0</v>
      </c>
      <c r="Q891" s="20">
        <v>0</v>
      </c>
      <c r="R891" s="20">
        <f t="shared" si="507"/>
        <v>0</v>
      </c>
      <c r="S891" s="20">
        <v>0</v>
      </c>
      <c r="T891" s="20">
        <v>0</v>
      </c>
      <c r="U891" s="20">
        <v>200000</v>
      </c>
      <c r="V891" s="1">
        <f t="shared" si="508"/>
        <v>5500</v>
      </c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  <c r="FE891" s="2"/>
      <c r="FF891" s="2"/>
      <c r="FG891" s="2"/>
      <c r="FH891" s="2"/>
      <c r="FI891" s="2"/>
      <c r="FJ891" s="2"/>
      <c r="FK891" s="2"/>
      <c r="FL891" s="2"/>
      <c r="FM891" s="2"/>
      <c r="FN891" s="2"/>
      <c r="FO891" s="2"/>
      <c r="FP891" s="2"/>
      <c r="FQ891" s="2"/>
      <c r="FR891" s="2"/>
      <c r="FS891" s="2"/>
      <c r="FT891" s="2"/>
      <c r="FU891" s="2"/>
      <c r="FV891" s="2"/>
      <c r="FW891" s="2"/>
      <c r="FX891" s="2"/>
      <c r="FY891" s="2"/>
      <c r="FZ891" s="2"/>
      <c r="GA891" s="2"/>
      <c r="GB891" s="2"/>
      <c r="GC891" s="2"/>
      <c r="GD891" s="2"/>
      <c r="GE891" s="2"/>
      <c r="GF891" s="2"/>
      <c r="GG891" s="2"/>
      <c r="GH891" s="2"/>
      <c r="GI891" s="2"/>
      <c r="GJ891" s="2"/>
      <c r="GK891" s="2"/>
      <c r="GL891" s="2"/>
      <c r="GM891" s="2"/>
      <c r="GN891" s="2"/>
      <c r="GO891" s="2"/>
      <c r="GP891" s="2"/>
      <c r="GQ891" s="2"/>
      <c r="GR891" s="2"/>
      <c r="GS891" s="2"/>
      <c r="GT891" s="2"/>
      <c r="GU891" s="2"/>
      <c r="GV891" s="2"/>
      <c r="GW891" s="2"/>
      <c r="GX891" s="2"/>
      <c r="GY891" s="2"/>
      <c r="GZ891" s="2"/>
      <c r="HA891" s="2"/>
      <c r="HB891" s="2"/>
      <c r="HC891" s="2"/>
      <c r="HD891" s="2"/>
      <c r="HE891" s="2"/>
      <c r="HF891" s="2"/>
      <c r="HG891" s="2"/>
      <c r="HH891" s="2"/>
      <c r="HI891" s="2"/>
      <c r="HJ891" s="2"/>
      <c r="HK891" s="2"/>
      <c r="HL891" s="2"/>
      <c r="HM891" s="2"/>
      <c r="HN891" s="2"/>
      <c r="HO891" s="2"/>
      <c r="HP891" s="2"/>
      <c r="HQ891" s="2"/>
      <c r="HR891" s="2"/>
      <c r="HS891" s="2"/>
      <c r="HT891" s="2"/>
      <c r="HU891" s="2"/>
      <c r="HV891" s="2"/>
      <c r="HW891" s="2"/>
      <c r="HX891" s="2"/>
      <c r="HY891" s="2"/>
      <c r="HZ891" s="2"/>
      <c r="IA891" s="2"/>
      <c r="IB891" s="2"/>
      <c r="IC891" s="2"/>
      <c r="ID891" s="2"/>
      <c r="IE891" s="2"/>
      <c r="IF891" s="2"/>
      <c r="IG891" s="2"/>
      <c r="IH891" s="2"/>
      <c r="II891" s="2"/>
      <c r="IJ891" s="2"/>
      <c r="IK891" s="2"/>
      <c r="IL891" s="2"/>
      <c r="IM891" s="2"/>
      <c r="IN891" s="2"/>
      <c r="IO891" s="2"/>
      <c r="IP891" s="2"/>
      <c r="IQ891" s="2"/>
      <c r="IR891" s="2"/>
      <c r="IS891" s="2"/>
      <c r="IT891" s="2"/>
      <c r="IU891" s="2"/>
      <c r="IV891" s="2"/>
      <c r="IW891" s="2"/>
      <c r="IX891" s="2"/>
    </row>
    <row r="892" spans="1:258" ht="21.95" customHeight="1" x14ac:dyDescent="0.25">
      <c r="A892" s="18" t="s">
        <v>1139</v>
      </c>
      <c r="B892" s="25" t="s">
        <v>776</v>
      </c>
      <c r="C892" s="12">
        <f t="shared" si="510"/>
        <v>10693757</v>
      </c>
      <c r="D892" s="20">
        <f t="shared" si="505"/>
        <v>4679757.0000000009</v>
      </c>
      <c r="E892" s="20">
        <f>350*2463.03</f>
        <v>862060.50000000012</v>
      </c>
      <c r="F892" s="20">
        <f>800*2463.03</f>
        <v>1970424.0000000002</v>
      </c>
      <c r="G892" s="20">
        <f>350*2463.03</f>
        <v>862060.50000000012</v>
      </c>
      <c r="H892" s="20">
        <f>500*0</f>
        <v>0</v>
      </c>
      <c r="I892" s="20">
        <f>400*2463.03</f>
        <v>985212.00000000012</v>
      </c>
      <c r="J892" s="20">
        <v>0</v>
      </c>
      <c r="K892" s="21">
        <v>0</v>
      </c>
      <c r="L892" s="20">
        <v>0</v>
      </c>
      <c r="M892" s="20">
        <v>0</v>
      </c>
      <c r="N892" s="20">
        <v>0</v>
      </c>
      <c r="O892" s="20">
        <v>0</v>
      </c>
      <c r="P892" s="20">
        <v>0</v>
      </c>
      <c r="Q892" s="20">
        <v>1938</v>
      </c>
      <c r="R892" s="20">
        <f t="shared" si="507"/>
        <v>5814000</v>
      </c>
      <c r="S892" s="20">
        <v>0</v>
      </c>
      <c r="T892" s="20">
        <v>0</v>
      </c>
      <c r="U892" s="20">
        <v>200000</v>
      </c>
      <c r="V892" s="1" t="e">
        <f t="shared" si="508"/>
        <v>#DIV/0!</v>
      </c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  <c r="BE892" s="17"/>
      <c r="BF892" s="17"/>
      <c r="BG892" s="17"/>
      <c r="BH892" s="17"/>
      <c r="BI892" s="17"/>
      <c r="BJ892" s="17"/>
      <c r="BK892" s="17"/>
      <c r="BL892" s="17"/>
      <c r="BM892" s="17"/>
      <c r="BN892" s="17"/>
      <c r="BO892" s="17"/>
      <c r="BP892" s="17"/>
      <c r="BQ892" s="17"/>
      <c r="BR892" s="17"/>
      <c r="BS892" s="17"/>
      <c r="BT892" s="17"/>
      <c r="BU892" s="17"/>
      <c r="BV892" s="17"/>
      <c r="BW892" s="17"/>
      <c r="BX892" s="17"/>
      <c r="BY892" s="17"/>
      <c r="BZ892" s="17"/>
      <c r="CA892" s="17"/>
      <c r="CB892" s="17"/>
      <c r="CC892" s="17"/>
      <c r="CD892" s="17"/>
      <c r="CE892" s="17"/>
      <c r="CF892" s="17"/>
      <c r="CG892" s="17"/>
      <c r="CH892" s="17"/>
      <c r="CI892" s="17"/>
      <c r="CJ892" s="17"/>
      <c r="CK892" s="17"/>
      <c r="CL892" s="17"/>
      <c r="CM892" s="17"/>
      <c r="CN892" s="17"/>
      <c r="CO892" s="17"/>
      <c r="CP892" s="17"/>
      <c r="CQ892" s="17"/>
      <c r="CR892" s="17"/>
      <c r="CS892" s="17"/>
      <c r="CT892" s="17"/>
      <c r="CU892" s="17"/>
      <c r="CV892" s="17"/>
      <c r="CW892" s="17"/>
      <c r="CX892" s="17"/>
      <c r="CY892" s="17"/>
      <c r="CZ892" s="17"/>
      <c r="DA892" s="17"/>
      <c r="DB892" s="17"/>
      <c r="DC892" s="17"/>
      <c r="DD892" s="17"/>
      <c r="DE892" s="17"/>
      <c r="DF892" s="17"/>
      <c r="DG892" s="17"/>
      <c r="DH892" s="17"/>
      <c r="DI892" s="17"/>
      <c r="DJ892" s="17"/>
      <c r="DK892" s="17"/>
      <c r="DL892" s="17"/>
      <c r="DM892" s="17"/>
      <c r="DN892" s="17"/>
      <c r="DO892" s="17"/>
      <c r="DP892" s="17"/>
      <c r="DQ892" s="17"/>
      <c r="DR892" s="17"/>
      <c r="DS892" s="17"/>
      <c r="DT892" s="17"/>
      <c r="DU892" s="17"/>
      <c r="DV892" s="17"/>
      <c r="DW892" s="17"/>
      <c r="DX892" s="17"/>
      <c r="DY892" s="17"/>
      <c r="DZ892" s="17"/>
      <c r="EA892" s="17"/>
      <c r="EB892" s="17"/>
      <c r="EC892" s="17"/>
      <c r="ED892" s="17"/>
      <c r="EE892" s="17"/>
      <c r="EF892" s="17"/>
      <c r="EG892" s="17"/>
      <c r="EH892" s="17"/>
      <c r="EI892" s="17"/>
      <c r="EJ892" s="17"/>
      <c r="EK892" s="17"/>
      <c r="EL892" s="17"/>
      <c r="EM892" s="17"/>
      <c r="EN892" s="17"/>
      <c r="EO892" s="17"/>
      <c r="EP892" s="17"/>
      <c r="EQ892" s="17"/>
      <c r="ER892" s="17"/>
      <c r="ES892" s="17"/>
      <c r="ET892" s="17"/>
      <c r="EU892" s="17"/>
      <c r="EV892" s="17"/>
      <c r="EW892" s="17"/>
      <c r="EX892" s="17"/>
      <c r="EY892" s="17"/>
      <c r="EZ892" s="17"/>
      <c r="FA892" s="17"/>
      <c r="FB892" s="17"/>
      <c r="FC892" s="17"/>
      <c r="FD892" s="17"/>
      <c r="FE892" s="17"/>
      <c r="FF892" s="17"/>
      <c r="FG892" s="17"/>
      <c r="FH892" s="17"/>
      <c r="FI892" s="17"/>
      <c r="FJ892" s="17"/>
      <c r="FK892" s="17"/>
      <c r="FL892" s="17"/>
      <c r="FM892" s="17"/>
      <c r="FN892" s="17"/>
      <c r="FO892" s="17"/>
      <c r="FP892" s="17"/>
      <c r="FQ892" s="17"/>
      <c r="FR892" s="17"/>
      <c r="FS892" s="17"/>
      <c r="FT892" s="17"/>
      <c r="FU892" s="17"/>
      <c r="FV892" s="17"/>
      <c r="FW892" s="17"/>
      <c r="FX892" s="17"/>
      <c r="FY892" s="17"/>
      <c r="FZ892" s="17"/>
      <c r="GA892" s="17"/>
      <c r="GB892" s="17"/>
      <c r="GC892" s="17"/>
      <c r="GD892" s="17"/>
      <c r="GE892" s="17"/>
      <c r="GF892" s="17"/>
      <c r="GG892" s="17"/>
      <c r="GH892" s="17"/>
      <c r="GI892" s="17"/>
      <c r="GJ892" s="17"/>
      <c r="GK892" s="17"/>
      <c r="GL892" s="17"/>
      <c r="GM892" s="17"/>
      <c r="GN892" s="17"/>
      <c r="GO892" s="17"/>
      <c r="GP892" s="17"/>
      <c r="GQ892" s="17"/>
      <c r="GR892" s="17"/>
      <c r="GS892" s="17"/>
      <c r="GT892" s="17"/>
      <c r="GU892" s="17"/>
      <c r="GV892" s="17"/>
      <c r="GW892" s="17"/>
      <c r="GX892" s="17"/>
      <c r="GY892" s="17"/>
      <c r="GZ892" s="17"/>
      <c r="HA892" s="17"/>
      <c r="HB892" s="17"/>
      <c r="HC892" s="17"/>
      <c r="HD892" s="17"/>
      <c r="HE892" s="17"/>
      <c r="HF892" s="17"/>
      <c r="HG892" s="17"/>
      <c r="HH892" s="17"/>
      <c r="HI892" s="17"/>
      <c r="HJ892" s="17"/>
      <c r="HK892" s="17"/>
      <c r="HL892" s="17"/>
      <c r="HM892" s="17"/>
      <c r="HN892" s="17"/>
      <c r="HO892" s="17"/>
      <c r="HP892" s="17"/>
      <c r="HQ892" s="17"/>
      <c r="HR892" s="17"/>
      <c r="HS892" s="17"/>
      <c r="HT892" s="17"/>
      <c r="HU892" s="17"/>
      <c r="HV892" s="17"/>
      <c r="HW892" s="17"/>
      <c r="HX892" s="17"/>
      <c r="HY892" s="17"/>
      <c r="HZ892" s="17"/>
      <c r="IA892" s="17"/>
      <c r="IB892" s="17"/>
      <c r="IC892" s="17"/>
      <c r="ID892" s="17"/>
      <c r="IE892" s="17"/>
      <c r="IF892" s="17"/>
      <c r="IG892" s="17"/>
      <c r="IH892" s="17"/>
      <c r="II892" s="17"/>
      <c r="IJ892" s="17"/>
      <c r="IK892" s="17"/>
      <c r="IL892" s="17"/>
      <c r="IM892" s="17"/>
      <c r="IN892" s="17"/>
      <c r="IO892" s="17"/>
      <c r="IP892" s="17"/>
      <c r="IQ892" s="17"/>
      <c r="IR892" s="17"/>
      <c r="IS892" s="17"/>
      <c r="IT892" s="17"/>
      <c r="IU892" s="17"/>
      <c r="IV892" s="17"/>
      <c r="IW892" s="17"/>
      <c r="IX892" s="17"/>
    </row>
    <row r="893" spans="1:258" ht="21.95" customHeight="1" x14ac:dyDescent="0.25">
      <c r="A893" s="18" t="s">
        <v>1140</v>
      </c>
      <c r="B893" s="25" t="s">
        <v>777</v>
      </c>
      <c r="C893" s="12">
        <f t="shared" si="510"/>
        <v>4980050</v>
      </c>
      <c r="D893" s="20">
        <f t="shared" si="505"/>
        <v>0</v>
      </c>
      <c r="E893" s="20">
        <v>0</v>
      </c>
      <c r="F893" s="20">
        <v>0</v>
      </c>
      <c r="G893" s="20">
        <v>0</v>
      </c>
      <c r="H893" s="20">
        <v>0</v>
      </c>
      <c r="I893" s="20">
        <v>0</v>
      </c>
      <c r="J893" s="20">
        <v>0</v>
      </c>
      <c r="K893" s="21">
        <v>0</v>
      </c>
      <c r="L893" s="20">
        <v>0</v>
      </c>
      <c r="M893" s="20">
        <v>869.1</v>
      </c>
      <c r="N893" s="20">
        <f t="shared" ref="N893:N896" si="511">M893*5500</f>
        <v>4780050</v>
      </c>
      <c r="O893" s="20">
        <v>0</v>
      </c>
      <c r="P893" s="20">
        <v>0</v>
      </c>
      <c r="Q893" s="20">
        <v>0</v>
      </c>
      <c r="R893" s="20">
        <f t="shared" si="507"/>
        <v>0</v>
      </c>
      <c r="S893" s="20">
        <v>0</v>
      </c>
      <c r="T893" s="20">
        <v>0</v>
      </c>
      <c r="U893" s="20">
        <v>200000</v>
      </c>
      <c r="V893" s="1">
        <f t="shared" si="508"/>
        <v>5500</v>
      </c>
    </row>
    <row r="894" spans="1:258" ht="21.95" customHeight="1" x14ac:dyDescent="0.25">
      <c r="A894" s="18" t="s">
        <v>1141</v>
      </c>
      <c r="B894" s="25" t="s">
        <v>778</v>
      </c>
      <c r="C894" s="12">
        <f t="shared" si="510"/>
        <v>5062000</v>
      </c>
      <c r="D894" s="20">
        <f t="shared" si="505"/>
        <v>0</v>
      </c>
      <c r="E894" s="20">
        <v>0</v>
      </c>
      <c r="F894" s="20">
        <v>0</v>
      </c>
      <c r="G894" s="20">
        <v>0</v>
      </c>
      <c r="H894" s="20">
        <v>0</v>
      </c>
      <c r="I894" s="20">
        <v>0</v>
      </c>
      <c r="J894" s="20">
        <v>0</v>
      </c>
      <c r="K894" s="9">
        <v>0</v>
      </c>
      <c r="L894" s="8">
        <v>0</v>
      </c>
      <c r="M894" s="8">
        <v>884</v>
      </c>
      <c r="N894" s="20">
        <f t="shared" si="511"/>
        <v>4862000</v>
      </c>
      <c r="O894" s="8">
        <v>0</v>
      </c>
      <c r="P894" s="8">
        <v>0</v>
      </c>
      <c r="Q894" s="8">
        <v>0</v>
      </c>
      <c r="R894" s="20">
        <f t="shared" si="507"/>
        <v>0</v>
      </c>
      <c r="S894" s="8">
        <v>0</v>
      </c>
      <c r="T894" s="8">
        <v>0</v>
      </c>
      <c r="U894" s="8">
        <v>200000</v>
      </c>
      <c r="V894" s="1">
        <f t="shared" si="508"/>
        <v>5500</v>
      </c>
    </row>
    <row r="895" spans="1:258" ht="21.95" customHeight="1" x14ac:dyDescent="0.25">
      <c r="A895" s="18" t="s">
        <v>1142</v>
      </c>
      <c r="B895" s="25" t="s">
        <v>684</v>
      </c>
      <c r="C895" s="12">
        <f t="shared" si="510"/>
        <v>3271200</v>
      </c>
      <c r="D895" s="20">
        <f t="shared" si="505"/>
        <v>0</v>
      </c>
      <c r="E895" s="20">
        <v>0</v>
      </c>
      <c r="F895" s="20">
        <v>0</v>
      </c>
      <c r="G895" s="20">
        <v>0</v>
      </c>
      <c r="H895" s="20">
        <v>0</v>
      </c>
      <c r="I895" s="20">
        <v>0</v>
      </c>
      <c r="J895" s="20">
        <v>0</v>
      </c>
      <c r="K895" s="21">
        <v>0</v>
      </c>
      <c r="L895" s="20">
        <v>0</v>
      </c>
      <c r="M895" s="20">
        <v>558.4</v>
      </c>
      <c r="N895" s="20">
        <f t="shared" si="511"/>
        <v>3071200</v>
      </c>
      <c r="O895" s="20">
        <v>0</v>
      </c>
      <c r="P895" s="20">
        <v>0</v>
      </c>
      <c r="Q895" s="20">
        <v>0</v>
      </c>
      <c r="R895" s="20">
        <f t="shared" si="507"/>
        <v>0</v>
      </c>
      <c r="S895" s="20">
        <v>0</v>
      </c>
      <c r="T895" s="8">
        <v>0</v>
      </c>
      <c r="U895" s="8">
        <v>200000</v>
      </c>
      <c r="V895" s="1">
        <f t="shared" si="508"/>
        <v>5500</v>
      </c>
    </row>
    <row r="896" spans="1:258" ht="21.95" customHeight="1" x14ac:dyDescent="0.25">
      <c r="A896" s="18" t="s">
        <v>1143</v>
      </c>
      <c r="B896" s="25" t="s">
        <v>779</v>
      </c>
      <c r="C896" s="12">
        <f t="shared" si="510"/>
        <v>3326695</v>
      </c>
      <c r="D896" s="20">
        <f t="shared" si="505"/>
        <v>0</v>
      </c>
      <c r="E896" s="20">
        <v>0</v>
      </c>
      <c r="F896" s="20">
        <v>0</v>
      </c>
      <c r="G896" s="20">
        <v>0</v>
      </c>
      <c r="H896" s="20">
        <v>0</v>
      </c>
      <c r="I896" s="20">
        <v>0</v>
      </c>
      <c r="J896" s="20">
        <v>0</v>
      </c>
      <c r="K896" s="21">
        <v>0</v>
      </c>
      <c r="L896" s="20">
        <v>0</v>
      </c>
      <c r="M896" s="20">
        <v>568.49</v>
      </c>
      <c r="N896" s="20">
        <f t="shared" si="511"/>
        <v>3126695</v>
      </c>
      <c r="O896" s="20">
        <v>0</v>
      </c>
      <c r="P896" s="20">
        <v>0</v>
      </c>
      <c r="Q896" s="20">
        <v>0</v>
      </c>
      <c r="R896" s="20">
        <f t="shared" si="507"/>
        <v>0</v>
      </c>
      <c r="S896" s="20">
        <v>0</v>
      </c>
      <c r="T896" s="8">
        <v>0</v>
      </c>
      <c r="U896" s="8">
        <v>200000</v>
      </c>
      <c r="V896" s="1">
        <f t="shared" si="508"/>
        <v>5500</v>
      </c>
    </row>
    <row r="897" spans="1:258" ht="21.95" customHeight="1" x14ac:dyDescent="0.25">
      <c r="A897" s="18" t="s">
        <v>1614</v>
      </c>
      <c r="B897" s="25" t="s">
        <v>685</v>
      </c>
      <c r="C897" s="12">
        <f t="shared" si="510"/>
        <v>1380080</v>
      </c>
      <c r="D897" s="20">
        <f t="shared" si="505"/>
        <v>0</v>
      </c>
      <c r="E897" s="20">
        <v>0</v>
      </c>
      <c r="F897" s="20">
        <v>0</v>
      </c>
      <c r="G897" s="20">
        <v>0</v>
      </c>
      <c r="H897" s="20">
        <v>0</v>
      </c>
      <c r="I897" s="20">
        <v>0</v>
      </c>
      <c r="J897" s="20">
        <v>0</v>
      </c>
      <c r="K897" s="9">
        <v>0</v>
      </c>
      <c r="L897" s="8">
        <v>0</v>
      </c>
      <c r="M897" s="20">
        <v>214.56</v>
      </c>
      <c r="N897" s="20">
        <f t="shared" ref="N897:N907" si="512">M897*5500</f>
        <v>1180080</v>
      </c>
      <c r="O897" s="20">
        <v>0</v>
      </c>
      <c r="P897" s="20">
        <v>0</v>
      </c>
      <c r="Q897" s="20">
        <v>0</v>
      </c>
      <c r="R897" s="20">
        <f t="shared" si="507"/>
        <v>0</v>
      </c>
      <c r="S897" s="20">
        <v>0</v>
      </c>
      <c r="T897" s="8">
        <v>0</v>
      </c>
      <c r="U897" s="8">
        <v>200000</v>
      </c>
      <c r="V897" s="1">
        <f t="shared" si="508"/>
        <v>5500</v>
      </c>
    </row>
    <row r="898" spans="1:258" ht="21.95" customHeight="1" x14ac:dyDescent="0.25">
      <c r="A898" s="18" t="s">
        <v>1144</v>
      </c>
      <c r="B898" s="25" t="s">
        <v>780</v>
      </c>
      <c r="C898" s="12">
        <f t="shared" si="510"/>
        <v>1619550.0000000002</v>
      </c>
      <c r="D898" s="20">
        <f t="shared" si="505"/>
        <v>0</v>
      </c>
      <c r="E898" s="20">
        <v>0</v>
      </c>
      <c r="F898" s="20">
        <v>0</v>
      </c>
      <c r="G898" s="20">
        <v>0</v>
      </c>
      <c r="H898" s="20">
        <v>0</v>
      </c>
      <c r="I898" s="20">
        <v>0</v>
      </c>
      <c r="J898" s="20">
        <v>0</v>
      </c>
      <c r="K898" s="9">
        <v>0</v>
      </c>
      <c r="L898" s="8">
        <v>0</v>
      </c>
      <c r="M898" s="8">
        <v>258.10000000000002</v>
      </c>
      <c r="N898" s="20">
        <f t="shared" si="512"/>
        <v>1419550.0000000002</v>
      </c>
      <c r="O898" s="8">
        <v>0</v>
      </c>
      <c r="P898" s="8">
        <v>0</v>
      </c>
      <c r="Q898" s="8">
        <v>0</v>
      </c>
      <c r="R898" s="20">
        <f t="shared" si="507"/>
        <v>0</v>
      </c>
      <c r="S898" s="8">
        <v>0</v>
      </c>
      <c r="T898" s="8">
        <v>0</v>
      </c>
      <c r="U898" s="8">
        <v>200000</v>
      </c>
      <c r="V898" s="1">
        <f t="shared" si="508"/>
        <v>5500</v>
      </c>
    </row>
    <row r="899" spans="1:258" ht="21.95" customHeight="1" x14ac:dyDescent="0.25">
      <c r="A899" s="18" t="s">
        <v>1145</v>
      </c>
      <c r="B899" s="25" t="s">
        <v>686</v>
      </c>
      <c r="C899" s="12">
        <f t="shared" si="510"/>
        <v>3258000</v>
      </c>
      <c r="D899" s="20">
        <f t="shared" si="505"/>
        <v>0</v>
      </c>
      <c r="E899" s="20">
        <v>0</v>
      </c>
      <c r="F899" s="20">
        <v>0</v>
      </c>
      <c r="G899" s="20">
        <v>0</v>
      </c>
      <c r="H899" s="20">
        <v>0</v>
      </c>
      <c r="I899" s="20">
        <v>0</v>
      </c>
      <c r="J899" s="20">
        <v>0</v>
      </c>
      <c r="K899" s="9">
        <v>0</v>
      </c>
      <c r="L899" s="8">
        <v>0</v>
      </c>
      <c r="M899" s="20">
        <v>556</v>
      </c>
      <c r="N899" s="20">
        <f t="shared" si="512"/>
        <v>3058000</v>
      </c>
      <c r="O899" s="8">
        <v>0</v>
      </c>
      <c r="P899" s="8">
        <v>0</v>
      </c>
      <c r="Q899" s="8">
        <v>0</v>
      </c>
      <c r="R899" s="20">
        <f t="shared" si="507"/>
        <v>0</v>
      </c>
      <c r="S899" s="8">
        <v>0</v>
      </c>
      <c r="T899" s="8">
        <v>0</v>
      </c>
      <c r="U899" s="8">
        <v>200000</v>
      </c>
      <c r="V899" s="1">
        <f t="shared" si="508"/>
        <v>5500</v>
      </c>
    </row>
    <row r="900" spans="1:258" ht="21.95" customHeight="1" x14ac:dyDescent="0.25">
      <c r="A900" s="18" t="s">
        <v>1146</v>
      </c>
      <c r="B900" s="25" t="s">
        <v>1228</v>
      </c>
      <c r="C900" s="12">
        <f t="shared" si="510"/>
        <v>3150000</v>
      </c>
      <c r="D900" s="20">
        <f t="shared" si="505"/>
        <v>0</v>
      </c>
      <c r="E900" s="20">
        <v>0</v>
      </c>
      <c r="F900" s="20">
        <v>0</v>
      </c>
      <c r="G900" s="20">
        <v>0</v>
      </c>
      <c r="H900" s="20">
        <v>0</v>
      </c>
      <c r="I900" s="20">
        <v>0</v>
      </c>
      <c r="J900" s="20">
        <v>0</v>
      </c>
      <c r="K900" s="9">
        <v>0</v>
      </c>
      <c r="L900" s="8">
        <v>0</v>
      </c>
      <c r="M900" s="20">
        <v>300</v>
      </c>
      <c r="N900" s="20">
        <f t="shared" si="512"/>
        <v>1650000</v>
      </c>
      <c r="O900" s="8">
        <v>0</v>
      </c>
      <c r="P900" s="8">
        <v>0</v>
      </c>
      <c r="Q900" s="8">
        <v>400</v>
      </c>
      <c r="R900" s="20">
        <f t="shared" si="507"/>
        <v>1200000</v>
      </c>
      <c r="S900" s="8">
        <v>0</v>
      </c>
      <c r="T900" s="8">
        <v>0</v>
      </c>
      <c r="U900" s="8">
        <v>300000</v>
      </c>
      <c r="V900" s="1">
        <f t="shared" si="508"/>
        <v>5500</v>
      </c>
    </row>
    <row r="901" spans="1:258" ht="21.95" customHeight="1" x14ac:dyDescent="0.25">
      <c r="A901" s="18" t="s">
        <v>1147</v>
      </c>
      <c r="B901" s="25" t="s">
        <v>781</v>
      </c>
      <c r="C901" s="12">
        <f t="shared" si="510"/>
        <v>3819000</v>
      </c>
      <c r="D901" s="20">
        <f t="shared" si="505"/>
        <v>0</v>
      </c>
      <c r="E901" s="20">
        <v>0</v>
      </c>
      <c r="F901" s="20">
        <v>0</v>
      </c>
      <c r="G901" s="20">
        <v>0</v>
      </c>
      <c r="H901" s="20">
        <v>0</v>
      </c>
      <c r="I901" s="20">
        <v>0</v>
      </c>
      <c r="J901" s="20">
        <v>0</v>
      </c>
      <c r="K901" s="21">
        <v>0</v>
      </c>
      <c r="L901" s="20">
        <v>0</v>
      </c>
      <c r="M901" s="20">
        <v>658</v>
      </c>
      <c r="N901" s="20">
        <f t="shared" si="512"/>
        <v>3619000</v>
      </c>
      <c r="O901" s="8">
        <v>0</v>
      </c>
      <c r="P901" s="8">
        <v>0</v>
      </c>
      <c r="Q901" s="8">
        <v>0</v>
      </c>
      <c r="R901" s="20">
        <f t="shared" si="507"/>
        <v>0</v>
      </c>
      <c r="S901" s="8">
        <v>0</v>
      </c>
      <c r="T901" s="8">
        <v>0</v>
      </c>
      <c r="U901" s="8">
        <v>200000</v>
      </c>
      <c r="V901" s="1">
        <f t="shared" si="508"/>
        <v>5500</v>
      </c>
    </row>
    <row r="902" spans="1:258" ht="21.95" customHeight="1" x14ac:dyDescent="0.25">
      <c r="A902" s="18" t="s">
        <v>1148</v>
      </c>
      <c r="B902" s="25" t="s">
        <v>782</v>
      </c>
      <c r="C902" s="12">
        <f t="shared" si="510"/>
        <v>3736500</v>
      </c>
      <c r="D902" s="20">
        <f t="shared" si="505"/>
        <v>0</v>
      </c>
      <c r="E902" s="20">
        <v>0</v>
      </c>
      <c r="F902" s="20">
        <v>0</v>
      </c>
      <c r="G902" s="20">
        <v>0</v>
      </c>
      <c r="H902" s="20">
        <v>0</v>
      </c>
      <c r="I902" s="20">
        <v>0</v>
      </c>
      <c r="J902" s="20">
        <v>0</v>
      </c>
      <c r="K902" s="21">
        <v>0</v>
      </c>
      <c r="L902" s="20">
        <v>0</v>
      </c>
      <c r="M902" s="8">
        <v>643</v>
      </c>
      <c r="N902" s="20">
        <f t="shared" si="512"/>
        <v>3536500</v>
      </c>
      <c r="O902" s="8">
        <v>0</v>
      </c>
      <c r="P902" s="8">
        <v>0</v>
      </c>
      <c r="Q902" s="8">
        <v>0</v>
      </c>
      <c r="R902" s="20">
        <f t="shared" si="507"/>
        <v>0</v>
      </c>
      <c r="S902" s="8">
        <v>0</v>
      </c>
      <c r="T902" s="8">
        <v>0</v>
      </c>
      <c r="U902" s="8">
        <v>200000</v>
      </c>
      <c r="V902" s="1">
        <f t="shared" si="508"/>
        <v>5500</v>
      </c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  <c r="AX902" s="17"/>
      <c r="AY902" s="17"/>
      <c r="AZ902" s="17"/>
      <c r="BA902" s="17"/>
      <c r="BB902" s="17"/>
      <c r="BC902" s="17"/>
      <c r="BD902" s="17"/>
      <c r="BE902" s="17"/>
      <c r="BF902" s="17"/>
      <c r="BG902" s="17"/>
      <c r="BH902" s="17"/>
      <c r="BI902" s="17"/>
      <c r="BJ902" s="17"/>
      <c r="BK902" s="17"/>
      <c r="BL902" s="17"/>
      <c r="BM902" s="17"/>
      <c r="BN902" s="17"/>
      <c r="BO902" s="17"/>
      <c r="BP902" s="17"/>
      <c r="BQ902" s="17"/>
      <c r="BR902" s="17"/>
      <c r="BS902" s="17"/>
      <c r="BT902" s="17"/>
      <c r="BU902" s="17"/>
      <c r="BV902" s="17"/>
      <c r="BW902" s="17"/>
      <c r="BX902" s="17"/>
      <c r="BY902" s="17"/>
      <c r="BZ902" s="17"/>
      <c r="CA902" s="17"/>
      <c r="CB902" s="17"/>
      <c r="CC902" s="17"/>
      <c r="CD902" s="17"/>
      <c r="CE902" s="17"/>
      <c r="CF902" s="17"/>
      <c r="CG902" s="17"/>
      <c r="CH902" s="17"/>
      <c r="CI902" s="17"/>
      <c r="CJ902" s="17"/>
      <c r="CK902" s="17"/>
      <c r="CL902" s="17"/>
      <c r="CM902" s="17"/>
      <c r="CN902" s="17"/>
      <c r="CO902" s="17"/>
      <c r="CP902" s="17"/>
      <c r="CQ902" s="17"/>
      <c r="CR902" s="17"/>
      <c r="CS902" s="17"/>
      <c r="CT902" s="17"/>
      <c r="CU902" s="17"/>
      <c r="CV902" s="17"/>
      <c r="CW902" s="17"/>
      <c r="CX902" s="17"/>
      <c r="CY902" s="17"/>
      <c r="CZ902" s="17"/>
      <c r="DA902" s="17"/>
      <c r="DB902" s="17"/>
      <c r="DC902" s="17"/>
      <c r="DD902" s="17"/>
      <c r="DE902" s="17"/>
      <c r="DF902" s="17"/>
      <c r="DG902" s="17"/>
      <c r="DH902" s="17"/>
      <c r="DI902" s="17"/>
      <c r="DJ902" s="17"/>
      <c r="DK902" s="17"/>
      <c r="DL902" s="17"/>
      <c r="DM902" s="17"/>
      <c r="DN902" s="17"/>
      <c r="DO902" s="17"/>
      <c r="DP902" s="17"/>
      <c r="DQ902" s="17"/>
      <c r="DR902" s="17"/>
      <c r="DS902" s="17"/>
      <c r="DT902" s="17"/>
      <c r="DU902" s="17"/>
      <c r="DV902" s="17"/>
      <c r="DW902" s="17"/>
      <c r="DX902" s="17"/>
      <c r="DY902" s="17"/>
      <c r="DZ902" s="17"/>
      <c r="EA902" s="17"/>
      <c r="EB902" s="17"/>
      <c r="EC902" s="17"/>
      <c r="ED902" s="17"/>
      <c r="EE902" s="17"/>
      <c r="EF902" s="17"/>
      <c r="EG902" s="17"/>
      <c r="EH902" s="17"/>
      <c r="EI902" s="17"/>
      <c r="EJ902" s="17"/>
      <c r="EK902" s="17"/>
      <c r="EL902" s="17"/>
      <c r="EM902" s="17"/>
      <c r="EN902" s="17"/>
      <c r="EO902" s="17"/>
      <c r="EP902" s="17"/>
      <c r="EQ902" s="17"/>
      <c r="ER902" s="17"/>
      <c r="ES902" s="17"/>
      <c r="ET902" s="17"/>
      <c r="EU902" s="17"/>
      <c r="EV902" s="17"/>
      <c r="EW902" s="17"/>
      <c r="EX902" s="17"/>
      <c r="EY902" s="17"/>
      <c r="EZ902" s="17"/>
      <c r="FA902" s="17"/>
      <c r="FB902" s="17"/>
      <c r="FC902" s="17"/>
      <c r="FD902" s="17"/>
      <c r="FE902" s="17"/>
      <c r="FF902" s="17"/>
      <c r="FG902" s="17"/>
      <c r="FH902" s="17"/>
      <c r="FI902" s="17"/>
      <c r="FJ902" s="17"/>
      <c r="FK902" s="17"/>
      <c r="FL902" s="17"/>
      <c r="FM902" s="17"/>
      <c r="FN902" s="17"/>
      <c r="FO902" s="17"/>
      <c r="FP902" s="17"/>
      <c r="FQ902" s="17"/>
      <c r="FR902" s="17"/>
      <c r="FS902" s="17"/>
      <c r="FT902" s="17"/>
      <c r="FU902" s="17"/>
      <c r="FV902" s="17"/>
      <c r="FW902" s="17"/>
      <c r="FX902" s="17"/>
      <c r="FY902" s="17"/>
      <c r="FZ902" s="17"/>
      <c r="GA902" s="17"/>
      <c r="GB902" s="17"/>
      <c r="GC902" s="17"/>
      <c r="GD902" s="17"/>
      <c r="GE902" s="17"/>
      <c r="GF902" s="17"/>
      <c r="GG902" s="17"/>
      <c r="GH902" s="17"/>
      <c r="GI902" s="17"/>
      <c r="GJ902" s="17"/>
      <c r="GK902" s="17"/>
      <c r="GL902" s="17"/>
      <c r="GM902" s="17"/>
      <c r="GN902" s="17"/>
      <c r="GO902" s="17"/>
      <c r="GP902" s="17"/>
      <c r="GQ902" s="17"/>
      <c r="GR902" s="17"/>
      <c r="GS902" s="17"/>
      <c r="GT902" s="17"/>
      <c r="GU902" s="17"/>
      <c r="GV902" s="17"/>
      <c r="GW902" s="17"/>
      <c r="GX902" s="17"/>
      <c r="GY902" s="17"/>
      <c r="GZ902" s="17"/>
      <c r="HA902" s="17"/>
      <c r="HB902" s="17"/>
      <c r="HC902" s="17"/>
      <c r="HD902" s="17"/>
      <c r="HE902" s="17"/>
      <c r="HF902" s="17"/>
      <c r="HG902" s="17"/>
      <c r="HH902" s="17"/>
      <c r="HI902" s="17"/>
      <c r="HJ902" s="17"/>
      <c r="HK902" s="17"/>
      <c r="HL902" s="17"/>
      <c r="HM902" s="17"/>
      <c r="HN902" s="17"/>
      <c r="HO902" s="17"/>
      <c r="HP902" s="17"/>
      <c r="HQ902" s="17"/>
      <c r="HR902" s="17"/>
      <c r="HS902" s="17"/>
      <c r="HT902" s="17"/>
      <c r="HU902" s="17"/>
      <c r="HV902" s="17"/>
      <c r="HW902" s="17"/>
      <c r="HX902" s="17"/>
      <c r="HY902" s="17"/>
      <c r="HZ902" s="17"/>
      <c r="IA902" s="17"/>
      <c r="IB902" s="17"/>
      <c r="IC902" s="17"/>
      <c r="ID902" s="17"/>
      <c r="IE902" s="17"/>
      <c r="IF902" s="17"/>
      <c r="IG902" s="17"/>
      <c r="IH902" s="17"/>
      <c r="II902" s="17"/>
      <c r="IJ902" s="17"/>
      <c r="IK902" s="17"/>
      <c r="IL902" s="17"/>
      <c r="IM902" s="17"/>
      <c r="IN902" s="17"/>
      <c r="IO902" s="17"/>
      <c r="IP902" s="17"/>
      <c r="IQ902" s="17"/>
      <c r="IR902" s="17"/>
      <c r="IS902" s="17"/>
      <c r="IT902" s="17"/>
      <c r="IU902" s="17"/>
      <c r="IV902" s="17"/>
      <c r="IW902" s="17"/>
      <c r="IX902" s="17"/>
    </row>
    <row r="903" spans="1:258" ht="21.95" customHeight="1" x14ac:dyDescent="0.25">
      <c r="A903" s="18" t="s">
        <v>1149</v>
      </c>
      <c r="B903" s="25" t="s">
        <v>783</v>
      </c>
      <c r="C903" s="12">
        <f t="shared" si="510"/>
        <v>1840100</v>
      </c>
      <c r="D903" s="20">
        <f t="shared" si="505"/>
        <v>0</v>
      </c>
      <c r="E903" s="20">
        <v>0</v>
      </c>
      <c r="F903" s="20">
        <v>0</v>
      </c>
      <c r="G903" s="20">
        <v>0</v>
      </c>
      <c r="H903" s="20">
        <v>0</v>
      </c>
      <c r="I903" s="20">
        <v>0</v>
      </c>
      <c r="J903" s="20">
        <v>0</v>
      </c>
      <c r="K903" s="21">
        <v>0</v>
      </c>
      <c r="L903" s="20">
        <v>0</v>
      </c>
      <c r="M903" s="20">
        <v>298.2</v>
      </c>
      <c r="N903" s="20">
        <f t="shared" si="512"/>
        <v>1640100</v>
      </c>
      <c r="O903" s="8">
        <v>0</v>
      </c>
      <c r="P903" s="8">
        <v>0</v>
      </c>
      <c r="Q903" s="8">
        <v>0</v>
      </c>
      <c r="R903" s="20">
        <f t="shared" si="507"/>
        <v>0</v>
      </c>
      <c r="S903" s="8">
        <v>0</v>
      </c>
      <c r="T903" s="8">
        <v>0</v>
      </c>
      <c r="U903" s="8">
        <v>200000</v>
      </c>
      <c r="V903" s="1">
        <f t="shared" si="508"/>
        <v>5500</v>
      </c>
    </row>
    <row r="904" spans="1:258" ht="21.95" customHeight="1" x14ac:dyDescent="0.25">
      <c r="A904" s="18" t="s">
        <v>1150</v>
      </c>
      <c r="B904" s="25" t="s">
        <v>784</v>
      </c>
      <c r="C904" s="12">
        <f t="shared" si="510"/>
        <v>1388000</v>
      </c>
      <c r="D904" s="20">
        <f t="shared" si="505"/>
        <v>0</v>
      </c>
      <c r="E904" s="20">
        <v>0</v>
      </c>
      <c r="F904" s="20">
        <v>0</v>
      </c>
      <c r="G904" s="20">
        <v>0</v>
      </c>
      <c r="H904" s="20">
        <v>0</v>
      </c>
      <c r="I904" s="20">
        <v>0</v>
      </c>
      <c r="J904" s="20">
        <v>0</v>
      </c>
      <c r="K904" s="21">
        <v>0</v>
      </c>
      <c r="L904" s="20">
        <v>0</v>
      </c>
      <c r="M904" s="8">
        <v>216</v>
      </c>
      <c r="N904" s="20">
        <f t="shared" si="512"/>
        <v>1188000</v>
      </c>
      <c r="O904" s="8">
        <v>0</v>
      </c>
      <c r="P904" s="8">
        <v>0</v>
      </c>
      <c r="Q904" s="8">
        <v>0</v>
      </c>
      <c r="R904" s="20">
        <f t="shared" si="507"/>
        <v>0</v>
      </c>
      <c r="S904" s="8">
        <v>0</v>
      </c>
      <c r="T904" s="8">
        <v>0</v>
      </c>
      <c r="U904" s="8">
        <v>200000</v>
      </c>
      <c r="V904" s="1">
        <f t="shared" si="508"/>
        <v>5500</v>
      </c>
    </row>
    <row r="905" spans="1:258" s="1" customFormat="1" ht="21.95" customHeight="1" x14ac:dyDescent="0.25">
      <c r="A905" s="18" t="s">
        <v>1151</v>
      </c>
      <c r="B905" s="25" t="s">
        <v>687</v>
      </c>
      <c r="C905" s="12">
        <f t="shared" si="510"/>
        <v>2207500</v>
      </c>
      <c r="D905" s="20">
        <f t="shared" si="505"/>
        <v>0</v>
      </c>
      <c r="E905" s="20">
        <v>0</v>
      </c>
      <c r="F905" s="20">
        <v>0</v>
      </c>
      <c r="G905" s="20">
        <v>0</v>
      </c>
      <c r="H905" s="20">
        <v>0</v>
      </c>
      <c r="I905" s="20">
        <v>0</v>
      </c>
      <c r="J905" s="20">
        <v>0</v>
      </c>
      <c r="K905" s="21">
        <v>0</v>
      </c>
      <c r="L905" s="20">
        <v>0</v>
      </c>
      <c r="M905" s="20">
        <v>365</v>
      </c>
      <c r="N905" s="20">
        <f t="shared" si="512"/>
        <v>2007500</v>
      </c>
      <c r="O905" s="8">
        <v>0</v>
      </c>
      <c r="P905" s="8">
        <v>0</v>
      </c>
      <c r="Q905" s="8">
        <v>0</v>
      </c>
      <c r="R905" s="20">
        <f t="shared" si="507"/>
        <v>0</v>
      </c>
      <c r="S905" s="8">
        <v>0</v>
      </c>
      <c r="T905" s="8">
        <v>0</v>
      </c>
      <c r="U905" s="8">
        <v>200000</v>
      </c>
      <c r="V905" s="1">
        <f t="shared" si="508"/>
        <v>5500</v>
      </c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  <c r="FE905" s="2"/>
      <c r="FF905" s="2"/>
      <c r="FG905" s="2"/>
      <c r="FH905" s="2"/>
      <c r="FI905" s="2"/>
      <c r="FJ905" s="2"/>
      <c r="FK905" s="2"/>
      <c r="FL905" s="2"/>
      <c r="FM905" s="2"/>
      <c r="FN905" s="2"/>
      <c r="FO905" s="2"/>
      <c r="FP905" s="2"/>
      <c r="FQ905" s="2"/>
      <c r="FR905" s="2"/>
      <c r="FS905" s="2"/>
      <c r="FT905" s="2"/>
      <c r="FU905" s="2"/>
      <c r="FV905" s="2"/>
      <c r="FW905" s="2"/>
      <c r="FX905" s="2"/>
      <c r="FY905" s="2"/>
      <c r="FZ905" s="2"/>
      <c r="GA905" s="2"/>
      <c r="GB905" s="2"/>
      <c r="GC905" s="2"/>
      <c r="GD905" s="2"/>
      <c r="GE905" s="2"/>
      <c r="GF905" s="2"/>
      <c r="GG905" s="2"/>
      <c r="GH905" s="2"/>
      <c r="GI905" s="2"/>
      <c r="GJ905" s="2"/>
      <c r="GK905" s="2"/>
      <c r="GL905" s="2"/>
      <c r="GM905" s="2"/>
      <c r="GN905" s="2"/>
      <c r="GO905" s="2"/>
      <c r="GP905" s="2"/>
      <c r="GQ905" s="2"/>
      <c r="GR905" s="2"/>
      <c r="GS905" s="2"/>
      <c r="GT905" s="2"/>
      <c r="GU905" s="2"/>
      <c r="GV905" s="2"/>
      <c r="GW905" s="2"/>
      <c r="GX905" s="2"/>
      <c r="GY905" s="2"/>
      <c r="GZ905" s="2"/>
      <c r="HA905" s="2"/>
      <c r="HB905" s="2"/>
      <c r="HC905" s="2"/>
      <c r="HD905" s="2"/>
      <c r="HE905" s="2"/>
      <c r="HF905" s="2"/>
      <c r="HG905" s="2"/>
      <c r="HH905" s="2"/>
      <c r="HI905" s="2"/>
      <c r="HJ905" s="2"/>
      <c r="HK905" s="2"/>
      <c r="HL905" s="2"/>
      <c r="HM905" s="2"/>
      <c r="HN905" s="2"/>
      <c r="HO905" s="2"/>
      <c r="HP905" s="2"/>
      <c r="HQ905" s="2"/>
      <c r="HR905" s="2"/>
      <c r="HS905" s="2"/>
      <c r="HT905" s="2"/>
      <c r="HU905" s="2"/>
      <c r="HV905" s="2"/>
      <c r="HW905" s="2"/>
      <c r="HX905" s="2"/>
      <c r="HY905" s="2"/>
      <c r="HZ905" s="2"/>
      <c r="IA905" s="2"/>
      <c r="IB905" s="2"/>
      <c r="IC905" s="2"/>
      <c r="ID905" s="2"/>
      <c r="IE905" s="2"/>
      <c r="IF905" s="2"/>
      <c r="IG905" s="2"/>
      <c r="IH905" s="2"/>
      <c r="II905" s="2"/>
      <c r="IJ905" s="2"/>
      <c r="IK905" s="2"/>
      <c r="IL905" s="2"/>
      <c r="IM905" s="2"/>
      <c r="IN905" s="2"/>
      <c r="IO905" s="2"/>
      <c r="IP905" s="2"/>
      <c r="IQ905" s="2"/>
      <c r="IR905" s="2"/>
      <c r="IS905" s="2"/>
      <c r="IT905" s="2"/>
      <c r="IU905" s="2"/>
      <c r="IV905" s="2"/>
      <c r="IW905" s="2"/>
      <c r="IX905" s="2"/>
    </row>
    <row r="906" spans="1:258" ht="21.95" customHeight="1" x14ac:dyDescent="0.25">
      <c r="A906" s="18" t="s">
        <v>1152</v>
      </c>
      <c r="B906" s="25" t="s">
        <v>689</v>
      </c>
      <c r="C906" s="12">
        <f t="shared" si="510"/>
        <v>1325300</v>
      </c>
      <c r="D906" s="20">
        <f t="shared" si="505"/>
        <v>0</v>
      </c>
      <c r="E906" s="20">
        <v>0</v>
      </c>
      <c r="F906" s="20">
        <v>0</v>
      </c>
      <c r="G906" s="20">
        <v>0</v>
      </c>
      <c r="H906" s="20">
        <v>0</v>
      </c>
      <c r="I906" s="20">
        <v>0</v>
      </c>
      <c r="J906" s="20">
        <v>0</v>
      </c>
      <c r="K906" s="21">
        <v>0</v>
      </c>
      <c r="L906" s="20">
        <v>0</v>
      </c>
      <c r="M906" s="8">
        <v>204.6</v>
      </c>
      <c r="N906" s="20">
        <f t="shared" si="512"/>
        <v>1125300</v>
      </c>
      <c r="O906" s="20">
        <v>0</v>
      </c>
      <c r="P906" s="20">
        <v>0</v>
      </c>
      <c r="Q906" s="20">
        <v>0</v>
      </c>
      <c r="R906" s="20">
        <f t="shared" si="507"/>
        <v>0</v>
      </c>
      <c r="S906" s="20">
        <v>0</v>
      </c>
      <c r="T906" s="8">
        <v>0</v>
      </c>
      <c r="U906" s="20">
        <v>200000</v>
      </c>
      <c r="V906" s="1">
        <f t="shared" si="508"/>
        <v>5500</v>
      </c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1"/>
      <c r="FZ906" s="1"/>
      <c r="GA906" s="1"/>
      <c r="GB906" s="1"/>
      <c r="GC906" s="1"/>
      <c r="GD906" s="1"/>
      <c r="GE906" s="1"/>
      <c r="GF906" s="1"/>
      <c r="GG906" s="1"/>
      <c r="GH906" s="1"/>
      <c r="GI906" s="1"/>
      <c r="GJ906" s="1"/>
      <c r="GK906" s="1"/>
      <c r="GL906" s="1"/>
      <c r="GM906" s="1"/>
      <c r="GN906" s="1"/>
      <c r="GO906" s="1"/>
      <c r="GP906" s="1"/>
      <c r="GQ906" s="1"/>
      <c r="GR906" s="1"/>
      <c r="GS906" s="1"/>
      <c r="GT906" s="1"/>
      <c r="GU906" s="1"/>
      <c r="GV906" s="1"/>
      <c r="GW906" s="1"/>
      <c r="GX906" s="1"/>
      <c r="GY906" s="1"/>
      <c r="GZ906" s="1"/>
      <c r="HA906" s="1"/>
      <c r="HB906" s="1"/>
      <c r="HC906" s="1"/>
      <c r="HD906" s="1"/>
      <c r="HE906" s="1"/>
      <c r="HF906" s="1"/>
      <c r="HG906" s="1"/>
      <c r="HH906" s="1"/>
      <c r="HI906" s="1"/>
      <c r="HJ906" s="1"/>
      <c r="HK906" s="1"/>
      <c r="HL906" s="1"/>
      <c r="HM906" s="1"/>
      <c r="HN906" s="1"/>
      <c r="HO906" s="1"/>
      <c r="HP906" s="1"/>
      <c r="HQ906" s="1"/>
      <c r="HR906" s="1"/>
      <c r="HS906" s="1"/>
      <c r="HT906" s="1"/>
      <c r="HU906" s="1"/>
      <c r="HV906" s="1"/>
      <c r="HW906" s="1"/>
      <c r="HX906" s="1"/>
      <c r="HY906" s="1"/>
      <c r="HZ906" s="1"/>
      <c r="IA906" s="1"/>
      <c r="IB906" s="1"/>
      <c r="IC906" s="1"/>
      <c r="ID906" s="1"/>
      <c r="IE906" s="1"/>
      <c r="IF906" s="1"/>
      <c r="IG906" s="1"/>
      <c r="IH906" s="1"/>
      <c r="II906" s="1"/>
      <c r="IJ906" s="1"/>
      <c r="IK906" s="1"/>
      <c r="IL906" s="1"/>
      <c r="IM906" s="1"/>
      <c r="IN906" s="1"/>
      <c r="IO906" s="1"/>
      <c r="IP906" s="1"/>
      <c r="IQ906" s="1"/>
      <c r="IR906" s="1"/>
      <c r="IS906" s="1"/>
      <c r="IT906" s="1"/>
      <c r="IU906" s="1"/>
      <c r="IV906" s="1"/>
      <c r="IW906" s="1"/>
      <c r="IX906" s="1"/>
    </row>
    <row r="907" spans="1:258" ht="21.95" customHeight="1" x14ac:dyDescent="0.25">
      <c r="A907" s="18" t="s">
        <v>1153</v>
      </c>
      <c r="B907" s="25" t="s">
        <v>785</v>
      </c>
      <c r="C907" s="12">
        <f t="shared" si="510"/>
        <v>1393280</v>
      </c>
      <c r="D907" s="20">
        <f t="shared" si="505"/>
        <v>0</v>
      </c>
      <c r="E907" s="20">
        <v>0</v>
      </c>
      <c r="F907" s="20">
        <v>0</v>
      </c>
      <c r="G907" s="20">
        <v>0</v>
      </c>
      <c r="H907" s="20">
        <v>0</v>
      </c>
      <c r="I907" s="20">
        <v>0</v>
      </c>
      <c r="J907" s="20">
        <v>0</v>
      </c>
      <c r="K907" s="21">
        <v>0</v>
      </c>
      <c r="L907" s="20">
        <v>0</v>
      </c>
      <c r="M907" s="8">
        <v>216.96</v>
      </c>
      <c r="N907" s="20">
        <f t="shared" si="512"/>
        <v>1193280</v>
      </c>
      <c r="O907" s="20">
        <v>0</v>
      </c>
      <c r="P907" s="20">
        <v>0</v>
      </c>
      <c r="Q907" s="20">
        <v>0</v>
      </c>
      <c r="R907" s="20">
        <f t="shared" si="507"/>
        <v>0</v>
      </c>
      <c r="S907" s="20">
        <v>0</v>
      </c>
      <c r="T907" s="8">
        <v>0</v>
      </c>
      <c r="U907" s="20">
        <v>200000</v>
      </c>
      <c r="V907" s="1">
        <f t="shared" si="508"/>
        <v>5500</v>
      </c>
      <c r="W907" s="38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8"/>
      <c r="AP907" s="38"/>
      <c r="AQ907" s="38"/>
      <c r="AR907" s="38"/>
      <c r="AS907" s="38"/>
      <c r="AT907" s="38"/>
      <c r="AU907" s="38"/>
      <c r="AV907" s="38"/>
      <c r="AW907" s="38"/>
      <c r="AX907" s="38"/>
      <c r="AY907" s="38"/>
      <c r="AZ907" s="38"/>
      <c r="BA907" s="38"/>
      <c r="BB907" s="38"/>
      <c r="BC907" s="38"/>
      <c r="BD907" s="38"/>
      <c r="BE907" s="38"/>
      <c r="BF907" s="38"/>
      <c r="BG907" s="38"/>
      <c r="BH907" s="38"/>
      <c r="BI907" s="38"/>
      <c r="BJ907" s="38"/>
      <c r="BK907" s="38"/>
      <c r="BL907" s="38"/>
      <c r="BM907" s="38"/>
      <c r="BN907" s="38"/>
      <c r="BO907" s="38"/>
      <c r="BP907" s="38"/>
      <c r="BQ907" s="38"/>
      <c r="BR907" s="38"/>
      <c r="BS907" s="38"/>
      <c r="BT907" s="38"/>
      <c r="BU907" s="38"/>
      <c r="BV907" s="38"/>
      <c r="BW907" s="38"/>
      <c r="BX907" s="38"/>
      <c r="BY907" s="38"/>
      <c r="BZ907" s="38"/>
      <c r="CA907" s="38"/>
      <c r="CB907" s="38"/>
      <c r="CC907" s="38"/>
      <c r="CD907" s="38"/>
      <c r="CE907" s="38"/>
      <c r="CF907" s="38"/>
      <c r="CG907" s="38"/>
      <c r="CH907" s="38"/>
      <c r="CI907" s="38"/>
      <c r="CJ907" s="38"/>
      <c r="CK907" s="38"/>
      <c r="CL907" s="38"/>
      <c r="CM907" s="38"/>
      <c r="CN907" s="38"/>
      <c r="CO907" s="38"/>
      <c r="CP907" s="38"/>
      <c r="CQ907" s="38"/>
      <c r="CR907" s="38"/>
      <c r="CS907" s="38"/>
      <c r="CT907" s="38"/>
      <c r="CU907" s="38"/>
      <c r="CV907" s="38"/>
      <c r="CW907" s="38"/>
      <c r="CX907" s="38"/>
      <c r="CY907" s="38"/>
      <c r="CZ907" s="38"/>
      <c r="DA907" s="38"/>
      <c r="DB907" s="38"/>
      <c r="DC907" s="38"/>
      <c r="DD907" s="38"/>
      <c r="DE907" s="38"/>
      <c r="DF907" s="38"/>
      <c r="DG907" s="38"/>
      <c r="DH907" s="38"/>
      <c r="DI907" s="38"/>
      <c r="DJ907" s="38"/>
      <c r="DK907" s="38"/>
      <c r="DL907" s="38"/>
      <c r="DM907" s="38"/>
      <c r="DN907" s="38"/>
      <c r="DO907" s="38"/>
      <c r="DP907" s="38"/>
      <c r="DQ907" s="38"/>
      <c r="DR907" s="38"/>
      <c r="DS907" s="38"/>
      <c r="DT907" s="38"/>
      <c r="DU907" s="38"/>
      <c r="DV907" s="38"/>
      <c r="DW907" s="38"/>
      <c r="DX907" s="38"/>
      <c r="DY907" s="38"/>
      <c r="DZ907" s="38"/>
      <c r="EA907" s="38"/>
      <c r="EB907" s="38"/>
      <c r="EC907" s="38"/>
      <c r="ED907" s="38"/>
      <c r="EE907" s="38"/>
      <c r="EF907" s="38"/>
      <c r="EG907" s="38"/>
      <c r="EH907" s="38"/>
      <c r="EI907" s="38"/>
      <c r="EJ907" s="38"/>
      <c r="EK907" s="38"/>
      <c r="EL907" s="38"/>
      <c r="EM907" s="38"/>
      <c r="EN907" s="38"/>
      <c r="EO907" s="38"/>
      <c r="EP907" s="38"/>
      <c r="EQ907" s="38"/>
      <c r="ER907" s="38"/>
      <c r="ES907" s="38"/>
      <c r="ET907" s="38"/>
      <c r="EU907" s="38"/>
      <c r="EV907" s="38"/>
      <c r="EW907" s="38"/>
      <c r="EX907" s="38"/>
      <c r="EY907" s="38"/>
      <c r="EZ907" s="38"/>
      <c r="FA907" s="38"/>
      <c r="FB907" s="38"/>
      <c r="FC907" s="38"/>
      <c r="FD907" s="38"/>
      <c r="FE907" s="38"/>
      <c r="FF907" s="38"/>
      <c r="FG907" s="38"/>
      <c r="FH907" s="38"/>
      <c r="FI907" s="38"/>
      <c r="FJ907" s="38"/>
      <c r="FK907" s="38"/>
      <c r="FL907" s="38"/>
      <c r="FM907" s="38"/>
      <c r="FN907" s="38"/>
      <c r="FO907" s="38"/>
      <c r="FP907" s="38"/>
      <c r="FQ907" s="38"/>
      <c r="FR907" s="38"/>
      <c r="FS907" s="38"/>
      <c r="FT907" s="38"/>
      <c r="FU907" s="38"/>
      <c r="FV907" s="38"/>
      <c r="FW907" s="38"/>
      <c r="FX907" s="38"/>
      <c r="FY907" s="38"/>
      <c r="FZ907" s="38"/>
      <c r="GA907" s="38"/>
      <c r="GB907" s="38"/>
      <c r="GC907" s="38"/>
      <c r="GD907" s="38"/>
      <c r="GE907" s="38"/>
      <c r="GF907" s="38"/>
      <c r="GG907" s="38"/>
      <c r="GH907" s="38"/>
      <c r="GI907" s="38"/>
      <c r="GJ907" s="38"/>
      <c r="GK907" s="38"/>
      <c r="GL907" s="38"/>
      <c r="GM907" s="38"/>
      <c r="GN907" s="38"/>
      <c r="GO907" s="38"/>
      <c r="GP907" s="38"/>
      <c r="GQ907" s="38"/>
      <c r="GR907" s="38"/>
      <c r="GS907" s="38"/>
      <c r="GT907" s="38"/>
      <c r="GU907" s="38"/>
      <c r="GV907" s="38"/>
      <c r="GW907" s="38"/>
      <c r="GX907" s="38"/>
      <c r="GY907" s="38"/>
      <c r="GZ907" s="38"/>
      <c r="HA907" s="38"/>
      <c r="HB907" s="38"/>
      <c r="HC907" s="38"/>
      <c r="HD907" s="38"/>
      <c r="HE907" s="38"/>
      <c r="HF907" s="38"/>
      <c r="HG907" s="38"/>
      <c r="HH907" s="38"/>
      <c r="HI907" s="38"/>
      <c r="HJ907" s="38"/>
      <c r="HK907" s="38"/>
      <c r="HL907" s="38"/>
      <c r="HM907" s="38"/>
      <c r="HN907" s="38"/>
      <c r="HO907" s="38"/>
      <c r="HP907" s="38"/>
      <c r="HQ907" s="38"/>
      <c r="HR907" s="38"/>
      <c r="HS907" s="38"/>
      <c r="HT907" s="38"/>
      <c r="HU907" s="38"/>
      <c r="HV907" s="38"/>
      <c r="HW907" s="38"/>
      <c r="HX907" s="38"/>
      <c r="HY907" s="38"/>
      <c r="HZ907" s="38"/>
      <c r="IA907" s="38"/>
      <c r="IB907" s="38"/>
      <c r="IC907" s="38"/>
      <c r="ID907" s="38"/>
      <c r="IE907" s="38"/>
      <c r="IF907" s="38"/>
      <c r="IG907" s="38"/>
      <c r="IH907" s="38"/>
      <c r="II907" s="38"/>
      <c r="IJ907" s="38"/>
      <c r="IK907" s="38"/>
      <c r="IL907" s="38"/>
      <c r="IM907" s="38"/>
      <c r="IN907" s="38"/>
      <c r="IO907" s="38"/>
      <c r="IP907" s="38"/>
      <c r="IQ907" s="38"/>
      <c r="IR907" s="38"/>
      <c r="IS907" s="38"/>
      <c r="IT907" s="38"/>
      <c r="IU907" s="38"/>
      <c r="IV907" s="38"/>
      <c r="IW907" s="38"/>
      <c r="IX907" s="38"/>
    </row>
    <row r="908" spans="1:258" ht="21.95" customHeight="1" x14ac:dyDescent="0.25">
      <c r="A908" s="18" t="s">
        <v>1934</v>
      </c>
      <c r="B908" s="25" t="s">
        <v>690</v>
      </c>
      <c r="C908" s="12">
        <f t="shared" si="510"/>
        <v>6064452</v>
      </c>
      <c r="D908" s="20">
        <f t="shared" si="505"/>
        <v>1337952</v>
      </c>
      <c r="E908" s="20">
        <f>350*557.48</f>
        <v>195118</v>
      </c>
      <c r="F908" s="20">
        <f>800*557.48</f>
        <v>445984</v>
      </c>
      <c r="G908" s="20">
        <f>350*557.48</f>
        <v>195118</v>
      </c>
      <c r="H908" s="20">
        <f>500*557.48</f>
        <v>278740</v>
      </c>
      <c r="I908" s="20">
        <f>400*557.48</f>
        <v>222992</v>
      </c>
      <c r="J908" s="20">
        <v>0</v>
      </c>
      <c r="K908" s="21">
        <v>0</v>
      </c>
      <c r="L908" s="20">
        <v>0</v>
      </c>
      <c r="M908" s="20">
        <v>519.4</v>
      </c>
      <c r="N908" s="20">
        <f t="shared" ref="N908:N914" si="513">M908*5500</f>
        <v>2856700</v>
      </c>
      <c r="O908" s="20">
        <v>0</v>
      </c>
      <c r="P908" s="20">
        <v>0</v>
      </c>
      <c r="Q908" s="20">
        <v>556.6</v>
      </c>
      <c r="R908" s="20">
        <f t="shared" si="507"/>
        <v>1669800</v>
      </c>
      <c r="S908" s="20">
        <v>0</v>
      </c>
      <c r="T908" s="8">
        <v>0</v>
      </c>
      <c r="U908" s="20">
        <v>200000</v>
      </c>
      <c r="V908" s="1">
        <f t="shared" si="508"/>
        <v>5500</v>
      </c>
    </row>
    <row r="909" spans="1:258" ht="21.95" customHeight="1" x14ac:dyDescent="0.25">
      <c r="A909" s="18" t="s">
        <v>1154</v>
      </c>
      <c r="B909" s="25" t="s">
        <v>691</v>
      </c>
      <c r="C909" s="12">
        <f t="shared" si="510"/>
        <v>1563395</v>
      </c>
      <c r="D909" s="20">
        <f t="shared" si="505"/>
        <v>0</v>
      </c>
      <c r="E909" s="20">
        <v>0</v>
      </c>
      <c r="F909" s="20">
        <v>0</v>
      </c>
      <c r="G909" s="20">
        <v>0</v>
      </c>
      <c r="H909" s="20">
        <v>0</v>
      </c>
      <c r="I909" s="20">
        <v>0</v>
      </c>
      <c r="J909" s="20">
        <v>0</v>
      </c>
      <c r="K909" s="21">
        <v>0</v>
      </c>
      <c r="L909" s="20">
        <v>0</v>
      </c>
      <c r="M909" s="8">
        <v>247.89</v>
      </c>
      <c r="N909" s="20">
        <f t="shared" si="513"/>
        <v>1363395</v>
      </c>
      <c r="O909" s="20">
        <v>0</v>
      </c>
      <c r="P909" s="20">
        <v>0</v>
      </c>
      <c r="Q909" s="20">
        <v>0</v>
      </c>
      <c r="R909" s="20">
        <f t="shared" si="507"/>
        <v>0</v>
      </c>
      <c r="S909" s="20">
        <v>0</v>
      </c>
      <c r="T909" s="8">
        <v>0</v>
      </c>
      <c r="U909" s="20">
        <v>200000</v>
      </c>
      <c r="V909" s="1">
        <f t="shared" si="508"/>
        <v>5500</v>
      </c>
    </row>
    <row r="910" spans="1:258" ht="21.95" customHeight="1" x14ac:dyDescent="0.25">
      <c r="A910" s="18" t="s">
        <v>1467</v>
      </c>
      <c r="B910" s="31" t="s">
        <v>692</v>
      </c>
      <c r="C910" s="12">
        <f t="shared" si="510"/>
        <v>2235000</v>
      </c>
      <c r="D910" s="20">
        <f t="shared" si="505"/>
        <v>0</v>
      </c>
      <c r="E910" s="20">
        <v>0</v>
      </c>
      <c r="F910" s="20">
        <v>0</v>
      </c>
      <c r="G910" s="20">
        <v>0</v>
      </c>
      <c r="H910" s="20">
        <v>0</v>
      </c>
      <c r="I910" s="20">
        <v>0</v>
      </c>
      <c r="J910" s="20">
        <v>0</v>
      </c>
      <c r="K910" s="21">
        <v>0</v>
      </c>
      <c r="L910" s="20">
        <v>0</v>
      </c>
      <c r="M910" s="20">
        <v>370</v>
      </c>
      <c r="N910" s="20">
        <f t="shared" si="513"/>
        <v>2035000</v>
      </c>
      <c r="O910" s="20">
        <v>0</v>
      </c>
      <c r="P910" s="20">
        <v>0</v>
      </c>
      <c r="Q910" s="20">
        <v>0</v>
      </c>
      <c r="R910" s="20">
        <f t="shared" si="507"/>
        <v>0</v>
      </c>
      <c r="S910" s="20">
        <v>0</v>
      </c>
      <c r="T910" s="8">
        <v>0</v>
      </c>
      <c r="U910" s="20">
        <v>200000</v>
      </c>
      <c r="V910" s="1">
        <f t="shared" si="508"/>
        <v>5500</v>
      </c>
    </row>
    <row r="911" spans="1:258" ht="21.95" customHeight="1" x14ac:dyDescent="0.25">
      <c r="A911" s="18" t="s">
        <v>1468</v>
      </c>
      <c r="B911" s="25" t="s">
        <v>693</v>
      </c>
      <c r="C911" s="12">
        <f t="shared" si="510"/>
        <v>3270649.9999999995</v>
      </c>
      <c r="D911" s="20">
        <f t="shared" si="505"/>
        <v>0</v>
      </c>
      <c r="E911" s="20">
        <v>0</v>
      </c>
      <c r="F911" s="20">
        <v>0</v>
      </c>
      <c r="G911" s="20">
        <v>0</v>
      </c>
      <c r="H911" s="20">
        <v>0</v>
      </c>
      <c r="I911" s="20">
        <v>0</v>
      </c>
      <c r="J911" s="20">
        <v>0</v>
      </c>
      <c r="K911" s="21">
        <v>0</v>
      </c>
      <c r="L911" s="20">
        <v>0</v>
      </c>
      <c r="M911" s="8">
        <v>558.29999999999995</v>
      </c>
      <c r="N911" s="20">
        <f t="shared" si="513"/>
        <v>3070649.9999999995</v>
      </c>
      <c r="O911" s="20">
        <v>0</v>
      </c>
      <c r="P911" s="20">
        <v>0</v>
      </c>
      <c r="Q911" s="20">
        <v>0</v>
      </c>
      <c r="R911" s="20">
        <f t="shared" si="507"/>
        <v>0</v>
      </c>
      <c r="S911" s="20">
        <v>0</v>
      </c>
      <c r="T911" s="8">
        <v>0</v>
      </c>
      <c r="U911" s="20">
        <v>200000</v>
      </c>
      <c r="V911" s="1">
        <f t="shared" si="508"/>
        <v>5500</v>
      </c>
    </row>
    <row r="912" spans="1:258" ht="21.95" customHeight="1" x14ac:dyDescent="0.25">
      <c r="A912" s="18" t="s">
        <v>1155</v>
      </c>
      <c r="B912" s="25" t="s">
        <v>694</v>
      </c>
      <c r="C912" s="12">
        <f t="shared" si="510"/>
        <v>1647600</v>
      </c>
      <c r="D912" s="20">
        <f t="shared" si="505"/>
        <v>0</v>
      </c>
      <c r="E912" s="20">
        <v>0</v>
      </c>
      <c r="F912" s="20">
        <v>0</v>
      </c>
      <c r="G912" s="20">
        <v>0</v>
      </c>
      <c r="H912" s="20">
        <v>0</v>
      </c>
      <c r="I912" s="20">
        <v>0</v>
      </c>
      <c r="J912" s="20">
        <v>0</v>
      </c>
      <c r="K912" s="9">
        <v>0</v>
      </c>
      <c r="L912" s="20">
        <v>0</v>
      </c>
      <c r="M912" s="20">
        <v>263.2</v>
      </c>
      <c r="N912" s="20">
        <f t="shared" si="513"/>
        <v>1447600</v>
      </c>
      <c r="O912" s="20">
        <v>0</v>
      </c>
      <c r="P912" s="20">
        <v>0</v>
      </c>
      <c r="Q912" s="20">
        <v>0</v>
      </c>
      <c r="R912" s="20">
        <f t="shared" si="507"/>
        <v>0</v>
      </c>
      <c r="S912" s="20">
        <v>0</v>
      </c>
      <c r="T912" s="8">
        <v>0</v>
      </c>
      <c r="U912" s="20">
        <v>200000</v>
      </c>
      <c r="V912" s="1">
        <f t="shared" si="508"/>
        <v>5500</v>
      </c>
    </row>
    <row r="913" spans="1:258" s="17" customFormat="1" ht="21.95" customHeight="1" x14ac:dyDescent="0.25">
      <c r="A913" s="18" t="s">
        <v>1156</v>
      </c>
      <c r="B913" s="25" t="s">
        <v>695</v>
      </c>
      <c r="C913" s="12">
        <f t="shared" si="510"/>
        <v>2158000</v>
      </c>
      <c r="D913" s="20">
        <f t="shared" si="505"/>
        <v>0</v>
      </c>
      <c r="E913" s="20">
        <v>0</v>
      </c>
      <c r="F913" s="20">
        <v>0</v>
      </c>
      <c r="G913" s="20">
        <v>0</v>
      </c>
      <c r="H913" s="20">
        <v>0</v>
      </c>
      <c r="I913" s="20">
        <v>0</v>
      </c>
      <c r="J913" s="20">
        <v>0</v>
      </c>
      <c r="K913" s="9">
        <v>0</v>
      </c>
      <c r="L913" s="20">
        <v>0</v>
      </c>
      <c r="M913" s="20">
        <v>356</v>
      </c>
      <c r="N913" s="20">
        <f t="shared" si="513"/>
        <v>1958000</v>
      </c>
      <c r="O913" s="20">
        <v>0</v>
      </c>
      <c r="P913" s="20">
        <v>0</v>
      </c>
      <c r="Q913" s="20">
        <v>0</v>
      </c>
      <c r="R913" s="20">
        <f t="shared" si="507"/>
        <v>0</v>
      </c>
      <c r="S913" s="20">
        <v>0</v>
      </c>
      <c r="T913" s="8">
        <v>0</v>
      </c>
      <c r="U913" s="20">
        <v>200000</v>
      </c>
      <c r="V913" s="1">
        <f t="shared" si="508"/>
        <v>5500</v>
      </c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  <c r="FE913" s="2"/>
      <c r="FF913" s="2"/>
      <c r="FG913" s="2"/>
      <c r="FH913" s="2"/>
      <c r="FI913" s="2"/>
      <c r="FJ913" s="2"/>
      <c r="FK913" s="2"/>
      <c r="FL913" s="2"/>
      <c r="FM913" s="2"/>
      <c r="FN913" s="2"/>
      <c r="FO913" s="2"/>
      <c r="FP913" s="2"/>
      <c r="FQ913" s="2"/>
      <c r="FR913" s="2"/>
      <c r="FS913" s="2"/>
      <c r="FT913" s="2"/>
      <c r="FU913" s="2"/>
      <c r="FV913" s="2"/>
      <c r="FW913" s="2"/>
      <c r="FX913" s="2"/>
      <c r="FY913" s="2"/>
      <c r="FZ913" s="2"/>
      <c r="GA913" s="2"/>
      <c r="GB913" s="2"/>
      <c r="GC913" s="2"/>
      <c r="GD913" s="2"/>
      <c r="GE913" s="2"/>
      <c r="GF913" s="2"/>
      <c r="GG913" s="2"/>
      <c r="GH913" s="2"/>
      <c r="GI913" s="2"/>
      <c r="GJ913" s="2"/>
      <c r="GK913" s="2"/>
      <c r="GL913" s="2"/>
      <c r="GM913" s="2"/>
      <c r="GN913" s="2"/>
      <c r="GO913" s="2"/>
      <c r="GP913" s="2"/>
      <c r="GQ913" s="2"/>
      <c r="GR913" s="2"/>
      <c r="GS913" s="2"/>
      <c r="GT913" s="2"/>
      <c r="GU913" s="2"/>
      <c r="GV913" s="2"/>
      <c r="GW913" s="2"/>
      <c r="GX913" s="2"/>
      <c r="GY913" s="2"/>
      <c r="GZ913" s="2"/>
      <c r="HA913" s="2"/>
      <c r="HB913" s="2"/>
      <c r="HC913" s="2"/>
      <c r="HD913" s="2"/>
      <c r="HE913" s="2"/>
      <c r="HF913" s="2"/>
      <c r="HG913" s="2"/>
      <c r="HH913" s="2"/>
      <c r="HI913" s="2"/>
      <c r="HJ913" s="2"/>
      <c r="HK913" s="2"/>
      <c r="HL913" s="2"/>
      <c r="HM913" s="2"/>
      <c r="HN913" s="2"/>
      <c r="HO913" s="2"/>
      <c r="HP913" s="2"/>
      <c r="HQ913" s="2"/>
      <c r="HR913" s="2"/>
      <c r="HS913" s="2"/>
      <c r="HT913" s="2"/>
      <c r="HU913" s="2"/>
      <c r="HV913" s="2"/>
      <c r="HW913" s="2"/>
      <c r="HX913" s="2"/>
      <c r="HY913" s="2"/>
      <c r="HZ913" s="2"/>
      <c r="IA913" s="2"/>
      <c r="IB913" s="2"/>
      <c r="IC913" s="2"/>
      <c r="ID913" s="2"/>
      <c r="IE913" s="2"/>
      <c r="IF913" s="2"/>
      <c r="IG913" s="2"/>
      <c r="IH913" s="2"/>
      <c r="II913" s="2"/>
      <c r="IJ913" s="2"/>
      <c r="IK913" s="2"/>
      <c r="IL913" s="2"/>
      <c r="IM913" s="2"/>
      <c r="IN913" s="2"/>
      <c r="IO913" s="2"/>
      <c r="IP913" s="2"/>
      <c r="IQ913" s="2"/>
      <c r="IR913" s="2"/>
      <c r="IS913" s="2"/>
      <c r="IT913" s="2"/>
      <c r="IU913" s="2"/>
      <c r="IV913" s="2"/>
      <c r="IW913" s="2"/>
      <c r="IX913" s="2"/>
    </row>
    <row r="914" spans="1:258" ht="21.95" customHeight="1" x14ac:dyDescent="0.25">
      <c r="A914" s="18" t="s">
        <v>1157</v>
      </c>
      <c r="B914" s="25" t="s">
        <v>786</v>
      </c>
      <c r="C914" s="12">
        <f t="shared" si="510"/>
        <v>2037000</v>
      </c>
      <c r="D914" s="20">
        <f t="shared" si="505"/>
        <v>0</v>
      </c>
      <c r="E914" s="20">
        <v>0</v>
      </c>
      <c r="F914" s="20">
        <v>0</v>
      </c>
      <c r="G914" s="20">
        <v>0</v>
      </c>
      <c r="H914" s="20">
        <v>0</v>
      </c>
      <c r="I914" s="20">
        <v>0</v>
      </c>
      <c r="J914" s="20">
        <v>0</v>
      </c>
      <c r="K914" s="9">
        <v>0</v>
      </c>
      <c r="L914" s="20">
        <v>0</v>
      </c>
      <c r="M914" s="20">
        <v>334</v>
      </c>
      <c r="N914" s="20">
        <f t="shared" si="513"/>
        <v>1837000</v>
      </c>
      <c r="O914" s="20">
        <v>0</v>
      </c>
      <c r="P914" s="20">
        <v>0</v>
      </c>
      <c r="Q914" s="20">
        <v>0</v>
      </c>
      <c r="R914" s="20">
        <f t="shared" si="507"/>
        <v>0</v>
      </c>
      <c r="S914" s="20">
        <v>0</v>
      </c>
      <c r="T914" s="8">
        <v>0</v>
      </c>
      <c r="U914" s="20">
        <v>200000</v>
      </c>
      <c r="V914" s="1">
        <f t="shared" si="508"/>
        <v>5500</v>
      </c>
    </row>
    <row r="915" spans="1:258" s="38" customFormat="1" ht="21.95" customHeight="1" x14ac:dyDescent="0.25">
      <c r="A915" s="18" t="s">
        <v>1158</v>
      </c>
      <c r="B915" s="31" t="s">
        <v>787</v>
      </c>
      <c r="C915" s="12">
        <f t="shared" si="510"/>
        <v>4368866</v>
      </c>
      <c r="D915" s="20">
        <f t="shared" si="505"/>
        <v>0</v>
      </c>
      <c r="E915" s="20">
        <v>0</v>
      </c>
      <c r="F915" s="20">
        <v>0</v>
      </c>
      <c r="G915" s="20">
        <v>0</v>
      </c>
      <c r="H915" s="20">
        <v>0</v>
      </c>
      <c r="I915" s="20">
        <v>0</v>
      </c>
      <c r="J915" s="20">
        <v>0</v>
      </c>
      <c r="K915" s="9">
        <v>0</v>
      </c>
      <c r="L915" s="20">
        <v>0</v>
      </c>
      <c r="M915" s="20">
        <v>1131</v>
      </c>
      <c r="N915" s="20">
        <f>M915*3686</f>
        <v>4168866</v>
      </c>
      <c r="O915" s="20">
        <v>0</v>
      </c>
      <c r="P915" s="20">
        <v>0</v>
      </c>
      <c r="Q915" s="20">
        <v>0</v>
      </c>
      <c r="R915" s="20">
        <f t="shared" si="507"/>
        <v>0</v>
      </c>
      <c r="S915" s="20">
        <v>0</v>
      </c>
      <c r="T915" s="8">
        <v>0</v>
      </c>
      <c r="U915" s="20">
        <v>200000</v>
      </c>
      <c r="V915" s="1">
        <f t="shared" si="508"/>
        <v>3686</v>
      </c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  <c r="FE915" s="2"/>
      <c r="FF915" s="2"/>
      <c r="FG915" s="2"/>
      <c r="FH915" s="2"/>
      <c r="FI915" s="2"/>
      <c r="FJ915" s="2"/>
      <c r="FK915" s="2"/>
      <c r="FL915" s="2"/>
      <c r="FM915" s="2"/>
      <c r="FN915" s="2"/>
      <c r="FO915" s="2"/>
      <c r="FP915" s="2"/>
      <c r="FQ915" s="2"/>
      <c r="FR915" s="2"/>
      <c r="FS915" s="2"/>
      <c r="FT915" s="2"/>
      <c r="FU915" s="2"/>
      <c r="FV915" s="2"/>
      <c r="FW915" s="2"/>
      <c r="FX915" s="2"/>
      <c r="FY915" s="2"/>
      <c r="FZ915" s="2"/>
      <c r="GA915" s="2"/>
      <c r="GB915" s="2"/>
      <c r="GC915" s="2"/>
      <c r="GD915" s="2"/>
      <c r="GE915" s="2"/>
      <c r="GF915" s="2"/>
      <c r="GG915" s="2"/>
      <c r="GH915" s="2"/>
      <c r="GI915" s="2"/>
      <c r="GJ915" s="2"/>
      <c r="GK915" s="2"/>
      <c r="GL915" s="2"/>
      <c r="GM915" s="2"/>
      <c r="GN915" s="2"/>
      <c r="GO915" s="2"/>
      <c r="GP915" s="2"/>
      <c r="GQ915" s="2"/>
      <c r="GR915" s="2"/>
      <c r="GS915" s="2"/>
      <c r="GT915" s="2"/>
      <c r="GU915" s="2"/>
      <c r="GV915" s="2"/>
      <c r="GW915" s="2"/>
      <c r="GX915" s="2"/>
      <c r="GY915" s="2"/>
      <c r="GZ915" s="2"/>
      <c r="HA915" s="2"/>
      <c r="HB915" s="2"/>
      <c r="HC915" s="2"/>
      <c r="HD915" s="2"/>
      <c r="HE915" s="2"/>
      <c r="HF915" s="2"/>
      <c r="HG915" s="2"/>
      <c r="HH915" s="2"/>
      <c r="HI915" s="2"/>
      <c r="HJ915" s="2"/>
      <c r="HK915" s="2"/>
      <c r="HL915" s="2"/>
      <c r="HM915" s="2"/>
      <c r="HN915" s="2"/>
      <c r="HO915" s="2"/>
      <c r="HP915" s="2"/>
      <c r="HQ915" s="2"/>
      <c r="HR915" s="2"/>
      <c r="HS915" s="2"/>
      <c r="HT915" s="2"/>
      <c r="HU915" s="2"/>
      <c r="HV915" s="2"/>
      <c r="HW915" s="2"/>
      <c r="HX915" s="2"/>
      <c r="HY915" s="2"/>
      <c r="HZ915" s="2"/>
      <c r="IA915" s="2"/>
      <c r="IB915" s="2"/>
      <c r="IC915" s="2"/>
      <c r="ID915" s="2"/>
      <c r="IE915" s="2"/>
      <c r="IF915" s="2"/>
      <c r="IG915" s="2"/>
      <c r="IH915" s="2"/>
      <c r="II915" s="2"/>
      <c r="IJ915" s="2"/>
      <c r="IK915" s="2"/>
      <c r="IL915" s="2"/>
      <c r="IM915" s="2"/>
      <c r="IN915" s="2"/>
      <c r="IO915" s="2"/>
      <c r="IP915" s="2"/>
      <c r="IQ915" s="2"/>
      <c r="IR915" s="2"/>
      <c r="IS915" s="2"/>
      <c r="IT915" s="2"/>
      <c r="IU915" s="2"/>
      <c r="IV915" s="2"/>
      <c r="IW915" s="2"/>
      <c r="IX915" s="2"/>
    </row>
    <row r="916" spans="1:258" s="38" customFormat="1" ht="21.95" customHeight="1" x14ac:dyDescent="0.25">
      <c r="A916" s="18" t="s">
        <v>1159</v>
      </c>
      <c r="B916" s="31" t="s">
        <v>834</v>
      </c>
      <c r="C916" s="12">
        <f t="shared" si="510"/>
        <v>26820582</v>
      </c>
      <c r="D916" s="20">
        <f t="shared" si="505"/>
        <v>10911432</v>
      </c>
      <c r="E916" s="20">
        <f>350*4546.43</f>
        <v>1591250.5</v>
      </c>
      <c r="F916" s="20">
        <f>800*4546.43</f>
        <v>3637144</v>
      </c>
      <c r="G916" s="20">
        <f>350*4546.43</f>
        <v>1591250.5</v>
      </c>
      <c r="H916" s="20">
        <f>500*4546.43</f>
        <v>2273215</v>
      </c>
      <c r="I916" s="20">
        <f>400*4546.43</f>
        <v>1818572</v>
      </c>
      <c r="J916" s="20">
        <v>0</v>
      </c>
      <c r="K916" s="21">
        <v>0</v>
      </c>
      <c r="L916" s="20">
        <v>0</v>
      </c>
      <c r="M916" s="8">
        <v>1234</v>
      </c>
      <c r="N916" s="20">
        <f t="shared" ref="N916:N919" si="514">M916*5500</f>
        <v>6787000</v>
      </c>
      <c r="O916" s="20">
        <v>0</v>
      </c>
      <c r="P916" s="20">
        <v>0</v>
      </c>
      <c r="Q916" s="20">
        <v>2974.05</v>
      </c>
      <c r="R916" s="20">
        <f t="shared" si="507"/>
        <v>8922150</v>
      </c>
      <c r="S916" s="20">
        <v>0</v>
      </c>
      <c r="T916" s="8">
        <v>0</v>
      </c>
      <c r="U916" s="20">
        <v>200000</v>
      </c>
      <c r="V916" s="1">
        <f t="shared" si="508"/>
        <v>5500</v>
      </c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  <c r="FE916" s="2"/>
      <c r="FF916" s="2"/>
      <c r="FG916" s="2"/>
      <c r="FH916" s="2"/>
      <c r="FI916" s="2"/>
      <c r="FJ916" s="2"/>
      <c r="FK916" s="2"/>
      <c r="FL916" s="2"/>
      <c r="FM916" s="2"/>
      <c r="FN916" s="2"/>
      <c r="FO916" s="2"/>
      <c r="FP916" s="2"/>
      <c r="FQ916" s="2"/>
      <c r="FR916" s="2"/>
      <c r="FS916" s="2"/>
      <c r="FT916" s="2"/>
      <c r="FU916" s="2"/>
      <c r="FV916" s="2"/>
      <c r="FW916" s="2"/>
      <c r="FX916" s="2"/>
      <c r="FY916" s="2"/>
      <c r="FZ916" s="2"/>
      <c r="GA916" s="2"/>
      <c r="GB916" s="2"/>
      <c r="GC916" s="2"/>
      <c r="GD916" s="2"/>
      <c r="GE916" s="2"/>
      <c r="GF916" s="2"/>
      <c r="GG916" s="2"/>
      <c r="GH916" s="2"/>
      <c r="GI916" s="2"/>
      <c r="GJ916" s="2"/>
      <c r="GK916" s="2"/>
      <c r="GL916" s="2"/>
      <c r="GM916" s="2"/>
      <c r="GN916" s="2"/>
      <c r="GO916" s="2"/>
      <c r="GP916" s="2"/>
      <c r="GQ916" s="2"/>
      <c r="GR916" s="2"/>
      <c r="GS916" s="2"/>
      <c r="GT916" s="2"/>
      <c r="GU916" s="2"/>
      <c r="GV916" s="2"/>
      <c r="GW916" s="2"/>
      <c r="GX916" s="2"/>
      <c r="GY916" s="2"/>
      <c r="GZ916" s="2"/>
      <c r="HA916" s="2"/>
      <c r="HB916" s="2"/>
      <c r="HC916" s="2"/>
      <c r="HD916" s="2"/>
      <c r="HE916" s="2"/>
      <c r="HF916" s="2"/>
      <c r="HG916" s="2"/>
      <c r="HH916" s="2"/>
      <c r="HI916" s="2"/>
      <c r="HJ916" s="2"/>
      <c r="HK916" s="2"/>
      <c r="HL916" s="2"/>
      <c r="HM916" s="2"/>
      <c r="HN916" s="2"/>
      <c r="HO916" s="2"/>
      <c r="HP916" s="2"/>
      <c r="HQ916" s="2"/>
      <c r="HR916" s="2"/>
      <c r="HS916" s="2"/>
      <c r="HT916" s="2"/>
      <c r="HU916" s="2"/>
      <c r="HV916" s="2"/>
      <c r="HW916" s="2"/>
      <c r="HX916" s="2"/>
      <c r="HY916" s="2"/>
      <c r="HZ916" s="2"/>
      <c r="IA916" s="2"/>
      <c r="IB916" s="2"/>
      <c r="IC916" s="2"/>
      <c r="ID916" s="2"/>
      <c r="IE916" s="2"/>
      <c r="IF916" s="2"/>
      <c r="IG916" s="2"/>
      <c r="IH916" s="2"/>
      <c r="II916" s="2"/>
      <c r="IJ916" s="2"/>
      <c r="IK916" s="2"/>
      <c r="IL916" s="2"/>
      <c r="IM916" s="2"/>
      <c r="IN916" s="2"/>
      <c r="IO916" s="2"/>
      <c r="IP916" s="2"/>
      <c r="IQ916" s="2"/>
      <c r="IR916" s="2"/>
      <c r="IS916" s="2"/>
      <c r="IT916" s="2"/>
      <c r="IU916" s="2"/>
      <c r="IV916" s="2"/>
      <c r="IW916" s="2"/>
      <c r="IX916" s="2"/>
    </row>
    <row r="917" spans="1:258" ht="21.95" customHeight="1" x14ac:dyDescent="0.25">
      <c r="A917" s="18" t="s">
        <v>1160</v>
      </c>
      <c r="B917" s="25" t="s">
        <v>696</v>
      </c>
      <c r="C917" s="12">
        <f t="shared" si="510"/>
        <v>1806000</v>
      </c>
      <c r="D917" s="20">
        <f t="shared" si="505"/>
        <v>0</v>
      </c>
      <c r="E917" s="20">
        <v>0</v>
      </c>
      <c r="F917" s="20">
        <v>0</v>
      </c>
      <c r="G917" s="20">
        <v>0</v>
      </c>
      <c r="H917" s="20">
        <v>0</v>
      </c>
      <c r="I917" s="20">
        <v>0</v>
      </c>
      <c r="J917" s="20">
        <v>0</v>
      </c>
      <c r="K917" s="21">
        <v>0</v>
      </c>
      <c r="L917" s="20">
        <v>0</v>
      </c>
      <c r="M917" s="20">
        <v>292</v>
      </c>
      <c r="N917" s="20">
        <f t="shared" si="514"/>
        <v>1606000</v>
      </c>
      <c r="O917" s="20">
        <v>0</v>
      </c>
      <c r="P917" s="20">
        <v>0</v>
      </c>
      <c r="Q917" s="20">
        <v>0</v>
      </c>
      <c r="R917" s="20">
        <f t="shared" si="507"/>
        <v>0</v>
      </c>
      <c r="S917" s="20">
        <v>0</v>
      </c>
      <c r="T917" s="8">
        <v>0</v>
      </c>
      <c r="U917" s="20">
        <v>200000</v>
      </c>
      <c r="V917" s="1">
        <f t="shared" si="508"/>
        <v>5500</v>
      </c>
    </row>
    <row r="918" spans="1:258" ht="21.95" customHeight="1" x14ac:dyDescent="0.25">
      <c r="A918" s="18" t="s">
        <v>1161</v>
      </c>
      <c r="B918" s="25" t="s">
        <v>697</v>
      </c>
      <c r="C918" s="12">
        <f t="shared" si="510"/>
        <v>1795000</v>
      </c>
      <c r="D918" s="20">
        <f t="shared" si="505"/>
        <v>0</v>
      </c>
      <c r="E918" s="20">
        <v>0</v>
      </c>
      <c r="F918" s="20">
        <v>0</v>
      </c>
      <c r="G918" s="20">
        <v>0</v>
      </c>
      <c r="H918" s="20">
        <v>0</v>
      </c>
      <c r="I918" s="20">
        <v>0</v>
      </c>
      <c r="J918" s="20">
        <v>0</v>
      </c>
      <c r="K918" s="21">
        <v>0</v>
      </c>
      <c r="L918" s="20">
        <v>0</v>
      </c>
      <c r="M918" s="20">
        <v>290</v>
      </c>
      <c r="N918" s="20">
        <f t="shared" si="514"/>
        <v>1595000</v>
      </c>
      <c r="O918" s="20">
        <v>0</v>
      </c>
      <c r="P918" s="20">
        <v>0</v>
      </c>
      <c r="Q918" s="20">
        <v>0</v>
      </c>
      <c r="R918" s="20">
        <f t="shared" si="507"/>
        <v>0</v>
      </c>
      <c r="S918" s="20">
        <v>0</v>
      </c>
      <c r="T918" s="8">
        <v>0</v>
      </c>
      <c r="U918" s="20">
        <v>200000</v>
      </c>
      <c r="V918" s="1">
        <f t="shared" si="508"/>
        <v>5500</v>
      </c>
    </row>
    <row r="919" spans="1:258" ht="21.95" customHeight="1" x14ac:dyDescent="0.25">
      <c r="A919" s="18" t="s">
        <v>1162</v>
      </c>
      <c r="B919" s="25" t="s">
        <v>698</v>
      </c>
      <c r="C919" s="12">
        <f t="shared" si="510"/>
        <v>1811500</v>
      </c>
      <c r="D919" s="20">
        <f t="shared" si="505"/>
        <v>0</v>
      </c>
      <c r="E919" s="20">
        <v>0</v>
      </c>
      <c r="F919" s="20">
        <v>0</v>
      </c>
      <c r="G919" s="20">
        <v>0</v>
      </c>
      <c r="H919" s="20">
        <v>0</v>
      </c>
      <c r="I919" s="20">
        <v>0</v>
      </c>
      <c r="J919" s="20">
        <v>0</v>
      </c>
      <c r="K919" s="21">
        <v>0</v>
      </c>
      <c r="L919" s="20">
        <v>0</v>
      </c>
      <c r="M919" s="20">
        <v>293</v>
      </c>
      <c r="N919" s="20">
        <f t="shared" si="514"/>
        <v>1611500</v>
      </c>
      <c r="O919" s="20">
        <v>0</v>
      </c>
      <c r="P919" s="20">
        <v>0</v>
      </c>
      <c r="Q919" s="20">
        <v>0</v>
      </c>
      <c r="R919" s="20">
        <f t="shared" si="507"/>
        <v>0</v>
      </c>
      <c r="S919" s="20">
        <v>0</v>
      </c>
      <c r="T919" s="8">
        <v>0</v>
      </c>
      <c r="U919" s="20">
        <v>200000</v>
      </c>
      <c r="V919" s="1">
        <f t="shared" si="508"/>
        <v>5500</v>
      </c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7"/>
      <c r="AV919" s="17"/>
      <c r="AW919" s="17"/>
      <c r="AX919" s="17"/>
      <c r="AY919" s="17"/>
      <c r="AZ919" s="17"/>
      <c r="BA919" s="17"/>
      <c r="BB919" s="17"/>
      <c r="BC919" s="17"/>
      <c r="BD919" s="17"/>
      <c r="BE919" s="17"/>
      <c r="BF919" s="17"/>
      <c r="BG919" s="17"/>
      <c r="BH919" s="17"/>
      <c r="BI919" s="17"/>
      <c r="BJ919" s="17"/>
      <c r="BK919" s="17"/>
      <c r="BL919" s="17"/>
      <c r="BM919" s="17"/>
      <c r="BN919" s="17"/>
      <c r="BO919" s="17"/>
      <c r="BP919" s="17"/>
      <c r="BQ919" s="17"/>
      <c r="BR919" s="17"/>
      <c r="BS919" s="17"/>
      <c r="BT919" s="17"/>
      <c r="BU919" s="17"/>
      <c r="BV919" s="17"/>
      <c r="BW919" s="17"/>
      <c r="BX919" s="17"/>
      <c r="BY919" s="17"/>
      <c r="BZ919" s="17"/>
      <c r="CA919" s="17"/>
      <c r="CB919" s="17"/>
      <c r="CC919" s="17"/>
      <c r="CD919" s="17"/>
      <c r="CE919" s="17"/>
      <c r="CF919" s="17"/>
      <c r="CG919" s="17"/>
      <c r="CH919" s="17"/>
      <c r="CI919" s="17"/>
      <c r="CJ919" s="17"/>
      <c r="CK919" s="17"/>
      <c r="CL919" s="17"/>
      <c r="CM919" s="17"/>
      <c r="CN919" s="17"/>
      <c r="CO919" s="17"/>
      <c r="CP919" s="17"/>
      <c r="CQ919" s="17"/>
      <c r="CR919" s="17"/>
      <c r="CS919" s="17"/>
      <c r="CT919" s="17"/>
      <c r="CU919" s="17"/>
      <c r="CV919" s="17"/>
      <c r="CW919" s="17"/>
      <c r="CX919" s="17"/>
      <c r="CY919" s="17"/>
      <c r="CZ919" s="17"/>
      <c r="DA919" s="17"/>
      <c r="DB919" s="17"/>
      <c r="DC919" s="17"/>
      <c r="DD919" s="17"/>
      <c r="DE919" s="17"/>
      <c r="DF919" s="17"/>
      <c r="DG919" s="17"/>
      <c r="DH919" s="17"/>
      <c r="DI919" s="17"/>
      <c r="DJ919" s="17"/>
      <c r="DK919" s="17"/>
      <c r="DL919" s="17"/>
      <c r="DM919" s="17"/>
      <c r="DN919" s="17"/>
      <c r="DO919" s="17"/>
      <c r="DP919" s="17"/>
      <c r="DQ919" s="17"/>
      <c r="DR919" s="17"/>
      <c r="DS919" s="17"/>
      <c r="DT919" s="17"/>
      <c r="DU919" s="17"/>
      <c r="DV919" s="17"/>
      <c r="DW919" s="17"/>
      <c r="DX919" s="17"/>
      <c r="DY919" s="17"/>
      <c r="DZ919" s="17"/>
      <c r="EA919" s="17"/>
      <c r="EB919" s="17"/>
      <c r="EC919" s="17"/>
      <c r="ED919" s="17"/>
      <c r="EE919" s="17"/>
      <c r="EF919" s="17"/>
      <c r="EG919" s="17"/>
      <c r="EH919" s="17"/>
      <c r="EI919" s="17"/>
      <c r="EJ919" s="17"/>
      <c r="EK919" s="17"/>
      <c r="EL919" s="17"/>
      <c r="EM919" s="17"/>
      <c r="EN919" s="17"/>
      <c r="EO919" s="17"/>
      <c r="EP919" s="17"/>
      <c r="EQ919" s="17"/>
      <c r="ER919" s="17"/>
      <c r="ES919" s="17"/>
      <c r="ET919" s="17"/>
      <c r="EU919" s="17"/>
      <c r="EV919" s="17"/>
      <c r="EW919" s="17"/>
      <c r="EX919" s="17"/>
      <c r="EY919" s="17"/>
      <c r="EZ919" s="17"/>
      <c r="FA919" s="17"/>
      <c r="FB919" s="17"/>
      <c r="FC919" s="17"/>
      <c r="FD919" s="17"/>
      <c r="FE919" s="17"/>
      <c r="FF919" s="17"/>
      <c r="FG919" s="17"/>
      <c r="FH919" s="17"/>
      <c r="FI919" s="17"/>
      <c r="FJ919" s="17"/>
      <c r="FK919" s="17"/>
      <c r="FL919" s="17"/>
      <c r="FM919" s="17"/>
      <c r="FN919" s="17"/>
      <c r="FO919" s="17"/>
      <c r="FP919" s="17"/>
      <c r="FQ919" s="17"/>
      <c r="FR919" s="17"/>
      <c r="FS919" s="17"/>
      <c r="FT919" s="17"/>
      <c r="FU919" s="17"/>
      <c r="FV919" s="17"/>
      <c r="FW919" s="17"/>
      <c r="FX919" s="17"/>
      <c r="FY919" s="17"/>
      <c r="FZ919" s="17"/>
      <c r="GA919" s="17"/>
      <c r="GB919" s="17"/>
      <c r="GC919" s="17"/>
      <c r="GD919" s="17"/>
      <c r="GE919" s="17"/>
      <c r="GF919" s="17"/>
      <c r="GG919" s="17"/>
      <c r="GH919" s="17"/>
      <c r="GI919" s="17"/>
      <c r="GJ919" s="17"/>
      <c r="GK919" s="17"/>
      <c r="GL919" s="17"/>
      <c r="GM919" s="17"/>
      <c r="GN919" s="17"/>
      <c r="GO919" s="17"/>
      <c r="GP919" s="17"/>
      <c r="GQ919" s="17"/>
      <c r="GR919" s="17"/>
      <c r="GS919" s="17"/>
      <c r="GT919" s="17"/>
      <c r="GU919" s="17"/>
      <c r="GV919" s="17"/>
      <c r="GW919" s="17"/>
      <c r="GX919" s="17"/>
      <c r="GY919" s="17"/>
      <c r="GZ919" s="17"/>
      <c r="HA919" s="17"/>
      <c r="HB919" s="17"/>
      <c r="HC919" s="17"/>
      <c r="HD919" s="17"/>
      <c r="HE919" s="17"/>
      <c r="HF919" s="17"/>
      <c r="HG919" s="17"/>
      <c r="HH919" s="17"/>
      <c r="HI919" s="17"/>
      <c r="HJ919" s="17"/>
      <c r="HK919" s="17"/>
      <c r="HL919" s="17"/>
      <c r="HM919" s="17"/>
      <c r="HN919" s="17"/>
      <c r="HO919" s="17"/>
      <c r="HP919" s="17"/>
      <c r="HQ919" s="17"/>
      <c r="HR919" s="17"/>
      <c r="HS919" s="17"/>
      <c r="HT919" s="17"/>
      <c r="HU919" s="17"/>
      <c r="HV919" s="17"/>
      <c r="HW919" s="17"/>
      <c r="HX919" s="17"/>
      <c r="HY919" s="17"/>
      <c r="HZ919" s="17"/>
      <c r="IA919" s="17"/>
      <c r="IB919" s="17"/>
      <c r="IC919" s="17"/>
      <c r="ID919" s="17"/>
      <c r="IE919" s="17"/>
      <c r="IF919" s="17"/>
      <c r="IG919" s="17"/>
      <c r="IH919" s="17"/>
      <c r="II919" s="17"/>
      <c r="IJ919" s="17"/>
      <c r="IK919" s="17"/>
      <c r="IL919" s="17"/>
      <c r="IM919" s="17"/>
      <c r="IN919" s="17"/>
      <c r="IO919" s="17"/>
      <c r="IP919" s="17"/>
      <c r="IQ919" s="17"/>
      <c r="IR919" s="17"/>
      <c r="IS919" s="17"/>
      <c r="IT919" s="17"/>
      <c r="IU919" s="17"/>
      <c r="IV919" s="17"/>
      <c r="IW919" s="17"/>
      <c r="IX919" s="17"/>
    </row>
    <row r="920" spans="1:258" s="17" customFormat="1" ht="21.95" customHeight="1" x14ac:dyDescent="0.25">
      <c r="A920" s="18" t="s">
        <v>1163</v>
      </c>
      <c r="B920" s="25" t="s">
        <v>699</v>
      </c>
      <c r="C920" s="12">
        <f t="shared" si="510"/>
        <v>1811500</v>
      </c>
      <c r="D920" s="20">
        <f t="shared" si="505"/>
        <v>0</v>
      </c>
      <c r="E920" s="20">
        <v>0</v>
      </c>
      <c r="F920" s="20">
        <v>0</v>
      </c>
      <c r="G920" s="20">
        <v>0</v>
      </c>
      <c r="H920" s="20">
        <v>0</v>
      </c>
      <c r="I920" s="20">
        <v>0</v>
      </c>
      <c r="J920" s="20">
        <v>0</v>
      </c>
      <c r="K920" s="21">
        <v>0</v>
      </c>
      <c r="L920" s="20">
        <v>0</v>
      </c>
      <c r="M920" s="20">
        <v>293</v>
      </c>
      <c r="N920" s="20">
        <f t="shared" ref="N920:N932" si="515">M920*5500</f>
        <v>1611500</v>
      </c>
      <c r="O920" s="20">
        <v>0</v>
      </c>
      <c r="P920" s="20">
        <v>0</v>
      </c>
      <c r="Q920" s="20">
        <v>0</v>
      </c>
      <c r="R920" s="20">
        <f t="shared" si="507"/>
        <v>0</v>
      </c>
      <c r="S920" s="20">
        <v>0</v>
      </c>
      <c r="T920" s="8">
        <v>0</v>
      </c>
      <c r="U920" s="20">
        <v>200000</v>
      </c>
      <c r="V920" s="1">
        <f t="shared" si="508"/>
        <v>5500</v>
      </c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  <c r="FE920" s="2"/>
      <c r="FF920" s="2"/>
      <c r="FG920" s="2"/>
      <c r="FH920" s="2"/>
      <c r="FI920" s="2"/>
      <c r="FJ920" s="2"/>
      <c r="FK920" s="2"/>
      <c r="FL920" s="2"/>
      <c r="FM920" s="2"/>
      <c r="FN920" s="2"/>
      <c r="FO920" s="2"/>
      <c r="FP920" s="2"/>
      <c r="FQ920" s="2"/>
      <c r="FR920" s="2"/>
      <c r="FS920" s="2"/>
      <c r="FT920" s="2"/>
      <c r="FU920" s="2"/>
      <c r="FV920" s="2"/>
      <c r="FW920" s="2"/>
      <c r="FX920" s="2"/>
      <c r="FY920" s="2"/>
      <c r="FZ920" s="2"/>
      <c r="GA920" s="2"/>
      <c r="GB920" s="2"/>
      <c r="GC920" s="2"/>
      <c r="GD920" s="2"/>
      <c r="GE920" s="2"/>
      <c r="GF920" s="2"/>
      <c r="GG920" s="2"/>
      <c r="GH920" s="2"/>
      <c r="GI920" s="2"/>
      <c r="GJ920" s="2"/>
      <c r="GK920" s="2"/>
      <c r="GL920" s="2"/>
      <c r="GM920" s="2"/>
      <c r="GN920" s="2"/>
      <c r="GO920" s="2"/>
      <c r="GP920" s="2"/>
      <c r="GQ920" s="2"/>
      <c r="GR920" s="2"/>
      <c r="GS920" s="2"/>
      <c r="GT920" s="2"/>
      <c r="GU920" s="2"/>
      <c r="GV920" s="2"/>
      <c r="GW920" s="2"/>
      <c r="GX920" s="2"/>
      <c r="GY920" s="2"/>
      <c r="GZ920" s="2"/>
      <c r="HA920" s="2"/>
      <c r="HB920" s="2"/>
      <c r="HC920" s="2"/>
      <c r="HD920" s="2"/>
      <c r="HE920" s="2"/>
      <c r="HF920" s="2"/>
      <c r="HG920" s="2"/>
      <c r="HH920" s="2"/>
      <c r="HI920" s="2"/>
      <c r="HJ920" s="2"/>
      <c r="HK920" s="2"/>
      <c r="HL920" s="2"/>
      <c r="HM920" s="2"/>
      <c r="HN920" s="2"/>
      <c r="HO920" s="2"/>
      <c r="HP920" s="2"/>
      <c r="HQ920" s="2"/>
      <c r="HR920" s="2"/>
      <c r="HS920" s="2"/>
      <c r="HT920" s="2"/>
      <c r="HU920" s="2"/>
      <c r="HV920" s="2"/>
      <c r="HW920" s="2"/>
      <c r="HX920" s="2"/>
      <c r="HY920" s="2"/>
      <c r="HZ920" s="2"/>
      <c r="IA920" s="2"/>
      <c r="IB920" s="2"/>
      <c r="IC920" s="2"/>
      <c r="ID920" s="2"/>
      <c r="IE920" s="2"/>
      <c r="IF920" s="2"/>
      <c r="IG920" s="2"/>
      <c r="IH920" s="2"/>
      <c r="II920" s="2"/>
      <c r="IJ920" s="2"/>
      <c r="IK920" s="2"/>
      <c r="IL920" s="2"/>
      <c r="IM920" s="2"/>
      <c r="IN920" s="2"/>
      <c r="IO920" s="2"/>
      <c r="IP920" s="2"/>
      <c r="IQ920" s="2"/>
      <c r="IR920" s="2"/>
      <c r="IS920" s="2"/>
      <c r="IT920" s="2"/>
      <c r="IU920" s="2"/>
      <c r="IV920" s="2"/>
      <c r="IW920" s="2"/>
      <c r="IX920" s="2"/>
    </row>
    <row r="921" spans="1:258" ht="21.95" customHeight="1" x14ac:dyDescent="0.25">
      <c r="A921" s="18" t="s">
        <v>1164</v>
      </c>
      <c r="B921" s="25" t="s">
        <v>700</v>
      </c>
      <c r="C921" s="12">
        <f t="shared" si="510"/>
        <v>1817000</v>
      </c>
      <c r="D921" s="20">
        <f t="shared" si="505"/>
        <v>0</v>
      </c>
      <c r="E921" s="20">
        <v>0</v>
      </c>
      <c r="F921" s="20">
        <v>0</v>
      </c>
      <c r="G921" s="20">
        <v>0</v>
      </c>
      <c r="H921" s="20">
        <v>0</v>
      </c>
      <c r="I921" s="20">
        <v>0</v>
      </c>
      <c r="J921" s="20">
        <v>0</v>
      </c>
      <c r="K921" s="21">
        <v>0</v>
      </c>
      <c r="L921" s="20">
        <v>0</v>
      </c>
      <c r="M921" s="20">
        <v>294</v>
      </c>
      <c r="N921" s="20">
        <f t="shared" si="515"/>
        <v>1617000</v>
      </c>
      <c r="O921" s="20">
        <v>0</v>
      </c>
      <c r="P921" s="20">
        <v>0</v>
      </c>
      <c r="Q921" s="20">
        <v>0</v>
      </c>
      <c r="R921" s="20">
        <f t="shared" si="507"/>
        <v>0</v>
      </c>
      <c r="S921" s="20">
        <v>0</v>
      </c>
      <c r="T921" s="8">
        <v>0</v>
      </c>
      <c r="U921" s="20">
        <v>200000</v>
      </c>
      <c r="V921" s="1">
        <f t="shared" si="508"/>
        <v>5500</v>
      </c>
    </row>
    <row r="922" spans="1:258" ht="21.95" customHeight="1" x14ac:dyDescent="0.25">
      <c r="A922" s="18" t="s">
        <v>1165</v>
      </c>
      <c r="B922" s="25" t="s">
        <v>701</v>
      </c>
      <c r="C922" s="12">
        <f t="shared" si="510"/>
        <v>1800500</v>
      </c>
      <c r="D922" s="20">
        <f t="shared" si="505"/>
        <v>0</v>
      </c>
      <c r="E922" s="20">
        <v>0</v>
      </c>
      <c r="F922" s="20">
        <v>0</v>
      </c>
      <c r="G922" s="20">
        <v>0</v>
      </c>
      <c r="H922" s="20">
        <v>0</v>
      </c>
      <c r="I922" s="20">
        <v>0</v>
      </c>
      <c r="J922" s="20">
        <v>0</v>
      </c>
      <c r="K922" s="21">
        <v>0</v>
      </c>
      <c r="L922" s="20">
        <v>0</v>
      </c>
      <c r="M922" s="20">
        <v>291</v>
      </c>
      <c r="N922" s="20">
        <f t="shared" si="515"/>
        <v>1600500</v>
      </c>
      <c r="O922" s="20">
        <v>0</v>
      </c>
      <c r="P922" s="20">
        <v>0</v>
      </c>
      <c r="Q922" s="20">
        <v>0</v>
      </c>
      <c r="R922" s="20">
        <f t="shared" si="507"/>
        <v>0</v>
      </c>
      <c r="S922" s="20">
        <v>0</v>
      </c>
      <c r="T922" s="8">
        <v>0</v>
      </c>
      <c r="U922" s="20">
        <v>200000</v>
      </c>
      <c r="V922" s="1">
        <f t="shared" si="508"/>
        <v>5500</v>
      </c>
      <c r="W922" s="38"/>
      <c r="X922" s="38"/>
      <c r="Y922" s="38"/>
      <c r="Z922" s="38"/>
      <c r="AA922" s="38"/>
      <c r="AB922" s="38"/>
      <c r="AC922" s="38"/>
      <c r="AD922" s="38"/>
      <c r="AE922" s="38"/>
      <c r="AF922" s="38"/>
      <c r="AG922" s="38"/>
      <c r="AH922" s="38"/>
      <c r="AI922" s="38"/>
      <c r="AJ922" s="38"/>
      <c r="AK922" s="38"/>
      <c r="AL922" s="38"/>
      <c r="AM922" s="38"/>
      <c r="AN922" s="38"/>
      <c r="AO922" s="38"/>
      <c r="AP922" s="38"/>
      <c r="AQ922" s="38"/>
      <c r="AR922" s="38"/>
      <c r="AS922" s="38"/>
      <c r="AT922" s="38"/>
      <c r="AU922" s="38"/>
      <c r="AV922" s="38"/>
      <c r="AW922" s="38"/>
      <c r="AX922" s="38"/>
      <c r="AY922" s="38"/>
      <c r="AZ922" s="38"/>
      <c r="BA922" s="38"/>
      <c r="BB922" s="38"/>
      <c r="BC922" s="38"/>
      <c r="BD922" s="38"/>
      <c r="BE922" s="38"/>
      <c r="BF922" s="38"/>
      <c r="BG922" s="38"/>
      <c r="BH922" s="38"/>
      <c r="BI922" s="38"/>
      <c r="BJ922" s="38"/>
      <c r="BK922" s="38"/>
      <c r="BL922" s="38"/>
      <c r="BM922" s="38"/>
      <c r="BN922" s="38"/>
      <c r="BO922" s="38"/>
      <c r="BP922" s="38"/>
      <c r="BQ922" s="38"/>
      <c r="BR922" s="38"/>
      <c r="BS922" s="38"/>
      <c r="BT922" s="38"/>
      <c r="BU922" s="38"/>
      <c r="BV922" s="38"/>
      <c r="BW922" s="38"/>
      <c r="BX922" s="38"/>
      <c r="BY922" s="38"/>
      <c r="BZ922" s="38"/>
      <c r="CA922" s="38"/>
      <c r="CB922" s="38"/>
      <c r="CC922" s="38"/>
      <c r="CD922" s="38"/>
      <c r="CE922" s="38"/>
      <c r="CF922" s="38"/>
      <c r="CG922" s="38"/>
      <c r="CH922" s="38"/>
      <c r="CI922" s="38"/>
      <c r="CJ922" s="38"/>
      <c r="CK922" s="38"/>
      <c r="CL922" s="38"/>
      <c r="CM922" s="38"/>
      <c r="CN922" s="38"/>
      <c r="CO922" s="38"/>
      <c r="CP922" s="38"/>
      <c r="CQ922" s="38"/>
      <c r="CR922" s="38"/>
      <c r="CS922" s="38"/>
      <c r="CT922" s="38"/>
      <c r="CU922" s="38"/>
      <c r="CV922" s="38"/>
      <c r="CW922" s="38"/>
      <c r="CX922" s="38"/>
      <c r="CY922" s="38"/>
      <c r="CZ922" s="38"/>
      <c r="DA922" s="38"/>
      <c r="DB922" s="38"/>
      <c r="DC922" s="38"/>
      <c r="DD922" s="38"/>
      <c r="DE922" s="38"/>
      <c r="DF922" s="38"/>
      <c r="DG922" s="38"/>
      <c r="DH922" s="38"/>
      <c r="DI922" s="38"/>
      <c r="DJ922" s="38"/>
      <c r="DK922" s="38"/>
      <c r="DL922" s="38"/>
      <c r="DM922" s="38"/>
      <c r="DN922" s="38"/>
      <c r="DO922" s="38"/>
      <c r="DP922" s="38"/>
      <c r="DQ922" s="38"/>
      <c r="DR922" s="38"/>
      <c r="DS922" s="38"/>
      <c r="DT922" s="38"/>
      <c r="DU922" s="38"/>
      <c r="DV922" s="38"/>
      <c r="DW922" s="38"/>
      <c r="DX922" s="38"/>
      <c r="DY922" s="38"/>
      <c r="DZ922" s="38"/>
      <c r="EA922" s="38"/>
      <c r="EB922" s="38"/>
      <c r="EC922" s="38"/>
      <c r="ED922" s="38"/>
      <c r="EE922" s="38"/>
      <c r="EF922" s="38"/>
      <c r="EG922" s="38"/>
      <c r="EH922" s="38"/>
      <c r="EI922" s="38"/>
      <c r="EJ922" s="38"/>
      <c r="EK922" s="38"/>
      <c r="EL922" s="38"/>
      <c r="EM922" s="38"/>
      <c r="EN922" s="38"/>
      <c r="EO922" s="38"/>
      <c r="EP922" s="38"/>
      <c r="EQ922" s="38"/>
      <c r="ER922" s="38"/>
      <c r="ES922" s="38"/>
      <c r="ET922" s="38"/>
      <c r="EU922" s="38"/>
      <c r="EV922" s="38"/>
      <c r="EW922" s="38"/>
      <c r="EX922" s="38"/>
      <c r="EY922" s="38"/>
      <c r="EZ922" s="38"/>
      <c r="FA922" s="38"/>
      <c r="FB922" s="38"/>
      <c r="FC922" s="38"/>
      <c r="FD922" s="38"/>
      <c r="FE922" s="38"/>
      <c r="FF922" s="38"/>
      <c r="FG922" s="38"/>
      <c r="FH922" s="38"/>
      <c r="FI922" s="38"/>
      <c r="FJ922" s="38"/>
      <c r="FK922" s="38"/>
      <c r="FL922" s="38"/>
      <c r="FM922" s="38"/>
      <c r="FN922" s="38"/>
      <c r="FO922" s="38"/>
      <c r="FP922" s="38"/>
      <c r="FQ922" s="38"/>
      <c r="FR922" s="38"/>
      <c r="FS922" s="38"/>
      <c r="FT922" s="38"/>
      <c r="FU922" s="38"/>
      <c r="FV922" s="38"/>
      <c r="FW922" s="38"/>
      <c r="FX922" s="38"/>
      <c r="FY922" s="38"/>
      <c r="FZ922" s="38"/>
      <c r="GA922" s="38"/>
      <c r="GB922" s="38"/>
      <c r="GC922" s="38"/>
      <c r="GD922" s="38"/>
      <c r="GE922" s="38"/>
      <c r="GF922" s="38"/>
      <c r="GG922" s="38"/>
      <c r="GH922" s="38"/>
      <c r="GI922" s="38"/>
      <c r="GJ922" s="38"/>
      <c r="GK922" s="38"/>
      <c r="GL922" s="38"/>
      <c r="GM922" s="38"/>
      <c r="GN922" s="38"/>
      <c r="GO922" s="38"/>
      <c r="GP922" s="38"/>
      <c r="GQ922" s="38"/>
      <c r="GR922" s="38"/>
      <c r="GS922" s="38"/>
      <c r="GT922" s="38"/>
      <c r="GU922" s="38"/>
      <c r="GV922" s="38"/>
      <c r="GW922" s="38"/>
      <c r="GX922" s="38"/>
      <c r="GY922" s="38"/>
      <c r="GZ922" s="38"/>
      <c r="HA922" s="38"/>
      <c r="HB922" s="38"/>
      <c r="HC922" s="38"/>
      <c r="HD922" s="38"/>
      <c r="HE922" s="38"/>
      <c r="HF922" s="38"/>
      <c r="HG922" s="38"/>
      <c r="HH922" s="38"/>
      <c r="HI922" s="38"/>
      <c r="HJ922" s="38"/>
      <c r="HK922" s="38"/>
      <c r="HL922" s="38"/>
      <c r="HM922" s="38"/>
      <c r="HN922" s="38"/>
      <c r="HO922" s="38"/>
      <c r="HP922" s="38"/>
      <c r="HQ922" s="38"/>
      <c r="HR922" s="38"/>
      <c r="HS922" s="38"/>
      <c r="HT922" s="38"/>
      <c r="HU922" s="38"/>
      <c r="HV922" s="38"/>
      <c r="HW922" s="38"/>
      <c r="HX922" s="38"/>
      <c r="HY922" s="38"/>
      <c r="HZ922" s="38"/>
      <c r="IA922" s="38"/>
      <c r="IB922" s="38"/>
      <c r="IC922" s="38"/>
      <c r="ID922" s="38"/>
      <c r="IE922" s="38"/>
      <c r="IF922" s="38"/>
      <c r="IG922" s="38"/>
      <c r="IH922" s="38"/>
      <c r="II922" s="38"/>
      <c r="IJ922" s="38"/>
      <c r="IK922" s="38"/>
      <c r="IL922" s="38"/>
      <c r="IM922" s="38"/>
      <c r="IN922" s="38"/>
      <c r="IO922" s="38"/>
      <c r="IP922" s="38"/>
      <c r="IQ922" s="38"/>
      <c r="IR922" s="38"/>
      <c r="IS922" s="38"/>
      <c r="IT922" s="38"/>
      <c r="IU922" s="38"/>
      <c r="IV922" s="38"/>
      <c r="IW922" s="38"/>
      <c r="IX922" s="38"/>
    </row>
    <row r="923" spans="1:258" ht="21.95" customHeight="1" x14ac:dyDescent="0.25">
      <c r="A923" s="18" t="s">
        <v>1166</v>
      </c>
      <c r="B923" s="25" t="s">
        <v>702</v>
      </c>
      <c r="C923" s="12">
        <f t="shared" si="510"/>
        <v>1789500</v>
      </c>
      <c r="D923" s="20">
        <f t="shared" si="505"/>
        <v>0</v>
      </c>
      <c r="E923" s="20">
        <v>0</v>
      </c>
      <c r="F923" s="20">
        <v>0</v>
      </c>
      <c r="G923" s="20">
        <v>0</v>
      </c>
      <c r="H923" s="20">
        <v>0</v>
      </c>
      <c r="I923" s="20">
        <v>0</v>
      </c>
      <c r="J923" s="20">
        <v>0</v>
      </c>
      <c r="K923" s="21">
        <v>0</v>
      </c>
      <c r="L923" s="20">
        <v>0</v>
      </c>
      <c r="M923" s="20">
        <v>289</v>
      </c>
      <c r="N923" s="20">
        <f t="shared" si="515"/>
        <v>1589500</v>
      </c>
      <c r="O923" s="20">
        <v>0</v>
      </c>
      <c r="P923" s="20">
        <v>0</v>
      </c>
      <c r="Q923" s="20">
        <v>0</v>
      </c>
      <c r="R923" s="20">
        <f t="shared" si="507"/>
        <v>0</v>
      </c>
      <c r="S923" s="20">
        <v>0</v>
      </c>
      <c r="T923" s="8">
        <v>0</v>
      </c>
      <c r="U923" s="20">
        <v>200000</v>
      </c>
      <c r="V923" s="1">
        <f t="shared" si="508"/>
        <v>5500</v>
      </c>
      <c r="W923" s="38"/>
      <c r="X923" s="38"/>
      <c r="Y923" s="38"/>
      <c r="Z923" s="38"/>
      <c r="AA923" s="38"/>
      <c r="AB923" s="38"/>
      <c r="AC923" s="38"/>
      <c r="AD923" s="38"/>
      <c r="AE923" s="38"/>
      <c r="AF923" s="38"/>
      <c r="AG923" s="38"/>
      <c r="AH923" s="38"/>
      <c r="AI923" s="38"/>
      <c r="AJ923" s="38"/>
      <c r="AK923" s="38"/>
      <c r="AL923" s="38"/>
      <c r="AM923" s="38"/>
      <c r="AN923" s="38"/>
      <c r="AO923" s="38"/>
      <c r="AP923" s="38"/>
      <c r="AQ923" s="38"/>
      <c r="AR923" s="38"/>
      <c r="AS923" s="38"/>
      <c r="AT923" s="38"/>
      <c r="AU923" s="38"/>
      <c r="AV923" s="38"/>
      <c r="AW923" s="38"/>
      <c r="AX923" s="38"/>
      <c r="AY923" s="38"/>
      <c r="AZ923" s="38"/>
      <c r="BA923" s="38"/>
      <c r="BB923" s="38"/>
      <c r="BC923" s="38"/>
      <c r="BD923" s="38"/>
      <c r="BE923" s="38"/>
      <c r="BF923" s="38"/>
      <c r="BG923" s="38"/>
      <c r="BH923" s="38"/>
      <c r="BI923" s="38"/>
      <c r="BJ923" s="38"/>
      <c r="BK923" s="38"/>
      <c r="BL923" s="38"/>
      <c r="BM923" s="38"/>
      <c r="BN923" s="38"/>
      <c r="BO923" s="38"/>
      <c r="BP923" s="38"/>
      <c r="BQ923" s="38"/>
      <c r="BR923" s="38"/>
      <c r="BS923" s="38"/>
      <c r="BT923" s="38"/>
      <c r="BU923" s="38"/>
      <c r="BV923" s="38"/>
      <c r="BW923" s="38"/>
      <c r="BX923" s="38"/>
      <c r="BY923" s="38"/>
      <c r="BZ923" s="38"/>
      <c r="CA923" s="38"/>
      <c r="CB923" s="38"/>
      <c r="CC923" s="38"/>
      <c r="CD923" s="38"/>
      <c r="CE923" s="38"/>
      <c r="CF923" s="38"/>
      <c r="CG923" s="38"/>
      <c r="CH923" s="38"/>
      <c r="CI923" s="38"/>
      <c r="CJ923" s="38"/>
      <c r="CK923" s="38"/>
      <c r="CL923" s="38"/>
      <c r="CM923" s="38"/>
      <c r="CN923" s="38"/>
      <c r="CO923" s="38"/>
      <c r="CP923" s="38"/>
      <c r="CQ923" s="38"/>
      <c r="CR923" s="38"/>
      <c r="CS923" s="38"/>
      <c r="CT923" s="38"/>
      <c r="CU923" s="38"/>
      <c r="CV923" s="38"/>
      <c r="CW923" s="38"/>
      <c r="CX923" s="38"/>
      <c r="CY923" s="38"/>
      <c r="CZ923" s="38"/>
      <c r="DA923" s="38"/>
      <c r="DB923" s="38"/>
      <c r="DC923" s="38"/>
      <c r="DD923" s="38"/>
      <c r="DE923" s="38"/>
      <c r="DF923" s="38"/>
      <c r="DG923" s="38"/>
      <c r="DH923" s="38"/>
      <c r="DI923" s="38"/>
      <c r="DJ923" s="38"/>
      <c r="DK923" s="38"/>
      <c r="DL923" s="38"/>
      <c r="DM923" s="38"/>
      <c r="DN923" s="38"/>
      <c r="DO923" s="38"/>
      <c r="DP923" s="38"/>
      <c r="DQ923" s="38"/>
      <c r="DR923" s="38"/>
      <c r="DS923" s="38"/>
      <c r="DT923" s="38"/>
      <c r="DU923" s="38"/>
      <c r="DV923" s="38"/>
      <c r="DW923" s="38"/>
      <c r="DX923" s="38"/>
      <c r="DY923" s="38"/>
      <c r="DZ923" s="38"/>
      <c r="EA923" s="38"/>
      <c r="EB923" s="38"/>
      <c r="EC923" s="38"/>
      <c r="ED923" s="38"/>
      <c r="EE923" s="38"/>
      <c r="EF923" s="38"/>
      <c r="EG923" s="38"/>
      <c r="EH923" s="38"/>
      <c r="EI923" s="38"/>
      <c r="EJ923" s="38"/>
      <c r="EK923" s="38"/>
      <c r="EL923" s="38"/>
      <c r="EM923" s="38"/>
      <c r="EN923" s="38"/>
      <c r="EO923" s="38"/>
      <c r="EP923" s="38"/>
      <c r="EQ923" s="38"/>
      <c r="ER923" s="38"/>
      <c r="ES923" s="38"/>
      <c r="ET923" s="38"/>
      <c r="EU923" s="38"/>
      <c r="EV923" s="38"/>
      <c r="EW923" s="38"/>
      <c r="EX923" s="38"/>
      <c r="EY923" s="38"/>
      <c r="EZ923" s="38"/>
      <c r="FA923" s="38"/>
      <c r="FB923" s="38"/>
      <c r="FC923" s="38"/>
      <c r="FD923" s="38"/>
      <c r="FE923" s="38"/>
      <c r="FF923" s="38"/>
      <c r="FG923" s="38"/>
      <c r="FH923" s="38"/>
      <c r="FI923" s="38"/>
      <c r="FJ923" s="38"/>
      <c r="FK923" s="38"/>
      <c r="FL923" s="38"/>
      <c r="FM923" s="38"/>
      <c r="FN923" s="38"/>
      <c r="FO923" s="38"/>
      <c r="FP923" s="38"/>
      <c r="FQ923" s="38"/>
      <c r="FR923" s="38"/>
      <c r="FS923" s="38"/>
      <c r="FT923" s="38"/>
      <c r="FU923" s="38"/>
      <c r="FV923" s="38"/>
      <c r="FW923" s="38"/>
      <c r="FX923" s="38"/>
      <c r="FY923" s="38"/>
      <c r="FZ923" s="38"/>
      <c r="GA923" s="38"/>
      <c r="GB923" s="38"/>
      <c r="GC923" s="38"/>
      <c r="GD923" s="38"/>
      <c r="GE923" s="38"/>
      <c r="GF923" s="38"/>
      <c r="GG923" s="38"/>
      <c r="GH923" s="38"/>
      <c r="GI923" s="38"/>
      <c r="GJ923" s="38"/>
      <c r="GK923" s="38"/>
      <c r="GL923" s="38"/>
      <c r="GM923" s="38"/>
      <c r="GN923" s="38"/>
      <c r="GO923" s="38"/>
      <c r="GP923" s="38"/>
      <c r="GQ923" s="38"/>
      <c r="GR923" s="38"/>
      <c r="GS923" s="38"/>
      <c r="GT923" s="38"/>
      <c r="GU923" s="38"/>
      <c r="GV923" s="38"/>
      <c r="GW923" s="38"/>
      <c r="GX923" s="38"/>
      <c r="GY923" s="38"/>
      <c r="GZ923" s="38"/>
      <c r="HA923" s="38"/>
      <c r="HB923" s="38"/>
      <c r="HC923" s="38"/>
      <c r="HD923" s="38"/>
      <c r="HE923" s="38"/>
      <c r="HF923" s="38"/>
      <c r="HG923" s="38"/>
      <c r="HH923" s="38"/>
      <c r="HI923" s="38"/>
      <c r="HJ923" s="38"/>
      <c r="HK923" s="38"/>
      <c r="HL923" s="38"/>
      <c r="HM923" s="38"/>
      <c r="HN923" s="38"/>
      <c r="HO923" s="38"/>
      <c r="HP923" s="38"/>
      <c r="HQ923" s="38"/>
      <c r="HR923" s="38"/>
      <c r="HS923" s="38"/>
      <c r="HT923" s="38"/>
      <c r="HU923" s="38"/>
      <c r="HV923" s="38"/>
      <c r="HW923" s="38"/>
      <c r="HX923" s="38"/>
      <c r="HY923" s="38"/>
      <c r="HZ923" s="38"/>
      <c r="IA923" s="38"/>
      <c r="IB923" s="38"/>
      <c r="IC923" s="38"/>
      <c r="ID923" s="38"/>
      <c r="IE923" s="38"/>
      <c r="IF923" s="38"/>
      <c r="IG923" s="38"/>
      <c r="IH923" s="38"/>
      <c r="II923" s="38"/>
      <c r="IJ923" s="38"/>
      <c r="IK923" s="38"/>
      <c r="IL923" s="38"/>
      <c r="IM923" s="38"/>
      <c r="IN923" s="38"/>
      <c r="IO923" s="38"/>
      <c r="IP923" s="38"/>
      <c r="IQ923" s="38"/>
      <c r="IR923" s="38"/>
      <c r="IS923" s="38"/>
      <c r="IT923" s="38"/>
      <c r="IU923" s="38"/>
      <c r="IV923" s="38"/>
      <c r="IW923" s="38"/>
      <c r="IX923" s="38"/>
    </row>
    <row r="924" spans="1:258" ht="21.95" customHeight="1" x14ac:dyDescent="0.25">
      <c r="A924" s="18" t="s">
        <v>1167</v>
      </c>
      <c r="B924" s="25" t="s">
        <v>788</v>
      </c>
      <c r="C924" s="12">
        <f t="shared" si="510"/>
        <v>3632000</v>
      </c>
      <c r="D924" s="20">
        <f t="shared" si="505"/>
        <v>0</v>
      </c>
      <c r="E924" s="20">
        <v>0</v>
      </c>
      <c r="F924" s="20">
        <v>0</v>
      </c>
      <c r="G924" s="20">
        <v>0</v>
      </c>
      <c r="H924" s="20">
        <v>0</v>
      </c>
      <c r="I924" s="20">
        <v>0</v>
      </c>
      <c r="J924" s="20">
        <v>0</v>
      </c>
      <c r="K924" s="21">
        <v>0</v>
      </c>
      <c r="L924" s="20">
        <v>0</v>
      </c>
      <c r="M924" s="8">
        <v>624</v>
      </c>
      <c r="N924" s="20">
        <f t="shared" si="515"/>
        <v>3432000</v>
      </c>
      <c r="O924" s="20">
        <v>0</v>
      </c>
      <c r="P924" s="20">
        <v>0</v>
      </c>
      <c r="Q924" s="20">
        <v>0</v>
      </c>
      <c r="R924" s="20">
        <f t="shared" si="507"/>
        <v>0</v>
      </c>
      <c r="S924" s="20">
        <v>0</v>
      </c>
      <c r="T924" s="8">
        <v>0</v>
      </c>
      <c r="U924" s="20">
        <v>200000</v>
      </c>
      <c r="V924" s="1">
        <f t="shared" si="508"/>
        <v>5500</v>
      </c>
    </row>
    <row r="925" spans="1:258" ht="21.95" customHeight="1" x14ac:dyDescent="0.25">
      <c r="A925" s="18" t="s">
        <v>1168</v>
      </c>
      <c r="B925" s="25" t="s">
        <v>703</v>
      </c>
      <c r="C925" s="12">
        <f t="shared" si="510"/>
        <v>1806000</v>
      </c>
      <c r="D925" s="20">
        <f t="shared" si="505"/>
        <v>0</v>
      </c>
      <c r="E925" s="20">
        <v>0</v>
      </c>
      <c r="F925" s="20">
        <v>0</v>
      </c>
      <c r="G925" s="20">
        <v>0</v>
      </c>
      <c r="H925" s="20">
        <v>0</v>
      </c>
      <c r="I925" s="20">
        <v>0</v>
      </c>
      <c r="J925" s="20">
        <v>0</v>
      </c>
      <c r="K925" s="21">
        <v>0</v>
      </c>
      <c r="L925" s="20">
        <v>0</v>
      </c>
      <c r="M925" s="20">
        <v>292</v>
      </c>
      <c r="N925" s="20">
        <f t="shared" si="515"/>
        <v>1606000</v>
      </c>
      <c r="O925" s="20">
        <v>0</v>
      </c>
      <c r="P925" s="20">
        <v>0</v>
      </c>
      <c r="Q925" s="20">
        <v>0</v>
      </c>
      <c r="R925" s="20">
        <f t="shared" si="507"/>
        <v>0</v>
      </c>
      <c r="S925" s="20">
        <v>0</v>
      </c>
      <c r="T925" s="8">
        <v>0</v>
      </c>
      <c r="U925" s="20">
        <v>200000</v>
      </c>
      <c r="V925" s="1">
        <f t="shared" si="508"/>
        <v>5500</v>
      </c>
    </row>
    <row r="926" spans="1:258" ht="21.95" customHeight="1" x14ac:dyDescent="0.25">
      <c r="A926" s="18" t="s">
        <v>1169</v>
      </c>
      <c r="B926" s="25" t="s">
        <v>704</v>
      </c>
      <c r="C926" s="12">
        <f t="shared" si="510"/>
        <v>1806000</v>
      </c>
      <c r="D926" s="20">
        <f t="shared" si="505"/>
        <v>0</v>
      </c>
      <c r="E926" s="20">
        <v>0</v>
      </c>
      <c r="F926" s="20">
        <v>0</v>
      </c>
      <c r="G926" s="20">
        <v>0</v>
      </c>
      <c r="H926" s="20">
        <v>0</v>
      </c>
      <c r="I926" s="20">
        <v>0</v>
      </c>
      <c r="J926" s="20">
        <v>0</v>
      </c>
      <c r="K926" s="21">
        <v>0</v>
      </c>
      <c r="L926" s="20">
        <v>0</v>
      </c>
      <c r="M926" s="20">
        <v>292</v>
      </c>
      <c r="N926" s="20">
        <f t="shared" si="515"/>
        <v>1606000</v>
      </c>
      <c r="O926" s="20">
        <v>0</v>
      </c>
      <c r="P926" s="20">
        <v>0</v>
      </c>
      <c r="Q926" s="20">
        <v>0</v>
      </c>
      <c r="R926" s="20">
        <f t="shared" si="507"/>
        <v>0</v>
      </c>
      <c r="S926" s="20">
        <v>0</v>
      </c>
      <c r="T926" s="8">
        <v>0</v>
      </c>
      <c r="U926" s="20">
        <v>200000</v>
      </c>
      <c r="V926" s="1">
        <f t="shared" si="508"/>
        <v>5500</v>
      </c>
    </row>
    <row r="927" spans="1:258" ht="21.95" customHeight="1" x14ac:dyDescent="0.25">
      <c r="A927" s="18" t="s">
        <v>1170</v>
      </c>
      <c r="B927" s="25" t="s">
        <v>705</v>
      </c>
      <c r="C927" s="12">
        <f t="shared" si="510"/>
        <v>3901500</v>
      </c>
      <c r="D927" s="20">
        <f t="shared" si="505"/>
        <v>0</v>
      </c>
      <c r="E927" s="20">
        <v>0</v>
      </c>
      <c r="F927" s="20">
        <v>0</v>
      </c>
      <c r="G927" s="20">
        <v>0</v>
      </c>
      <c r="H927" s="20">
        <v>0</v>
      </c>
      <c r="I927" s="20">
        <v>0</v>
      </c>
      <c r="J927" s="20">
        <v>0</v>
      </c>
      <c r="K927" s="21">
        <v>0</v>
      </c>
      <c r="L927" s="20">
        <v>0</v>
      </c>
      <c r="M927" s="20">
        <v>673</v>
      </c>
      <c r="N927" s="20">
        <f t="shared" si="515"/>
        <v>3701500</v>
      </c>
      <c r="O927" s="20">
        <v>0</v>
      </c>
      <c r="P927" s="20">
        <v>0</v>
      </c>
      <c r="Q927" s="20">
        <v>0</v>
      </c>
      <c r="R927" s="20">
        <f t="shared" si="507"/>
        <v>0</v>
      </c>
      <c r="S927" s="20">
        <v>0</v>
      </c>
      <c r="T927" s="8">
        <v>0</v>
      </c>
      <c r="U927" s="20">
        <v>200000</v>
      </c>
      <c r="V927" s="1">
        <f t="shared" si="508"/>
        <v>5500</v>
      </c>
    </row>
    <row r="928" spans="1:258" ht="21.95" customHeight="1" x14ac:dyDescent="0.25">
      <c r="A928" s="18" t="s">
        <v>1171</v>
      </c>
      <c r="B928" s="25" t="s">
        <v>706</v>
      </c>
      <c r="C928" s="12">
        <f t="shared" si="510"/>
        <v>1833500</v>
      </c>
      <c r="D928" s="20">
        <f t="shared" si="505"/>
        <v>0</v>
      </c>
      <c r="E928" s="20">
        <v>0</v>
      </c>
      <c r="F928" s="20">
        <v>0</v>
      </c>
      <c r="G928" s="20">
        <v>0</v>
      </c>
      <c r="H928" s="20">
        <v>0</v>
      </c>
      <c r="I928" s="20">
        <v>0</v>
      </c>
      <c r="J928" s="20">
        <v>0</v>
      </c>
      <c r="K928" s="21">
        <v>0</v>
      </c>
      <c r="L928" s="20">
        <v>0</v>
      </c>
      <c r="M928" s="20">
        <v>297</v>
      </c>
      <c r="N928" s="20">
        <f t="shared" si="515"/>
        <v>1633500</v>
      </c>
      <c r="O928" s="20">
        <v>0</v>
      </c>
      <c r="P928" s="20">
        <v>0</v>
      </c>
      <c r="Q928" s="20">
        <v>0</v>
      </c>
      <c r="R928" s="20">
        <f t="shared" si="507"/>
        <v>0</v>
      </c>
      <c r="S928" s="20">
        <v>0</v>
      </c>
      <c r="T928" s="8">
        <v>0</v>
      </c>
      <c r="U928" s="20">
        <v>200000</v>
      </c>
      <c r="V928" s="1">
        <f t="shared" si="508"/>
        <v>5500</v>
      </c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  <c r="BE928" s="17"/>
      <c r="BF928" s="17"/>
      <c r="BG928" s="17"/>
      <c r="BH928" s="17"/>
      <c r="BI928" s="17"/>
      <c r="BJ928" s="17"/>
      <c r="BK928" s="17"/>
      <c r="BL928" s="17"/>
      <c r="BM928" s="17"/>
      <c r="BN928" s="17"/>
      <c r="BO928" s="17"/>
      <c r="BP928" s="17"/>
      <c r="BQ928" s="17"/>
      <c r="BR928" s="17"/>
      <c r="BS928" s="17"/>
      <c r="BT928" s="17"/>
      <c r="BU928" s="17"/>
      <c r="BV928" s="17"/>
      <c r="BW928" s="17"/>
      <c r="BX928" s="17"/>
      <c r="BY928" s="17"/>
      <c r="BZ928" s="17"/>
      <c r="CA928" s="17"/>
      <c r="CB928" s="17"/>
      <c r="CC928" s="17"/>
      <c r="CD928" s="17"/>
      <c r="CE928" s="17"/>
      <c r="CF928" s="17"/>
      <c r="CG928" s="17"/>
      <c r="CH928" s="17"/>
      <c r="CI928" s="17"/>
      <c r="CJ928" s="17"/>
      <c r="CK928" s="17"/>
      <c r="CL928" s="17"/>
      <c r="CM928" s="17"/>
      <c r="CN928" s="17"/>
      <c r="CO928" s="17"/>
      <c r="CP928" s="17"/>
      <c r="CQ928" s="17"/>
      <c r="CR928" s="17"/>
      <c r="CS928" s="17"/>
      <c r="CT928" s="17"/>
      <c r="CU928" s="17"/>
      <c r="CV928" s="17"/>
      <c r="CW928" s="17"/>
      <c r="CX928" s="17"/>
      <c r="CY928" s="17"/>
      <c r="CZ928" s="17"/>
      <c r="DA928" s="17"/>
      <c r="DB928" s="17"/>
      <c r="DC928" s="17"/>
      <c r="DD928" s="17"/>
      <c r="DE928" s="17"/>
      <c r="DF928" s="17"/>
      <c r="DG928" s="17"/>
      <c r="DH928" s="17"/>
      <c r="DI928" s="17"/>
      <c r="DJ928" s="17"/>
      <c r="DK928" s="17"/>
      <c r="DL928" s="17"/>
      <c r="DM928" s="17"/>
      <c r="DN928" s="17"/>
      <c r="DO928" s="17"/>
      <c r="DP928" s="17"/>
      <c r="DQ928" s="17"/>
      <c r="DR928" s="17"/>
      <c r="DS928" s="17"/>
      <c r="DT928" s="17"/>
      <c r="DU928" s="17"/>
      <c r="DV928" s="17"/>
      <c r="DW928" s="17"/>
      <c r="DX928" s="17"/>
      <c r="DY928" s="17"/>
      <c r="DZ928" s="17"/>
      <c r="EA928" s="17"/>
      <c r="EB928" s="17"/>
      <c r="EC928" s="17"/>
      <c r="ED928" s="17"/>
      <c r="EE928" s="17"/>
      <c r="EF928" s="17"/>
      <c r="EG928" s="17"/>
      <c r="EH928" s="17"/>
      <c r="EI928" s="17"/>
      <c r="EJ928" s="17"/>
      <c r="EK928" s="17"/>
      <c r="EL928" s="17"/>
      <c r="EM928" s="17"/>
      <c r="EN928" s="17"/>
      <c r="EO928" s="17"/>
      <c r="EP928" s="17"/>
      <c r="EQ928" s="17"/>
      <c r="ER928" s="17"/>
      <c r="ES928" s="17"/>
      <c r="ET928" s="17"/>
      <c r="EU928" s="17"/>
      <c r="EV928" s="17"/>
      <c r="EW928" s="17"/>
      <c r="EX928" s="17"/>
      <c r="EY928" s="17"/>
      <c r="EZ928" s="17"/>
      <c r="FA928" s="17"/>
      <c r="FB928" s="17"/>
      <c r="FC928" s="17"/>
      <c r="FD928" s="17"/>
      <c r="FE928" s="17"/>
      <c r="FF928" s="17"/>
      <c r="FG928" s="17"/>
      <c r="FH928" s="17"/>
      <c r="FI928" s="17"/>
      <c r="FJ928" s="17"/>
      <c r="FK928" s="17"/>
      <c r="FL928" s="17"/>
      <c r="FM928" s="17"/>
      <c r="FN928" s="17"/>
      <c r="FO928" s="17"/>
      <c r="FP928" s="17"/>
      <c r="FQ928" s="17"/>
      <c r="FR928" s="17"/>
      <c r="FS928" s="17"/>
      <c r="FT928" s="17"/>
      <c r="FU928" s="17"/>
      <c r="FV928" s="17"/>
      <c r="FW928" s="17"/>
      <c r="FX928" s="17"/>
      <c r="FY928" s="17"/>
      <c r="FZ928" s="17"/>
      <c r="GA928" s="17"/>
      <c r="GB928" s="17"/>
      <c r="GC928" s="17"/>
      <c r="GD928" s="17"/>
      <c r="GE928" s="17"/>
      <c r="GF928" s="17"/>
      <c r="GG928" s="17"/>
      <c r="GH928" s="17"/>
      <c r="GI928" s="17"/>
      <c r="GJ928" s="17"/>
      <c r="GK928" s="17"/>
      <c r="GL928" s="17"/>
      <c r="GM928" s="17"/>
      <c r="GN928" s="17"/>
      <c r="GO928" s="17"/>
      <c r="GP928" s="17"/>
      <c r="GQ928" s="17"/>
      <c r="GR928" s="17"/>
      <c r="GS928" s="17"/>
      <c r="GT928" s="17"/>
      <c r="GU928" s="17"/>
      <c r="GV928" s="17"/>
      <c r="GW928" s="17"/>
      <c r="GX928" s="17"/>
      <c r="GY928" s="17"/>
      <c r="GZ928" s="17"/>
      <c r="HA928" s="17"/>
      <c r="HB928" s="17"/>
      <c r="HC928" s="17"/>
      <c r="HD928" s="17"/>
      <c r="HE928" s="17"/>
      <c r="HF928" s="17"/>
      <c r="HG928" s="17"/>
      <c r="HH928" s="17"/>
      <c r="HI928" s="17"/>
      <c r="HJ928" s="17"/>
      <c r="HK928" s="17"/>
      <c r="HL928" s="17"/>
      <c r="HM928" s="17"/>
      <c r="HN928" s="17"/>
      <c r="HO928" s="17"/>
      <c r="HP928" s="17"/>
      <c r="HQ928" s="17"/>
      <c r="HR928" s="17"/>
      <c r="HS928" s="17"/>
      <c r="HT928" s="17"/>
      <c r="HU928" s="17"/>
      <c r="HV928" s="17"/>
      <c r="HW928" s="17"/>
      <c r="HX928" s="17"/>
      <c r="HY928" s="17"/>
      <c r="HZ928" s="17"/>
      <c r="IA928" s="17"/>
      <c r="IB928" s="17"/>
      <c r="IC928" s="17"/>
      <c r="ID928" s="17"/>
      <c r="IE928" s="17"/>
      <c r="IF928" s="17"/>
      <c r="IG928" s="17"/>
      <c r="IH928" s="17"/>
      <c r="II928" s="17"/>
      <c r="IJ928" s="17"/>
      <c r="IK928" s="17"/>
      <c r="IL928" s="17"/>
      <c r="IM928" s="17"/>
      <c r="IN928" s="17"/>
      <c r="IO928" s="17"/>
      <c r="IP928" s="17"/>
      <c r="IQ928" s="17"/>
      <c r="IR928" s="17"/>
      <c r="IS928" s="17"/>
      <c r="IT928" s="17"/>
      <c r="IU928" s="17"/>
      <c r="IV928" s="17"/>
      <c r="IW928" s="17"/>
      <c r="IX928" s="17"/>
    </row>
    <row r="929" spans="1:258" ht="21.95" customHeight="1" x14ac:dyDescent="0.25">
      <c r="A929" s="18" t="s">
        <v>1172</v>
      </c>
      <c r="B929" s="25" t="s">
        <v>789</v>
      </c>
      <c r="C929" s="12">
        <f t="shared" si="510"/>
        <v>3131500</v>
      </c>
      <c r="D929" s="20">
        <f t="shared" si="505"/>
        <v>0</v>
      </c>
      <c r="E929" s="20">
        <v>0</v>
      </c>
      <c r="F929" s="20">
        <v>0</v>
      </c>
      <c r="G929" s="20">
        <v>0</v>
      </c>
      <c r="H929" s="20">
        <v>0</v>
      </c>
      <c r="I929" s="20">
        <v>0</v>
      </c>
      <c r="J929" s="20">
        <v>0</v>
      </c>
      <c r="K929" s="21">
        <v>0</v>
      </c>
      <c r="L929" s="20">
        <v>0</v>
      </c>
      <c r="M929" s="8">
        <v>533</v>
      </c>
      <c r="N929" s="20">
        <f t="shared" si="515"/>
        <v>2931500</v>
      </c>
      <c r="O929" s="20">
        <v>0</v>
      </c>
      <c r="P929" s="20">
        <v>0</v>
      </c>
      <c r="Q929" s="20">
        <v>0</v>
      </c>
      <c r="R929" s="20">
        <f t="shared" si="507"/>
        <v>0</v>
      </c>
      <c r="S929" s="20">
        <v>0</v>
      </c>
      <c r="T929" s="8">
        <v>0</v>
      </c>
      <c r="U929" s="20">
        <v>200000</v>
      </c>
      <c r="V929" s="1">
        <f t="shared" si="508"/>
        <v>5500</v>
      </c>
    </row>
    <row r="930" spans="1:258" ht="21.95" customHeight="1" x14ac:dyDescent="0.25">
      <c r="A930" s="18" t="s">
        <v>1173</v>
      </c>
      <c r="B930" s="25" t="s">
        <v>707</v>
      </c>
      <c r="C930" s="12">
        <f t="shared" si="510"/>
        <v>1558500</v>
      </c>
      <c r="D930" s="20">
        <f t="shared" si="505"/>
        <v>0</v>
      </c>
      <c r="E930" s="20">
        <v>0</v>
      </c>
      <c r="F930" s="20">
        <v>0</v>
      </c>
      <c r="G930" s="20">
        <v>0</v>
      </c>
      <c r="H930" s="20">
        <v>0</v>
      </c>
      <c r="I930" s="20">
        <v>0</v>
      </c>
      <c r="J930" s="20">
        <v>0</v>
      </c>
      <c r="K930" s="21">
        <v>0</v>
      </c>
      <c r="L930" s="20">
        <v>0</v>
      </c>
      <c r="M930" s="20">
        <v>247</v>
      </c>
      <c r="N930" s="20">
        <f t="shared" si="515"/>
        <v>1358500</v>
      </c>
      <c r="O930" s="20">
        <v>0</v>
      </c>
      <c r="P930" s="20">
        <v>0</v>
      </c>
      <c r="Q930" s="20">
        <v>0</v>
      </c>
      <c r="R930" s="20">
        <f t="shared" si="507"/>
        <v>0</v>
      </c>
      <c r="S930" s="20">
        <v>0</v>
      </c>
      <c r="T930" s="8">
        <v>0</v>
      </c>
      <c r="U930" s="20">
        <v>200000</v>
      </c>
      <c r="V930" s="1">
        <f t="shared" si="508"/>
        <v>5500</v>
      </c>
    </row>
    <row r="931" spans="1:258" ht="21.95" customHeight="1" x14ac:dyDescent="0.25">
      <c r="A931" s="18" t="s">
        <v>1174</v>
      </c>
      <c r="B931" s="25" t="s">
        <v>708</v>
      </c>
      <c r="C931" s="12">
        <f t="shared" si="510"/>
        <v>2955500</v>
      </c>
      <c r="D931" s="20">
        <f t="shared" si="505"/>
        <v>0</v>
      </c>
      <c r="E931" s="20">
        <v>0</v>
      </c>
      <c r="F931" s="20">
        <v>0</v>
      </c>
      <c r="G931" s="20">
        <v>0</v>
      </c>
      <c r="H931" s="20">
        <v>0</v>
      </c>
      <c r="I931" s="20">
        <v>0</v>
      </c>
      <c r="J931" s="20">
        <v>0</v>
      </c>
      <c r="K931" s="21">
        <v>0</v>
      </c>
      <c r="L931" s="20">
        <v>0</v>
      </c>
      <c r="M931" s="20">
        <v>501</v>
      </c>
      <c r="N931" s="20">
        <f t="shared" si="515"/>
        <v>2755500</v>
      </c>
      <c r="O931" s="20">
        <v>0</v>
      </c>
      <c r="P931" s="20">
        <v>0</v>
      </c>
      <c r="Q931" s="20">
        <v>0</v>
      </c>
      <c r="R931" s="20">
        <f t="shared" si="507"/>
        <v>0</v>
      </c>
      <c r="S931" s="20">
        <v>0</v>
      </c>
      <c r="T931" s="8">
        <v>0</v>
      </c>
      <c r="U931" s="20">
        <v>200000</v>
      </c>
      <c r="V931" s="1">
        <f t="shared" si="508"/>
        <v>5500</v>
      </c>
    </row>
    <row r="932" spans="1:258" ht="21.95" customHeight="1" x14ac:dyDescent="0.25">
      <c r="A932" s="18" t="s">
        <v>1175</v>
      </c>
      <c r="B932" s="25" t="s">
        <v>709</v>
      </c>
      <c r="C932" s="12">
        <f t="shared" si="510"/>
        <v>2348300</v>
      </c>
      <c r="D932" s="20">
        <f t="shared" si="505"/>
        <v>0</v>
      </c>
      <c r="E932" s="20">
        <v>0</v>
      </c>
      <c r="F932" s="20">
        <v>0</v>
      </c>
      <c r="G932" s="20">
        <v>0</v>
      </c>
      <c r="H932" s="20">
        <v>0</v>
      </c>
      <c r="I932" s="20">
        <v>0</v>
      </c>
      <c r="J932" s="20">
        <v>0</v>
      </c>
      <c r="K932" s="21">
        <v>0</v>
      </c>
      <c r="L932" s="20">
        <v>0</v>
      </c>
      <c r="M932" s="20">
        <v>390.6</v>
      </c>
      <c r="N932" s="20">
        <f t="shared" si="515"/>
        <v>2148300</v>
      </c>
      <c r="O932" s="20">
        <v>0</v>
      </c>
      <c r="P932" s="20">
        <v>0</v>
      </c>
      <c r="Q932" s="8">
        <v>0</v>
      </c>
      <c r="R932" s="20">
        <f t="shared" si="507"/>
        <v>0</v>
      </c>
      <c r="S932" s="20">
        <v>0</v>
      </c>
      <c r="T932" s="8">
        <v>0</v>
      </c>
      <c r="U932" s="20">
        <v>200000</v>
      </c>
      <c r="V932" s="1">
        <f t="shared" si="508"/>
        <v>5500</v>
      </c>
    </row>
    <row r="933" spans="1:258" ht="21.95" customHeight="1" x14ac:dyDescent="0.25">
      <c r="A933" s="18" t="s">
        <v>1176</v>
      </c>
      <c r="B933" s="25" t="s">
        <v>1617</v>
      </c>
      <c r="C933" s="12">
        <f t="shared" si="510"/>
        <v>10500000</v>
      </c>
      <c r="D933" s="20">
        <f t="shared" si="505"/>
        <v>0</v>
      </c>
      <c r="E933" s="20">
        <v>0</v>
      </c>
      <c r="F933" s="20">
        <v>0</v>
      </c>
      <c r="G933" s="20">
        <v>0</v>
      </c>
      <c r="H933" s="20">
        <v>0</v>
      </c>
      <c r="I933" s="20">
        <v>0</v>
      </c>
      <c r="J933" s="20">
        <v>0</v>
      </c>
      <c r="K933" s="21">
        <v>0</v>
      </c>
      <c r="L933" s="20">
        <v>0</v>
      </c>
      <c r="M933" s="20">
        <v>0</v>
      </c>
      <c r="N933" s="20">
        <v>0</v>
      </c>
      <c r="O933" s="20">
        <v>0</v>
      </c>
      <c r="P933" s="20">
        <v>0</v>
      </c>
      <c r="Q933" s="20">
        <v>3500</v>
      </c>
      <c r="R933" s="20">
        <f t="shared" si="507"/>
        <v>10500000</v>
      </c>
      <c r="S933" s="20">
        <v>0</v>
      </c>
      <c r="T933" s="8">
        <v>0</v>
      </c>
      <c r="U933" s="20">
        <v>0</v>
      </c>
      <c r="V933" s="1" t="e">
        <f t="shared" si="508"/>
        <v>#DIV/0!</v>
      </c>
    </row>
    <row r="934" spans="1:258" ht="21.95" customHeight="1" x14ac:dyDescent="0.25">
      <c r="A934" s="18" t="s">
        <v>1177</v>
      </c>
      <c r="B934" s="25" t="s">
        <v>710</v>
      </c>
      <c r="C934" s="12">
        <f t="shared" si="510"/>
        <v>3063300</v>
      </c>
      <c r="D934" s="20">
        <f t="shared" si="505"/>
        <v>0</v>
      </c>
      <c r="E934" s="20">
        <v>0</v>
      </c>
      <c r="F934" s="20">
        <v>0</v>
      </c>
      <c r="G934" s="20">
        <v>0</v>
      </c>
      <c r="H934" s="20">
        <v>0</v>
      </c>
      <c r="I934" s="20">
        <v>0</v>
      </c>
      <c r="J934" s="20">
        <v>0</v>
      </c>
      <c r="K934" s="21">
        <v>0</v>
      </c>
      <c r="L934" s="20">
        <v>0</v>
      </c>
      <c r="M934" s="20">
        <v>520.6</v>
      </c>
      <c r="N934" s="20">
        <f t="shared" ref="N934:N937" si="516">M934*5500</f>
        <v>2863300</v>
      </c>
      <c r="O934" s="20">
        <v>0</v>
      </c>
      <c r="P934" s="20">
        <v>0</v>
      </c>
      <c r="Q934" s="8">
        <v>0</v>
      </c>
      <c r="R934" s="20">
        <f t="shared" si="507"/>
        <v>0</v>
      </c>
      <c r="S934" s="20">
        <v>0</v>
      </c>
      <c r="T934" s="8">
        <v>0</v>
      </c>
      <c r="U934" s="20">
        <v>200000</v>
      </c>
      <c r="V934" s="1">
        <f t="shared" si="508"/>
        <v>5500</v>
      </c>
    </row>
    <row r="935" spans="1:258" ht="21.95" customHeight="1" x14ac:dyDescent="0.25">
      <c r="A935" s="18" t="s">
        <v>1178</v>
      </c>
      <c r="B935" s="25" t="s">
        <v>711</v>
      </c>
      <c r="C935" s="12">
        <f t="shared" si="510"/>
        <v>1811500</v>
      </c>
      <c r="D935" s="20">
        <f t="shared" si="505"/>
        <v>0</v>
      </c>
      <c r="E935" s="20">
        <v>0</v>
      </c>
      <c r="F935" s="20">
        <v>0</v>
      </c>
      <c r="G935" s="20">
        <v>0</v>
      </c>
      <c r="H935" s="20">
        <v>0</v>
      </c>
      <c r="I935" s="20">
        <v>0</v>
      </c>
      <c r="J935" s="20">
        <v>0</v>
      </c>
      <c r="K935" s="21">
        <v>0</v>
      </c>
      <c r="L935" s="20">
        <v>0</v>
      </c>
      <c r="M935" s="20">
        <v>293</v>
      </c>
      <c r="N935" s="20">
        <f t="shared" si="516"/>
        <v>1611500</v>
      </c>
      <c r="O935" s="20">
        <v>0</v>
      </c>
      <c r="P935" s="20">
        <v>0</v>
      </c>
      <c r="Q935" s="8">
        <v>0</v>
      </c>
      <c r="R935" s="20">
        <f t="shared" si="507"/>
        <v>0</v>
      </c>
      <c r="S935" s="20">
        <v>0</v>
      </c>
      <c r="T935" s="8">
        <v>0</v>
      </c>
      <c r="U935" s="20">
        <v>200000</v>
      </c>
      <c r="V935" s="1">
        <f t="shared" si="508"/>
        <v>5500</v>
      </c>
    </row>
    <row r="936" spans="1:258" ht="21.95" customHeight="1" x14ac:dyDescent="0.25">
      <c r="A936" s="18" t="s">
        <v>1179</v>
      </c>
      <c r="B936" s="31" t="s">
        <v>831</v>
      </c>
      <c r="C936" s="12">
        <f t="shared" si="510"/>
        <v>5821450</v>
      </c>
      <c r="D936" s="20">
        <f t="shared" si="505"/>
        <v>1313400</v>
      </c>
      <c r="E936" s="20">
        <f>350*547.25</f>
        <v>191537.5</v>
      </c>
      <c r="F936" s="20">
        <f>800*547.25</f>
        <v>437800</v>
      </c>
      <c r="G936" s="20">
        <f>350*547.25</f>
        <v>191537.5</v>
      </c>
      <c r="H936" s="20">
        <f>500*547.25</f>
        <v>273625</v>
      </c>
      <c r="I936" s="20">
        <f>400*547.25</f>
        <v>218900</v>
      </c>
      <c r="J936" s="20">
        <v>0</v>
      </c>
      <c r="K936" s="21">
        <v>0</v>
      </c>
      <c r="L936" s="20">
        <v>0</v>
      </c>
      <c r="M936" s="8">
        <v>493.1</v>
      </c>
      <c r="N936" s="20">
        <f t="shared" si="516"/>
        <v>2712050</v>
      </c>
      <c r="O936" s="20">
        <v>0</v>
      </c>
      <c r="P936" s="20">
        <v>0</v>
      </c>
      <c r="Q936" s="20">
        <v>532</v>
      </c>
      <c r="R936" s="20">
        <f t="shared" si="507"/>
        <v>1596000</v>
      </c>
      <c r="S936" s="20">
        <v>0</v>
      </c>
      <c r="T936" s="8">
        <v>0</v>
      </c>
      <c r="U936" s="20">
        <v>200000</v>
      </c>
      <c r="V936" s="1">
        <f t="shared" si="508"/>
        <v>5500</v>
      </c>
    </row>
    <row r="937" spans="1:258" ht="21.95" customHeight="1" x14ac:dyDescent="0.25">
      <c r="A937" s="18" t="s">
        <v>1180</v>
      </c>
      <c r="B937" s="25" t="s">
        <v>791</v>
      </c>
      <c r="C937" s="12">
        <f t="shared" si="510"/>
        <v>1877500</v>
      </c>
      <c r="D937" s="20">
        <f t="shared" si="505"/>
        <v>0</v>
      </c>
      <c r="E937" s="20">
        <v>0</v>
      </c>
      <c r="F937" s="20">
        <v>0</v>
      </c>
      <c r="G937" s="20">
        <v>0</v>
      </c>
      <c r="H937" s="20">
        <v>0</v>
      </c>
      <c r="I937" s="20">
        <v>0</v>
      </c>
      <c r="J937" s="20">
        <v>0</v>
      </c>
      <c r="K937" s="21">
        <v>0</v>
      </c>
      <c r="L937" s="20">
        <v>0</v>
      </c>
      <c r="M937" s="20">
        <v>305</v>
      </c>
      <c r="N937" s="20">
        <f t="shared" si="516"/>
        <v>1677500</v>
      </c>
      <c r="O937" s="20">
        <v>0</v>
      </c>
      <c r="P937" s="20">
        <v>0</v>
      </c>
      <c r="Q937" s="8">
        <v>0</v>
      </c>
      <c r="R937" s="20">
        <f t="shared" si="507"/>
        <v>0</v>
      </c>
      <c r="S937" s="20">
        <v>0</v>
      </c>
      <c r="T937" s="8">
        <v>0</v>
      </c>
      <c r="U937" s="20">
        <v>200000</v>
      </c>
      <c r="V937" s="1">
        <f t="shared" si="508"/>
        <v>5500</v>
      </c>
    </row>
    <row r="938" spans="1:258" ht="21.95" customHeight="1" x14ac:dyDescent="0.25">
      <c r="A938" s="18" t="s">
        <v>1181</v>
      </c>
      <c r="B938" s="25" t="s">
        <v>792</v>
      </c>
      <c r="C938" s="12">
        <f t="shared" si="510"/>
        <v>1615699.9999999998</v>
      </c>
      <c r="D938" s="20">
        <f t="shared" si="505"/>
        <v>0</v>
      </c>
      <c r="E938" s="20">
        <v>0</v>
      </c>
      <c r="F938" s="20">
        <v>0</v>
      </c>
      <c r="G938" s="20">
        <v>0</v>
      </c>
      <c r="H938" s="20">
        <v>0</v>
      </c>
      <c r="I938" s="20">
        <v>0</v>
      </c>
      <c r="J938" s="20">
        <v>0</v>
      </c>
      <c r="K938" s="21">
        <v>0</v>
      </c>
      <c r="L938" s="20">
        <v>0</v>
      </c>
      <c r="M938" s="20">
        <v>257.39999999999998</v>
      </c>
      <c r="N938" s="20">
        <f t="shared" ref="N938:N946" si="517">M938*5500</f>
        <v>1415699.9999999998</v>
      </c>
      <c r="O938" s="20">
        <v>0</v>
      </c>
      <c r="P938" s="20">
        <v>0</v>
      </c>
      <c r="Q938" s="8">
        <v>0</v>
      </c>
      <c r="R938" s="20">
        <f t="shared" si="507"/>
        <v>0</v>
      </c>
      <c r="S938" s="20">
        <v>0</v>
      </c>
      <c r="T938" s="8">
        <v>0</v>
      </c>
      <c r="U938" s="20">
        <v>200000</v>
      </c>
      <c r="V938" s="1">
        <f t="shared" si="508"/>
        <v>5500</v>
      </c>
    </row>
    <row r="939" spans="1:258" ht="21.95" customHeight="1" x14ac:dyDescent="0.25">
      <c r="A939" s="18" t="s">
        <v>1182</v>
      </c>
      <c r="B939" s="25" t="s">
        <v>793</v>
      </c>
      <c r="C939" s="12">
        <f t="shared" si="510"/>
        <v>22249160</v>
      </c>
      <c r="D939" s="20">
        <f t="shared" si="505"/>
        <v>18608160</v>
      </c>
      <c r="E939" s="20">
        <f>350*7753.4</f>
        <v>2713690</v>
      </c>
      <c r="F939" s="20">
        <f>800*7753.4</f>
        <v>6202720</v>
      </c>
      <c r="G939" s="20">
        <f>350*7753.4</f>
        <v>2713690</v>
      </c>
      <c r="H939" s="20">
        <f>500*7753.4</f>
        <v>3876700</v>
      </c>
      <c r="I939" s="20">
        <f>400*7753.4</f>
        <v>3101360</v>
      </c>
      <c r="J939" s="20">
        <v>0</v>
      </c>
      <c r="K939" s="21">
        <v>0</v>
      </c>
      <c r="L939" s="20">
        <v>0</v>
      </c>
      <c r="M939" s="20">
        <v>438</v>
      </c>
      <c r="N939" s="20">
        <f t="shared" si="517"/>
        <v>2409000</v>
      </c>
      <c r="O939" s="20">
        <v>0</v>
      </c>
      <c r="P939" s="20">
        <v>0</v>
      </c>
      <c r="Q939" s="20">
        <v>344</v>
      </c>
      <c r="R939" s="20">
        <f t="shared" si="507"/>
        <v>1032000</v>
      </c>
      <c r="S939" s="20">
        <v>0</v>
      </c>
      <c r="T939" s="8">
        <v>0</v>
      </c>
      <c r="U939" s="20">
        <v>200000</v>
      </c>
      <c r="V939" s="1">
        <f t="shared" si="508"/>
        <v>5500</v>
      </c>
    </row>
    <row r="940" spans="1:258" s="45" customFormat="1" ht="21.95" customHeight="1" x14ac:dyDescent="0.25">
      <c r="A940" s="18" t="s">
        <v>1183</v>
      </c>
      <c r="B940" s="25" t="s">
        <v>712</v>
      </c>
      <c r="C940" s="12">
        <f t="shared" si="510"/>
        <v>1618449.9999999998</v>
      </c>
      <c r="D940" s="20">
        <f t="shared" si="505"/>
        <v>0</v>
      </c>
      <c r="E940" s="20">
        <v>0</v>
      </c>
      <c r="F940" s="20">
        <v>0</v>
      </c>
      <c r="G940" s="20">
        <v>0</v>
      </c>
      <c r="H940" s="20">
        <v>0</v>
      </c>
      <c r="I940" s="20">
        <v>0</v>
      </c>
      <c r="J940" s="20">
        <v>0</v>
      </c>
      <c r="K940" s="21">
        <v>0</v>
      </c>
      <c r="L940" s="20">
        <v>0</v>
      </c>
      <c r="M940" s="20">
        <v>257.89999999999998</v>
      </c>
      <c r="N940" s="20">
        <f t="shared" si="517"/>
        <v>1418449.9999999998</v>
      </c>
      <c r="O940" s="20">
        <v>0</v>
      </c>
      <c r="P940" s="20">
        <v>0</v>
      </c>
      <c r="Q940" s="8">
        <v>0</v>
      </c>
      <c r="R940" s="20">
        <f t="shared" si="507"/>
        <v>0</v>
      </c>
      <c r="S940" s="20">
        <v>0</v>
      </c>
      <c r="T940" s="8">
        <v>0</v>
      </c>
      <c r="U940" s="20">
        <v>200000</v>
      </c>
      <c r="V940" s="1">
        <f t="shared" si="508"/>
        <v>5500</v>
      </c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  <c r="FE940" s="2"/>
      <c r="FF940" s="2"/>
      <c r="FG940" s="2"/>
      <c r="FH940" s="2"/>
      <c r="FI940" s="2"/>
      <c r="FJ940" s="2"/>
      <c r="FK940" s="2"/>
      <c r="FL940" s="2"/>
      <c r="FM940" s="2"/>
      <c r="FN940" s="2"/>
      <c r="FO940" s="2"/>
      <c r="FP940" s="2"/>
      <c r="FQ940" s="2"/>
      <c r="FR940" s="2"/>
      <c r="FS940" s="2"/>
      <c r="FT940" s="2"/>
      <c r="FU940" s="2"/>
      <c r="FV940" s="2"/>
      <c r="FW940" s="2"/>
      <c r="FX940" s="2"/>
      <c r="FY940" s="2"/>
      <c r="FZ940" s="2"/>
      <c r="GA940" s="2"/>
      <c r="GB940" s="2"/>
      <c r="GC940" s="2"/>
      <c r="GD940" s="2"/>
      <c r="GE940" s="2"/>
      <c r="GF940" s="2"/>
      <c r="GG940" s="2"/>
      <c r="GH940" s="2"/>
      <c r="GI940" s="2"/>
      <c r="GJ940" s="2"/>
      <c r="GK940" s="2"/>
      <c r="GL940" s="2"/>
      <c r="GM940" s="2"/>
      <c r="GN940" s="2"/>
      <c r="GO940" s="2"/>
      <c r="GP940" s="2"/>
      <c r="GQ940" s="2"/>
      <c r="GR940" s="2"/>
      <c r="GS940" s="2"/>
      <c r="GT940" s="2"/>
      <c r="GU940" s="2"/>
      <c r="GV940" s="2"/>
      <c r="GW940" s="2"/>
      <c r="GX940" s="2"/>
      <c r="GY940" s="2"/>
      <c r="GZ940" s="2"/>
      <c r="HA940" s="2"/>
      <c r="HB940" s="2"/>
      <c r="HC940" s="2"/>
      <c r="HD940" s="2"/>
      <c r="HE940" s="2"/>
      <c r="HF940" s="2"/>
      <c r="HG940" s="2"/>
      <c r="HH940" s="2"/>
      <c r="HI940" s="2"/>
      <c r="HJ940" s="2"/>
      <c r="HK940" s="2"/>
      <c r="HL940" s="2"/>
      <c r="HM940" s="2"/>
      <c r="HN940" s="2"/>
      <c r="HO940" s="2"/>
      <c r="HP940" s="2"/>
      <c r="HQ940" s="2"/>
      <c r="HR940" s="2"/>
      <c r="HS940" s="2"/>
      <c r="HT940" s="2"/>
      <c r="HU940" s="2"/>
      <c r="HV940" s="2"/>
      <c r="HW940" s="2"/>
      <c r="HX940" s="2"/>
      <c r="HY940" s="2"/>
      <c r="HZ940" s="2"/>
      <c r="IA940" s="2"/>
      <c r="IB940" s="2"/>
      <c r="IC940" s="2"/>
      <c r="ID940" s="2"/>
      <c r="IE940" s="2"/>
      <c r="IF940" s="2"/>
      <c r="IG940" s="2"/>
      <c r="IH940" s="2"/>
      <c r="II940" s="2"/>
      <c r="IJ940" s="2"/>
      <c r="IK940" s="2"/>
      <c r="IL940" s="2"/>
      <c r="IM940" s="2"/>
      <c r="IN940" s="2"/>
      <c r="IO940" s="2"/>
      <c r="IP940" s="2"/>
      <c r="IQ940" s="2"/>
      <c r="IR940" s="2"/>
      <c r="IS940" s="2"/>
      <c r="IT940" s="2"/>
      <c r="IU940" s="2"/>
      <c r="IV940" s="2"/>
      <c r="IW940" s="2"/>
      <c r="IX940" s="2"/>
    </row>
    <row r="941" spans="1:258" ht="21.95" customHeight="1" x14ac:dyDescent="0.25">
      <c r="A941" s="18" t="s">
        <v>1184</v>
      </c>
      <c r="B941" s="25" t="s">
        <v>713</v>
      </c>
      <c r="C941" s="12">
        <f t="shared" si="510"/>
        <v>1608000</v>
      </c>
      <c r="D941" s="20">
        <f t="shared" si="505"/>
        <v>0</v>
      </c>
      <c r="E941" s="20">
        <v>0</v>
      </c>
      <c r="F941" s="20">
        <v>0</v>
      </c>
      <c r="G941" s="20">
        <v>0</v>
      </c>
      <c r="H941" s="20">
        <v>0</v>
      </c>
      <c r="I941" s="20">
        <v>0</v>
      </c>
      <c r="J941" s="20">
        <v>0</v>
      </c>
      <c r="K941" s="21">
        <v>0</v>
      </c>
      <c r="L941" s="20">
        <v>0</v>
      </c>
      <c r="M941" s="20">
        <v>256</v>
      </c>
      <c r="N941" s="20">
        <f t="shared" si="517"/>
        <v>1408000</v>
      </c>
      <c r="O941" s="20">
        <v>0</v>
      </c>
      <c r="P941" s="20">
        <v>0</v>
      </c>
      <c r="Q941" s="8">
        <v>0</v>
      </c>
      <c r="R941" s="20">
        <f t="shared" si="507"/>
        <v>0</v>
      </c>
      <c r="S941" s="20">
        <v>0</v>
      </c>
      <c r="T941" s="8">
        <v>0</v>
      </c>
      <c r="U941" s="20">
        <v>200000</v>
      </c>
      <c r="V941" s="1">
        <f t="shared" si="508"/>
        <v>5500</v>
      </c>
    </row>
    <row r="942" spans="1:258" ht="21.95" customHeight="1" x14ac:dyDescent="0.25">
      <c r="A942" s="18" t="s">
        <v>1185</v>
      </c>
      <c r="B942" s="31" t="s">
        <v>794</v>
      </c>
      <c r="C942" s="12">
        <f t="shared" si="510"/>
        <v>2895000</v>
      </c>
      <c r="D942" s="20">
        <f t="shared" si="505"/>
        <v>0</v>
      </c>
      <c r="E942" s="20">
        <v>0</v>
      </c>
      <c r="F942" s="20">
        <v>0</v>
      </c>
      <c r="G942" s="20">
        <v>0</v>
      </c>
      <c r="H942" s="20">
        <v>0</v>
      </c>
      <c r="I942" s="20">
        <v>0</v>
      </c>
      <c r="J942" s="20">
        <v>0</v>
      </c>
      <c r="K942" s="21">
        <v>0</v>
      </c>
      <c r="L942" s="20">
        <v>0</v>
      </c>
      <c r="M942" s="20">
        <v>490</v>
      </c>
      <c r="N942" s="20">
        <f t="shared" si="517"/>
        <v>2695000</v>
      </c>
      <c r="O942" s="20">
        <v>0</v>
      </c>
      <c r="P942" s="20">
        <v>0</v>
      </c>
      <c r="Q942" s="8">
        <v>0</v>
      </c>
      <c r="R942" s="20">
        <f t="shared" si="507"/>
        <v>0</v>
      </c>
      <c r="S942" s="20">
        <v>0</v>
      </c>
      <c r="T942" s="8">
        <v>0</v>
      </c>
      <c r="U942" s="20">
        <v>200000</v>
      </c>
      <c r="V942" s="1">
        <f t="shared" si="508"/>
        <v>5500</v>
      </c>
    </row>
    <row r="943" spans="1:258" ht="21.95" customHeight="1" x14ac:dyDescent="0.25">
      <c r="A943" s="18" t="s">
        <v>1186</v>
      </c>
      <c r="B943" s="25" t="s">
        <v>714</v>
      </c>
      <c r="C943" s="12">
        <f t="shared" si="510"/>
        <v>3081450</v>
      </c>
      <c r="D943" s="20">
        <f t="shared" si="505"/>
        <v>0</v>
      </c>
      <c r="E943" s="20">
        <v>0</v>
      </c>
      <c r="F943" s="20">
        <v>0</v>
      </c>
      <c r="G943" s="20">
        <v>0</v>
      </c>
      <c r="H943" s="20">
        <v>0</v>
      </c>
      <c r="I943" s="20">
        <v>0</v>
      </c>
      <c r="J943" s="20">
        <v>0</v>
      </c>
      <c r="K943" s="21">
        <v>0</v>
      </c>
      <c r="L943" s="20">
        <v>0</v>
      </c>
      <c r="M943" s="20">
        <v>523.9</v>
      </c>
      <c r="N943" s="20">
        <f t="shared" si="517"/>
        <v>2881450</v>
      </c>
      <c r="O943" s="20">
        <v>0</v>
      </c>
      <c r="P943" s="20">
        <v>0</v>
      </c>
      <c r="Q943" s="8">
        <v>0</v>
      </c>
      <c r="R943" s="20">
        <f t="shared" si="507"/>
        <v>0</v>
      </c>
      <c r="S943" s="20">
        <v>0</v>
      </c>
      <c r="T943" s="8">
        <v>0</v>
      </c>
      <c r="U943" s="20">
        <v>200000</v>
      </c>
      <c r="V943" s="1">
        <f t="shared" si="508"/>
        <v>5500</v>
      </c>
    </row>
    <row r="944" spans="1:258" ht="21.95" customHeight="1" x14ac:dyDescent="0.25">
      <c r="A944" s="18" t="s">
        <v>1187</v>
      </c>
      <c r="B944" s="25" t="s">
        <v>795</v>
      </c>
      <c r="C944" s="12">
        <f t="shared" si="510"/>
        <v>3340500</v>
      </c>
      <c r="D944" s="20">
        <f t="shared" si="505"/>
        <v>0</v>
      </c>
      <c r="E944" s="20">
        <v>0</v>
      </c>
      <c r="F944" s="20">
        <v>0</v>
      </c>
      <c r="G944" s="20">
        <v>0</v>
      </c>
      <c r="H944" s="20">
        <v>0</v>
      </c>
      <c r="I944" s="20">
        <v>0</v>
      </c>
      <c r="J944" s="20">
        <v>0</v>
      </c>
      <c r="K944" s="21">
        <v>0</v>
      </c>
      <c r="L944" s="20">
        <v>0</v>
      </c>
      <c r="M944" s="20">
        <v>571</v>
      </c>
      <c r="N944" s="20">
        <f t="shared" si="517"/>
        <v>3140500</v>
      </c>
      <c r="O944" s="20">
        <v>0</v>
      </c>
      <c r="P944" s="20">
        <v>0</v>
      </c>
      <c r="Q944" s="8">
        <v>0</v>
      </c>
      <c r="R944" s="20">
        <f t="shared" si="507"/>
        <v>0</v>
      </c>
      <c r="S944" s="20">
        <v>0</v>
      </c>
      <c r="T944" s="8">
        <v>0</v>
      </c>
      <c r="U944" s="20">
        <v>200000</v>
      </c>
      <c r="V944" s="1">
        <f t="shared" si="508"/>
        <v>5500</v>
      </c>
    </row>
    <row r="945" spans="1:258" s="46" customFormat="1" ht="21.95" customHeight="1" x14ac:dyDescent="0.25">
      <c r="A945" s="18" t="s">
        <v>1188</v>
      </c>
      <c r="B945" s="25" t="s">
        <v>715</v>
      </c>
      <c r="C945" s="12">
        <f t="shared" si="510"/>
        <v>2943950</v>
      </c>
      <c r="D945" s="20">
        <f t="shared" si="505"/>
        <v>0</v>
      </c>
      <c r="E945" s="20">
        <v>0</v>
      </c>
      <c r="F945" s="20">
        <v>0</v>
      </c>
      <c r="G945" s="20">
        <v>0</v>
      </c>
      <c r="H945" s="20">
        <v>0</v>
      </c>
      <c r="I945" s="20">
        <v>0</v>
      </c>
      <c r="J945" s="20">
        <v>0</v>
      </c>
      <c r="K945" s="21">
        <v>0</v>
      </c>
      <c r="L945" s="20">
        <v>0</v>
      </c>
      <c r="M945" s="20">
        <v>498.9</v>
      </c>
      <c r="N945" s="20">
        <f t="shared" si="517"/>
        <v>2743950</v>
      </c>
      <c r="O945" s="20">
        <v>0</v>
      </c>
      <c r="P945" s="20">
        <v>0</v>
      </c>
      <c r="Q945" s="8">
        <v>0</v>
      </c>
      <c r="R945" s="20">
        <f t="shared" si="507"/>
        <v>0</v>
      </c>
      <c r="S945" s="20">
        <v>0</v>
      </c>
      <c r="T945" s="8">
        <v>0</v>
      </c>
      <c r="U945" s="20">
        <v>200000</v>
      </c>
      <c r="V945" s="1">
        <f t="shared" si="508"/>
        <v>5500</v>
      </c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  <c r="FE945" s="2"/>
      <c r="FF945" s="2"/>
      <c r="FG945" s="2"/>
      <c r="FH945" s="2"/>
      <c r="FI945" s="2"/>
      <c r="FJ945" s="2"/>
      <c r="FK945" s="2"/>
      <c r="FL945" s="2"/>
      <c r="FM945" s="2"/>
      <c r="FN945" s="2"/>
      <c r="FO945" s="2"/>
      <c r="FP945" s="2"/>
      <c r="FQ945" s="2"/>
      <c r="FR945" s="2"/>
      <c r="FS945" s="2"/>
      <c r="FT945" s="2"/>
      <c r="FU945" s="2"/>
      <c r="FV945" s="2"/>
      <c r="FW945" s="2"/>
      <c r="FX945" s="2"/>
      <c r="FY945" s="2"/>
      <c r="FZ945" s="2"/>
      <c r="GA945" s="2"/>
      <c r="GB945" s="2"/>
      <c r="GC945" s="2"/>
      <c r="GD945" s="2"/>
      <c r="GE945" s="2"/>
      <c r="GF945" s="2"/>
      <c r="GG945" s="2"/>
      <c r="GH945" s="2"/>
      <c r="GI945" s="2"/>
      <c r="GJ945" s="2"/>
      <c r="GK945" s="2"/>
      <c r="GL945" s="2"/>
      <c r="GM945" s="2"/>
      <c r="GN945" s="2"/>
      <c r="GO945" s="2"/>
      <c r="GP945" s="2"/>
      <c r="GQ945" s="2"/>
      <c r="GR945" s="2"/>
      <c r="GS945" s="2"/>
      <c r="GT945" s="2"/>
      <c r="GU945" s="2"/>
      <c r="GV945" s="2"/>
      <c r="GW945" s="2"/>
      <c r="GX945" s="2"/>
      <c r="GY945" s="2"/>
      <c r="GZ945" s="2"/>
      <c r="HA945" s="2"/>
      <c r="HB945" s="2"/>
      <c r="HC945" s="2"/>
      <c r="HD945" s="2"/>
      <c r="HE945" s="2"/>
      <c r="HF945" s="2"/>
      <c r="HG945" s="2"/>
      <c r="HH945" s="2"/>
      <c r="HI945" s="2"/>
      <c r="HJ945" s="2"/>
      <c r="HK945" s="2"/>
      <c r="HL945" s="2"/>
      <c r="HM945" s="2"/>
      <c r="HN945" s="2"/>
      <c r="HO945" s="2"/>
      <c r="HP945" s="2"/>
      <c r="HQ945" s="2"/>
      <c r="HR945" s="2"/>
      <c r="HS945" s="2"/>
      <c r="HT945" s="2"/>
      <c r="HU945" s="2"/>
      <c r="HV945" s="2"/>
      <c r="HW945" s="2"/>
      <c r="HX945" s="2"/>
      <c r="HY945" s="2"/>
      <c r="HZ945" s="2"/>
      <c r="IA945" s="2"/>
      <c r="IB945" s="2"/>
      <c r="IC945" s="2"/>
      <c r="ID945" s="2"/>
      <c r="IE945" s="2"/>
      <c r="IF945" s="2"/>
      <c r="IG945" s="2"/>
      <c r="IH945" s="2"/>
      <c r="II945" s="2"/>
      <c r="IJ945" s="2"/>
      <c r="IK945" s="2"/>
      <c r="IL945" s="2"/>
      <c r="IM945" s="2"/>
      <c r="IN945" s="2"/>
      <c r="IO945" s="2"/>
      <c r="IP945" s="2"/>
      <c r="IQ945" s="2"/>
      <c r="IR945" s="2"/>
      <c r="IS945" s="2"/>
      <c r="IT945" s="2"/>
      <c r="IU945" s="2"/>
      <c r="IV945" s="2"/>
      <c r="IW945" s="2"/>
      <c r="IX945" s="2"/>
    </row>
    <row r="946" spans="1:258" ht="21.95" customHeight="1" x14ac:dyDescent="0.25">
      <c r="A946" s="18" t="s">
        <v>1189</v>
      </c>
      <c r="B946" s="25" t="s">
        <v>716</v>
      </c>
      <c r="C946" s="12">
        <f t="shared" si="510"/>
        <v>2943950</v>
      </c>
      <c r="D946" s="20">
        <f t="shared" si="505"/>
        <v>0</v>
      </c>
      <c r="E946" s="20">
        <v>0</v>
      </c>
      <c r="F946" s="20">
        <v>0</v>
      </c>
      <c r="G946" s="20">
        <v>0</v>
      </c>
      <c r="H946" s="20">
        <v>0</v>
      </c>
      <c r="I946" s="20">
        <v>0</v>
      </c>
      <c r="J946" s="20">
        <v>0</v>
      </c>
      <c r="K946" s="21">
        <v>0</v>
      </c>
      <c r="L946" s="20">
        <v>0</v>
      </c>
      <c r="M946" s="20">
        <v>498.9</v>
      </c>
      <c r="N946" s="20">
        <f t="shared" si="517"/>
        <v>2743950</v>
      </c>
      <c r="O946" s="20">
        <v>0</v>
      </c>
      <c r="P946" s="20">
        <v>0</v>
      </c>
      <c r="Q946" s="8">
        <v>0</v>
      </c>
      <c r="R946" s="20">
        <f t="shared" si="507"/>
        <v>0</v>
      </c>
      <c r="S946" s="20">
        <v>0</v>
      </c>
      <c r="T946" s="8">
        <v>0</v>
      </c>
      <c r="U946" s="20">
        <v>200000</v>
      </c>
      <c r="V946" s="1">
        <f t="shared" si="508"/>
        <v>5500</v>
      </c>
    </row>
    <row r="947" spans="1:258" ht="21.95" customHeight="1" x14ac:dyDescent="0.25">
      <c r="A947" s="18" t="s">
        <v>1190</v>
      </c>
      <c r="B947" s="25" t="s">
        <v>796</v>
      </c>
      <c r="C947" s="12">
        <f t="shared" si="510"/>
        <v>5920000</v>
      </c>
      <c r="D947" s="20">
        <f t="shared" si="505"/>
        <v>0</v>
      </c>
      <c r="E947" s="20">
        <v>0</v>
      </c>
      <c r="F947" s="20">
        <v>0</v>
      </c>
      <c r="G947" s="20">
        <v>0</v>
      </c>
      <c r="H947" s="20">
        <v>0</v>
      </c>
      <c r="I947" s="20">
        <v>0</v>
      </c>
      <c r="J947" s="20">
        <v>0</v>
      </c>
      <c r="K947" s="21">
        <v>0</v>
      </c>
      <c r="L947" s="20">
        <v>0</v>
      </c>
      <c r="M947" s="20">
        <v>1040</v>
      </c>
      <c r="N947" s="20">
        <f t="shared" ref="N947:N955" si="518">M947*5500</f>
        <v>5720000</v>
      </c>
      <c r="O947" s="20">
        <v>0</v>
      </c>
      <c r="P947" s="20">
        <v>0</v>
      </c>
      <c r="Q947" s="8">
        <v>0</v>
      </c>
      <c r="R947" s="20">
        <f t="shared" si="507"/>
        <v>0</v>
      </c>
      <c r="S947" s="20">
        <v>0</v>
      </c>
      <c r="T947" s="8">
        <v>0</v>
      </c>
      <c r="U947" s="20">
        <v>200000</v>
      </c>
      <c r="V947" s="1">
        <f t="shared" si="508"/>
        <v>5500</v>
      </c>
    </row>
    <row r="948" spans="1:258" ht="21.95" customHeight="1" x14ac:dyDescent="0.25">
      <c r="A948" s="18" t="s">
        <v>1191</v>
      </c>
      <c r="B948" s="31" t="s">
        <v>797</v>
      </c>
      <c r="C948" s="12">
        <f t="shared" si="510"/>
        <v>3802500</v>
      </c>
      <c r="D948" s="20">
        <f t="shared" si="505"/>
        <v>0</v>
      </c>
      <c r="E948" s="20">
        <v>0</v>
      </c>
      <c r="F948" s="20">
        <v>0</v>
      </c>
      <c r="G948" s="20">
        <v>0</v>
      </c>
      <c r="H948" s="20">
        <v>0</v>
      </c>
      <c r="I948" s="20">
        <v>0</v>
      </c>
      <c r="J948" s="20">
        <v>0</v>
      </c>
      <c r="K948" s="21">
        <v>0</v>
      </c>
      <c r="L948" s="20">
        <v>0</v>
      </c>
      <c r="M948" s="8">
        <v>655</v>
      </c>
      <c r="N948" s="20">
        <f t="shared" si="518"/>
        <v>3602500</v>
      </c>
      <c r="O948" s="20">
        <v>0</v>
      </c>
      <c r="P948" s="20">
        <v>0</v>
      </c>
      <c r="Q948" s="8">
        <v>0</v>
      </c>
      <c r="R948" s="20">
        <f t="shared" ref="R948:R1011" si="519">Q948*3000</f>
        <v>0</v>
      </c>
      <c r="S948" s="20">
        <v>0</v>
      </c>
      <c r="T948" s="8">
        <v>0</v>
      </c>
      <c r="U948" s="20">
        <v>200000</v>
      </c>
      <c r="V948" s="1">
        <f t="shared" ref="V948:V1011" si="520">N948/M948</f>
        <v>5500</v>
      </c>
    </row>
    <row r="949" spans="1:258" ht="21.95" customHeight="1" x14ac:dyDescent="0.25">
      <c r="A949" s="18" t="s">
        <v>1192</v>
      </c>
      <c r="B949" s="31" t="s">
        <v>798</v>
      </c>
      <c r="C949" s="12">
        <f t="shared" si="510"/>
        <v>3571500</v>
      </c>
      <c r="D949" s="20">
        <f t="shared" ref="D949:D1012" si="521">SUM(E949:J949)</f>
        <v>0</v>
      </c>
      <c r="E949" s="20">
        <v>0</v>
      </c>
      <c r="F949" s="20">
        <v>0</v>
      </c>
      <c r="G949" s="20">
        <v>0</v>
      </c>
      <c r="H949" s="20">
        <v>0</v>
      </c>
      <c r="I949" s="20">
        <v>0</v>
      </c>
      <c r="J949" s="20">
        <v>0</v>
      </c>
      <c r="K949" s="21">
        <v>0</v>
      </c>
      <c r="L949" s="20">
        <v>0</v>
      </c>
      <c r="M949" s="8">
        <v>613</v>
      </c>
      <c r="N949" s="20">
        <f t="shared" si="518"/>
        <v>3371500</v>
      </c>
      <c r="O949" s="20">
        <v>0</v>
      </c>
      <c r="P949" s="20">
        <v>0</v>
      </c>
      <c r="Q949" s="8">
        <v>0</v>
      </c>
      <c r="R949" s="20">
        <f t="shared" si="519"/>
        <v>0</v>
      </c>
      <c r="S949" s="20">
        <v>0</v>
      </c>
      <c r="T949" s="8">
        <v>0</v>
      </c>
      <c r="U949" s="20">
        <v>200000</v>
      </c>
      <c r="V949" s="1">
        <f t="shared" si="520"/>
        <v>5500</v>
      </c>
    </row>
    <row r="950" spans="1:258" ht="21.95" customHeight="1" x14ac:dyDescent="0.25">
      <c r="A950" s="18" t="s">
        <v>1193</v>
      </c>
      <c r="B950" s="32" t="s">
        <v>1222</v>
      </c>
      <c r="C950" s="12">
        <f t="shared" si="510"/>
        <v>9362100</v>
      </c>
      <c r="D950" s="20">
        <f t="shared" si="521"/>
        <v>0</v>
      </c>
      <c r="E950" s="20">
        <v>0</v>
      </c>
      <c r="F950" s="20">
        <v>0</v>
      </c>
      <c r="G950" s="20">
        <v>0</v>
      </c>
      <c r="H950" s="20">
        <v>0</v>
      </c>
      <c r="I950" s="20">
        <v>0</v>
      </c>
      <c r="J950" s="20">
        <v>0</v>
      </c>
      <c r="K950" s="21">
        <v>0</v>
      </c>
      <c r="L950" s="20">
        <v>0</v>
      </c>
      <c r="M950" s="20">
        <v>960.7</v>
      </c>
      <c r="N950" s="20">
        <f t="shared" si="518"/>
        <v>5283850</v>
      </c>
      <c r="O950" s="20">
        <v>0</v>
      </c>
      <c r="P950" s="20">
        <v>0</v>
      </c>
      <c r="Q950" s="20">
        <v>1292.75</v>
      </c>
      <c r="R950" s="20">
        <f t="shared" si="519"/>
        <v>3878250</v>
      </c>
      <c r="S950" s="20">
        <v>0</v>
      </c>
      <c r="T950" s="8">
        <v>0</v>
      </c>
      <c r="U950" s="20">
        <v>200000</v>
      </c>
      <c r="V950" s="1">
        <f t="shared" si="520"/>
        <v>5500</v>
      </c>
    </row>
    <row r="951" spans="1:258" ht="21.95" customHeight="1" x14ac:dyDescent="0.25">
      <c r="A951" s="18" t="s">
        <v>1194</v>
      </c>
      <c r="B951" s="25" t="s">
        <v>717</v>
      </c>
      <c r="C951" s="12">
        <f t="shared" si="510"/>
        <v>1745500</v>
      </c>
      <c r="D951" s="20">
        <f t="shared" si="521"/>
        <v>0</v>
      </c>
      <c r="E951" s="20">
        <v>0</v>
      </c>
      <c r="F951" s="20">
        <v>0</v>
      </c>
      <c r="G951" s="20">
        <v>0</v>
      </c>
      <c r="H951" s="20">
        <v>0</v>
      </c>
      <c r="I951" s="20">
        <v>0</v>
      </c>
      <c r="J951" s="20">
        <v>0</v>
      </c>
      <c r="K951" s="21">
        <v>0</v>
      </c>
      <c r="L951" s="20">
        <v>0</v>
      </c>
      <c r="M951" s="20">
        <v>281</v>
      </c>
      <c r="N951" s="20">
        <f t="shared" si="518"/>
        <v>1545500</v>
      </c>
      <c r="O951" s="20">
        <v>0</v>
      </c>
      <c r="P951" s="20">
        <v>0</v>
      </c>
      <c r="Q951" s="8">
        <v>0</v>
      </c>
      <c r="R951" s="20">
        <f t="shared" si="519"/>
        <v>0</v>
      </c>
      <c r="S951" s="20">
        <v>0</v>
      </c>
      <c r="T951" s="8">
        <v>0</v>
      </c>
      <c r="U951" s="20">
        <v>200000</v>
      </c>
      <c r="V951" s="1">
        <f t="shared" si="520"/>
        <v>5500</v>
      </c>
    </row>
    <row r="952" spans="1:258" ht="21.95" customHeight="1" x14ac:dyDescent="0.25">
      <c r="A952" s="18" t="s">
        <v>1195</v>
      </c>
      <c r="B952" s="31" t="s">
        <v>718</v>
      </c>
      <c r="C952" s="12">
        <f t="shared" ref="C952:C1015" si="522">D952+L952+N952+P952+R952+S952+T952+U952</f>
        <v>6154299.9999999991</v>
      </c>
      <c r="D952" s="20">
        <f t="shared" si="521"/>
        <v>0</v>
      </c>
      <c r="E952" s="20">
        <v>0</v>
      </c>
      <c r="F952" s="20">
        <v>0</v>
      </c>
      <c r="G952" s="20">
        <v>0</v>
      </c>
      <c r="H952" s="20">
        <v>0</v>
      </c>
      <c r="I952" s="20">
        <v>0</v>
      </c>
      <c r="J952" s="20">
        <v>0</v>
      </c>
      <c r="K952" s="21">
        <v>0</v>
      </c>
      <c r="L952" s="20">
        <v>0</v>
      </c>
      <c r="M952" s="8">
        <v>1082.5999999999999</v>
      </c>
      <c r="N952" s="20">
        <f t="shared" si="518"/>
        <v>5954299.9999999991</v>
      </c>
      <c r="O952" s="20">
        <v>0</v>
      </c>
      <c r="P952" s="20">
        <v>0</v>
      </c>
      <c r="Q952" s="8">
        <v>0</v>
      </c>
      <c r="R952" s="20">
        <f t="shared" si="519"/>
        <v>0</v>
      </c>
      <c r="S952" s="20">
        <v>0</v>
      </c>
      <c r="T952" s="8">
        <v>0</v>
      </c>
      <c r="U952" s="20">
        <v>200000</v>
      </c>
      <c r="V952" s="1">
        <f t="shared" si="520"/>
        <v>5500</v>
      </c>
    </row>
    <row r="953" spans="1:258" s="17" customFormat="1" ht="21.95" customHeight="1" x14ac:dyDescent="0.25">
      <c r="A953" s="18" t="s">
        <v>1196</v>
      </c>
      <c r="B953" s="25" t="s">
        <v>799</v>
      </c>
      <c r="C953" s="12">
        <f t="shared" si="522"/>
        <v>6153200.0000000009</v>
      </c>
      <c r="D953" s="20">
        <f t="shared" si="521"/>
        <v>0</v>
      </c>
      <c r="E953" s="20">
        <v>0</v>
      </c>
      <c r="F953" s="20">
        <v>0</v>
      </c>
      <c r="G953" s="20">
        <v>0</v>
      </c>
      <c r="H953" s="20">
        <v>0</v>
      </c>
      <c r="I953" s="20">
        <v>0</v>
      </c>
      <c r="J953" s="20">
        <v>0</v>
      </c>
      <c r="K953" s="21">
        <v>0</v>
      </c>
      <c r="L953" s="20">
        <v>0</v>
      </c>
      <c r="M953" s="8">
        <v>1082.4000000000001</v>
      </c>
      <c r="N953" s="20">
        <f t="shared" si="518"/>
        <v>5953200.0000000009</v>
      </c>
      <c r="O953" s="20">
        <v>0</v>
      </c>
      <c r="P953" s="20">
        <v>0</v>
      </c>
      <c r="Q953" s="8">
        <v>0</v>
      </c>
      <c r="R953" s="20">
        <f t="shared" si="519"/>
        <v>0</v>
      </c>
      <c r="S953" s="20">
        <v>0</v>
      </c>
      <c r="T953" s="8">
        <v>0</v>
      </c>
      <c r="U953" s="20">
        <v>200000</v>
      </c>
      <c r="V953" s="1">
        <f t="shared" si="520"/>
        <v>5500</v>
      </c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  <c r="FE953" s="2"/>
      <c r="FF953" s="2"/>
      <c r="FG953" s="2"/>
      <c r="FH953" s="2"/>
      <c r="FI953" s="2"/>
      <c r="FJ953" s="2"/>
      <c r="FK953" s="2"/>
      <c r="FL953" s="2"/>
      <c r="FM953" s="2"/>
      <c r="FN953" s="2"/>
      <c r="FO953" s="2"/>
      <c r="FP953" s="2"/>
      <c r="FQ953" s="2"/>
      <c r="FR953" s="2"/>
      <c r="FS953" s="2"/>
      <c r="FT953" s="2"/>
      <c r="FU953" s="2"/>
      <c r="FV953" s="2"/>
      <c r="FW953" s="2"/>
      <c r="FX953" s="2"/>
      <c r="FY953" s="2"/>
      <c r="FZ953" s="2"/>
      <c r="GA953" s="2"/>
      <c r="GB953" s="2"/>
      <c r="GC953" s="2"/>
      <c r="GD953" s="2"/>
      <c r="GE953" s="2"/>
      <c r="GF953" s="2"/>
      <c r="GG953" s="2"/>
      <c r="GH953" s="2"/>
      <c r="GI953" s="2"/>
      <c r="GJ953" s="2"/>
      <c r="GK953" s="2"/>
      <c r="GL953" s="2"/>
      <c r="GM953" s="2"/>
      <c r="GN953" s="2"/>
      <c r="GO953" s="2"/>
      <c r="GP953" s="2"/>
      <c r="GQ953" s="2"/>
      <c r="GR953" s="2"/>
      <c r="GS953" s="2"/>
      <c r="GT953" s="2"/>
      <c r="GU953" s="2"/>
      <c r="GV953" s="2"/>
      <c r="GW953" s="2"/>
      <c r="GX953" s="2"/>
      <c r="GY953" s="2"/>
      <c r="GZ953" s="2"/>
      <c r="HA953" s="2"/>
      <c r="HB953" s="2"/>
      <c r="HC953" s="2"/>
      <c r="HD953" s="2"/>
      <c r="HE953" s="2"/>
      <c r="HF953" s="2"/>
      <c r="HG953" s="2"/>
      <c r="HH953" s="2"/>
      <c r="HI953" s="2"/>
      <c r="HJ953" s="2"/>
      <c r="HK953" s="2"/>
      <c r="HL953" s="2"/>
      <c r="HM953" s="2"/>
      <c r="HN953" s="2"/>
      <c r="HO953" s="2"/>
      <c r="HP953" s="2"/>
      <c r="HQ953" s="2"/>
      <c r="HR953" s="2"/>
      <c r="HS953" s="2"/>
      <c r="HT953" s="2"/>
      <c r="HU953" s="2"/>
      <c r="HV953" s="2"/>
      <c r="HW953" s="2"/>
      <c r="HX953" s="2"/>
      <c r="HY953" s="2"/>
      <c r="HZ953" s="2"/>
      <c r="IA953" s="2"/>
      <c r="IB953" s="2"/>
      <c r="IC953" s="2"/>
      <c r="ID953" s="2"/>
      <c r="IE953" s="2"/>
      <c r="IF953" s="2"/>
      <c r="IG953" s="2"/>
      <c r="IH953" s="2"/>
      <c r="II953" s="2"/>
      <c r="IJ953" s="2"/>
      <c r="IK953" s="2"/>
      <c r="IL953" s="2"/>
      <c r="IM953" s="2"/>
      <c r="IN953" s="2"/>
      <c r="IO953" s="2"/>
      <c r="IP953" s="2"/>
      <c r="IQ953" s="2"/>
      <c r="IR953" s="2"/>
      <c r="IS953" s="2"/>
      <c r="IT953" s="2"/>
      <c r="IU953" s="2"/>
      <c r="IV953" s="2"/>
      <c r="IW953" s="2"/>
      <c r="IX953" s="2"/>
    </row>
    <row r="954" spans="1:258" ht="21.95" customHeight="1" x14ac:dyDescent="0.25">
      <c r="A954" s="18" t="s">
        <v>1197</v>
      </c>
      <c r="B954" s="25" t="s">
        <v>800</v>
      </c>
      <c r="C954" s="12">
        <f t="shared" si="522"/>
        <v>2840000</v>
      </c>
      <c r="D954" s="20">
        <f t="shared" si="521"/>
        <v>0</v>
      </c>
      <c r="E954" s="20">
        <v>0</v>
      </c>
      <c r="F954" s="20">
        <v>0</v>
      </c>
      <c r="G954" s="20">
        <v>0</v>
      </c>
      <c r="H954" s="20">
        <v>0</v>
      </c>
      <c r="I954" s="20">
        <v>0</v>
      </c>
      <c r="J954" s="20">
        <v>0</v>
      </c>
      <c r="K954" s="21">
        <v>0</v>
      </c>
      <c r="L954" s="20">
        <v>0</v>
      </c>
      <c r="M954" s="8">
        <v>480</v>
      </c>
      <c r="N954" s="20">
        <f t="shared" si="518"/>
        <v>2640000</v>
      </c>
      <c r="O954" s="20">
        <v>0</v>
      </c>
      <c r="P954" s="20">
        <v>0</v>
      </c>
      <c r="Q954" s="8">
        <v>0</v>
      </c>
      <c r="R954" s="20">
        <f t="shared" si="519"/>
        <v>0</v>
      </c>
      <c r="S954" s="20">
        <v>0</v>
      </c>
      <c r="T954" s="8">
        <v>0</v>
      </c>
      <c r="U954" s="20">
        <v>200000</v>
      </c>
      <c r="V954" s="1">
        <f t="shared" si="520"/>
        <v>5500</v>
      </c>
    </row>
    <row r="955" spans="1:258" ht="21.95" customHeight="1" x14ac:dyDescent="0.25">
      <c r="A955" s="18" t="s">
        <v>1198</v>
      </c>
      <c r="B955" s="25" t="s">
        <v>801</v>
      </c>
      <c r="C955" s="12">
        <f t="shared" si="522"/>
        <v>3152950</v>
      </c>
      <c r="D955" s="20">
        <f t="shared" si="521"/>
        <v>0</v>
      </c>
      <c r="E955" s="20">
        <v>0</v>
      </c>
      <c r="F955" s="20">
        <v>0</v>
      </c>
      <c r="G955" s="20">
        <v>0</v>
      </c>
      <c r="H955" s="20">
        <v>0</v>
      </c>
      <c r="I955" s="20">
        <v>0</v>
      </c>
      <c r="J955" s="20">
        <v>0</v>
      </c>
      <c r="K955" s="21">
        <v>0</v>
      </c>
      <c r="L955" s="20">
        <v>0</v>
      </c>
      <c r="M955" s="8">
        <v>536.9</v>
      </c>
      <c r="N955" s="20">
        <f t="shared" si="518"/>
        <v>2952950</v>
      </c>
      <c r="O955" s="20">
        <v>0</v>
      </c>
      <c r="P955" s="20">
        <v>0</v>
      </c>
      <c r="Q955" s="8">
        <v>0</v>
      </c>
      <c r="R955" s="20">
        <f t="shared" si="519"/>
        <v>0</v>
      </c>
      <c r="S955" s="20">
        <v>0</v>
      </c>
      <c r="T955" s="8">
        <v>0</v>
      </c>
      <c r="U955" s="20">
        <v>200000</v>
      </c>
      <c r="V955" s="1">
        <f t="shared" si="520"/>
        <v>5500</v>
      </c>
    </row>
    <row r="956" spans="1:258" ht="21.95" customHeight="1" x14ac:dyDescent="0.25">
      <c r="A956" s="18" t="s">
        <v>1199</v>
      </c>
      <c r="B956" s="25" t="s">
        <v>719</v>
      </c>
      <c r="C956" s="12">
        <f t="shared" si="522"/>
        <v>3245350.0000000005</v>
      </c>
      <c r="D956" s="20">
        <f t="shared" si="521"/>
        <v>0</v>
      </c>
      <c r="E956" s="20">
        <v>0</v>
      </c>
      <c r="F956" s="20">
        <v>0</v>
      </c>
      <c r="G956" s="20">
        <v>0</v>
      </c>
      <c r="H956" s="20">
        <v>0</v>
      </c>
      <c r="I956" s="20">
        <v>0</v>
      </c>
      <c r="J956" s="20">
        <v>0</v>
      </c>
      <c r="K956" s="21">
        <v>0</v>
      </c>
      <c r="L956" s="20">
        <v>0</v>
      </c>
      <c r="M956" s="20">
        <v>553.70000000000005</v>
      </c>
      <c r="N956" s="20">
        <f t="shared" ref="N956:N963" si="523">M956*5500</f>
        <v>3045350.0000000005</v>
      </c>
      <c r="O956" s="20">
        <v>0</v>
      </c>
      <c r="P956" s="20">
        <v>0</v>
      </c>
      <c r="Q956" s="8">
        <v>0</v>
      </c>
      <c r="R956" s="20">
        <f t="shared" si="519"/>
        <v>0</v>
      </c>
      <c r="S956" s="20">
        <v>0</v>
      </c>
      <c r="T956" s="8">
        <v>0</v>
      </c>
      <c r="U956" s="20">
        <v>200000</v>
      </c>
      <c r="V956" s="1">
        <f t="shared" si="520"/>
        <v>5500</v>
      </c>
    </row>
    <row r="957" spans="1:258" ht="21.95" customHeight="1" x14ac:dyDescent="0.25">
      <c r="A957" s="18" t="s">
        <v>1200</v>
      </c>
      <c r="B957" s="25" t="s">
        <v>720</v>
      </c>
      <c r="C957" s="12">
        <f t="shared" si="522"/>
        <v>2840000</v>
      </c>
      <c r="D957" s="20">
        <f t="shared" si="521"/>
        <v>0</v>
      </c>
      <c r="E957" s="20">
        <v>0</v>
      </c>
      <c r="F957" s="20">
        <v>0</v>
      </c>
      <c r="G957" s="20">
        <v>0</v>
      </c>
      <c r="H957" s="20">
        <v>0</v>
      </c>
      <c r="I957" s="20">
        <v>0</v>
      </c>
      <c r="J957" s="20">
        <v>0</v>
      </c>
      <c r="K957" s="21">
        <v>0</v>
      </c>
      <c r="L957" s="20">
        <v>0</v>
      </c>
      <c r="M957" s="20">
        <v>480</v>
      </c>
      <c r="N957" s="20">
        <f t="shared" si="523"/>
        <v>2640000</v>
      </c>
      <c r="O957" s="20">
        <v>0</v>
      </c>
      <c r="P957" s="20">
        <v>0</v>
      </c>
      <c r="Q957" s="8">
        <v>0</v>
      </c>
      <c r="R957" s="20">
        <f t="shared" si="519"/>
        <v>0</v>
      </c>
      <c r="S957" s="20">
        <v>0</v>
      </c>
      <c r="T957" s="8">
        <v>0</v>
      </c>
      <c r="U957" s="20">
        <v>200000</v>
      </c>
      <c r="V957" s="1">
        <f t="shared" si="520"/>
        <v>5500</v>
      </c>
    </row>
    <row r="958" spans="1:258" ht="21.95" customHeight="1" x14ac:dyDescent="0.25">
      <c r="A958" s="18" t="s">
        <v>1201</v>
      </c>
      <c r="B958" s="25" t="s">
        <v>721</v>
      </c>
      <c r="C958" s="12">
        <f t="shared" si="522"/>
        <v>4710000</v>
      </c>
      <c r="D958" s="20">
        <f t="shared" si="521"/>
        <v>0</v>
      </c>
      <c r="E958" s="20">
        <v>0</v>
      </c>
      <c r="F958" s="20">
        <v>0</v>
      </c>
      <c r="G958" s="20">
        <v>0</v>
      </c>
      <c r="H958" s="20">
        <v>0</v>
      </c>
      <c r="I958" s="20">
        <v>0</v>
      </c>
      <c r="J958" s="20">
        <v>0</v>
      </c>
      <c r="K958" s="21">
        <v>0</v>
      </c>
      <c r="L958" s="20">
        <v>0</v>
      </c>
      <c r="M958" s="8">
        <v>820</v>
      </c>
      <c r="N958" s="20">
        <f t="shared" si="523"/>
        <v>4510000</v>
      </c>
      <c r="O958" s="20">
        <v>0</v>
      </c>
      <c r="P958" s="20">
        <v>0</v>
      </c>
      <c r="Q958" s="8">
        <v>0</v>
      </c>
      <c r="R958" s="20">
        <f t="shared" si="519"/>
        <v>0</v>
      </c>
      <c r="S958" s="20">
        <v>0</v>
      </c>
      <c r="T958" s="8">
        <v>0</v>
      </c>
      <c r="U958" s="20">
        <v>200000</v>
      </c>
      <c r="V958" s="1">
        <f t="shared" si="520"/>
        <v>5500</v>
      </c>
    </row>
    <row r="959" spans="1:258" ht="21.95" customHeight="1" x14ac:dyDescent="0.25">
      <c r="A959" s="18" t="s">
        <v>1202</v>
      </c>
      <c r="B959" s="25" t="s">
        <v>722</v>
      </c>
      <c r="C959" s="12">
        <f t="shared" si="522"/>
        <v>3197500</v>
      </c>
      <c r="D959" s="20">
        <f t="shared" si="521"/>
        <v>0</v>
      </c>
      <c r="E959" s="20">
        <v>0</v>
      </c>
      <c r="F959" s="20">
        <v>0</v>
      </c>
      <c r="G959" s="20">
        <v>0</v>
      </c>
      <c r="H959" s="20">
        <v>0</v>
      </c>
      <c r="I959" s="20">
        <v>0</v>
      </c>
      <c r="J959" s="20">
        <v>0</v>
      </c>
      <c r="K959" s="21">
        <v>0</v>
      </c>
      <c r="L959" s="20">
        <v>0</v>
      </c>
      <c r="M959" s="20">
        <v>545</v>
      </c>
      <c r="N959" s="20">
        <f t="shared" si="523"/>
        <v>2997500</v>
      </c>
      <c r="O959" s="20">
        <v>0</v>
      </c>
      <c r="P959" s="20">
        <v>0</v>
      </c>
      <c r="Q959" s="8">
        <v>0</v>
      </c>
      <c r="R959" s="20">
        <f t="shared" si="519"/>
        <v>0</v>
      </c>
      <c r="S959" s="20">
        <v>0</v>
      </c>
      <c r="T959" s="8">
        <v>0</v>
      </c>
      <c r="U959" s="20">
        <v>200000</v>
      </c>
      <c r="V959" s="1">
        <f t="shared" si="520"/>
        <v>5500</v>
      </c>
    </row>
    <row r="960" spans="1:258" ht="21.95" customHeight="1" x14ac:dyDescent="0.25">
      <c r="A960" s="18" t="s">
        <v>1373</v>
      </c>
      <c r="B960" s="25" t="s">
        <v>723</v>
      </c>
      <c r="C960" s="12">
        <f t="shared" si="522"/>
        <v>2592500</v>
      </c>
      <c r="D960" s="20">
        <f t="shared" si="521"/>
        <v>0</v>
      </c>
      <c r="E960" s="20">
        <v>0</v>
      </c>
      <c r="F960" s="20">
        <v>0</v>
      </c>
      <c r="G960" s="20">
        <v>0</v>
      </c>
      <c r="H960" s="20">
        <v>0</v>
      </c>
      <c r="I960" s="20">
        <v>0</v>
      </c>
      <c r="J960" s="20">
        <v>0</v>
      </c>
      <c r="K960" s="21">
        <v>0</v>
      </c>
      <c r="L960" s="20">
        <v>0</v>
      </c>
      <c r="M960" s="20">
        <v>435</v>
      </c>
      <c r="N960" s="20">
        <f t="shared" si="523"/>
        <v>2392500</v>
      </c>
      <c r="O960" s="20">
        <v>0</v>
      </c>
      <c r="P960" s="20">
        <v>0</v>
      </c>
      <c r="Q960" s="8">
        <v>0</v>
      </c>
      <c r="R960" s="20">
        <f t="shared" si="519"/>
        <v>0</v>
      </c>
      <c r="S960" s="20">
        <v>0</v>
      </c>
      <c r="T960" s="8">
        <v>0</v>
      </c>
      <c r="U960" s="20">
        <v>200000</v>
      </c>
      <c r="V960" s="1">
        <f t="shared" si="520"/>
        <v>5500</v>
      </c>
    </row>
    <row r="961" spans="1:258" ht="21.95" customHeight="1" x14ac:dyDescent="0.25">
      <c r="A961" s="18" t="s">
        <v>1203</v>
      </c>
      <c r="B961" s="25" t="s">
        <v>724</v>
      </c>
      <c r="C961" s="12">
        <f t="shared" si="522"/>
        <v>3447200</v>
      </c>
      <c r="D961" s="20">
        <f t="shared" si="521"/>
        <v>0</v>
      </c>
      <c r="E961" s="20">
        <v>0</v>
      </c>
      <c r="F961" s="20">
        <v>0</v>
      </c>
      <c r="G961" s="20">
        <v>0</v>
      </c>
      <c r="H961" s="20">
        <v>0</v>
      </c>
      <c r="I961" s="20">
        <v>0</v>
      </c>
      <c r="J961" s="20">
        <v>0</v>
      </c>
      <c r="K961" s="21">
        <v>0</v>
      </c>
      <c r="L961" s="20">
        <v>0</v>
      </c>
      <c r="M961" s="8">
        <v>590.4</v>
      </c>
      <c r="N961" s="20">
        <f t="shared" si="523"/>
        <v>3247200</v>
      </c>
      <c r="O961" s="20">
        <v>0</v>
      </c>
      <c r="P961" s="20">
        <v>0</v>
      </c>
      <c r="Q961" s="8">
        <v>0</v>
      </c>
      <c r="R961" s="20">
        <f t="shared" si="519"/>
        <v>0</v>
      </c>
      <c r="S961" s="20">
        <v>0</v>
      </c>
      <c r="T961" s="8">
        <v>0</v>
      </c>
      <c r="U961" s="20">
        <v>200000</v>
      </c>
      <c r="V961" s="1">
        <f t="shared" si="520"/>
        <v>5500</v>
      </c>
    </row>
    <row r="962" spans="1:258" ht="21.95" customHeight="1" x14ac:dyDescent="0.25">
      <c r="A962" s="18" t="s">
        <v>1206</v>
      </c>
      <c r="B962" s="25" t="s">
        <v>725</v>
      </c>
      <c r="C962" s="12">
        <f t="shared" si="522"/>
        <v>3211250</v>
      </c>
      <c r="D962" s="20">
        <f t="shared" si="521"/>
        <v>0</v>
      </c>
      <c r="E962" s="20">
        <v>0</v>
      </c>
      <c r="F962" s="20">
        <v>0</v>
      </c>
      <c r="G962" s="20">
        <v>0</v>
      </c>
      <c r="H962" s="20">
        <v>0</v>
      </c>
      <c r="I962" s="20">
        <v>0</v>
      </c>
      <c r="J962" s="20">
        <v>0</v>
      </c>
      <c r="K962" s="21">
        <v>0</v>
      </c>
      <c r="L962" s="20">
        <v>0</v>
      </c>
      <c r="M962" s="20">
        <v>547.5</v>
      </c>
      <c r="N962" s="20">
        <f t="shared" si="523"/>
        <v>3011250</v>
      </c>
      <c r="O962" s="20">
        <v>0</v>
      </c>
      <c r="P962" s="20">
        <v>0</v>
      </c>
      <c r="Q962" s="8">
        <v>0</v>
      </c>
      <c r="R962" s="20">
        <f t="shared" si="519"/>
        <v>0</v>
      </c>
      <c r="S962" s="20">
        <v>0</v>
      </c>
      <c r="T962" s="8">
        <v>0</v>
      </c>
      <c r="U962" s="20">
        <v>200000</v>
      </c>
      <c r="V962" s="1">
        <f t="shared" si="520"/>
        <v>5500</v>
      </c>
    </row>
    <row r="963" spans="1:258" ht="21.95" customHeight="1" x14ac:dyDescent="0.25">
      <c r="A963" s="18" t="s">
        <v>1374</v>
      </c>
      <c r="B963" s="25" t="s">
        <v>802</v>
      </c>
      <c r="C963" s="12">
        <f t="shared" si="522"/>
        <v>3434000</v>
      </c>
      <c r="D963" s="20">
        <f t="shared" si="521"/>
        <v>0</v>
      </c>
      <c r="E963" s="20">
        <v>0</v>
      </c>
      <c r="F963" s="20">
        <v>0</v>
      </c>
      <c r="G963" s="20">
        <v>0</v>
      </c>
      <c r="H963" s="20">
        <v>0</v>
      </c>
      <c r="I963" s="20">
        <v>0</v>
      </c>
      <c r="J963" s="20">
        <v>0</v>
      </c>
      <c r="K963" s="21">
        <v>0</v>
      </c>
      <c r="L963" s="20">
        <v>0</v>
      </c>
      <c r="M963" s="8">
        <v>588</v>
      </c>
      <c r="N963" s="20">
        <f t="shared" si="523"/>
        <v>3234000</v>
      </c>
      <c r="O963" s="20">
        <v>0</v>
      </c>
      <c r="P963" s="20">
        <v>0</v>
      </c>
      <c r="Q963" s="8">
        <v>0</v>
      </c>
      <c r="R963" s="20">
        <f t="shared" si="519"/>
        <v>0</v>
      </c>
      <c r="S963" s="20">
        <v>0</v>
      </c>
      <c r="T963" s="8">
        <v>0</v>
      </c>
      <c r="U963" s="20">
        <v>200000</v>
      </c>
      <c r="V963" s="1">
        <f t="shared" si="520"/>
        <v>5500</v>
      </c>
    </row>
    <row r="964" spans="1:258" ht="21.95" customHeight="1" x14ac:dyDescent="0.25">
      <c r="A964" s="18" t="s">
        <v>1375</v>
      </c>
      <c r="B964" s="25" t="s">
        <v>726</v>
      </c>
      <c r="C964" s="12">
        <f t="shared" si="522"/>
        <v>24434720</v>
      </c>
      <c r="D964" s="20">
        <f t="shared" si="521"/>
        <v>24234720</v>
      </c>
      <c r="E964" s="20">
        <f>350*10097.8</f>
        <v>3534229.9999999995</v>
      </c>
      <c r="F964" s="20">
        <f>800*10097.8</f>
        <v>8078239.9999999991</v>
      </c>
      <c r="G964" s="20">
        <f>350*10097.8</f>
        <v>3534229.9999999995</v>
      </c>
      <c r="H964" s="20">
        <f>500*10097.8</f>
        <v>5048900</v>
      </c>
      <c r="I964" s="20">
        <f>400*10097.8</f>
        <v>4039119.9999999995</v>
      </c>
      <c r="J964" s="20">
        <v>0</v>
      </c>
      <c r="K964" s="21">
        <v>0</v>
      </c>
      <c r="L964" s="20">
        <v>0</v>
      </c>
      <c r="M964" s="20">
        <v>0</v>
      </c>
      <c r="N964" s="20">
        <v>0</v>
      </c>
      <c r="O964" s="20">
        <v>0</v>
      </c>
      <c r="P964" s="20">
        <v>0</v>
      </c>
      <c r="Q964" s="20">
        <v>0</v>
      </c>
      <c r="R964" s="20">
        <f t="shared" si="519"/>
        <v>0</v>
      </c>
      <c r="S964" s="20">
        <v>0</v>
      </c>
      <c r="T964" s="8">
        <v>0</v>
      </c>
      <c r="U964" s="20">
        <v>200000</v>
      </c>
      <c r="V964" s="1" t="e">
        <f t="shared" si="520"/>
        <v>#DIV/0!</v>
      </c>
      <c r="W964" s="45"/>
      <c r="X964" s="45"/>
      <c r="Y964" s="45"/>
      <c r="Z964" s="45"/>
      <c r="AA964" s="45"/>
      <c r="AB964" s="45"/>
      <c r="AC964" s="45"/>
      <c r="AD964" s="45"/>
      <c r="AE964" s="45"/>
      <c r="AF964" s="45"/>
      <c r="AG964" s="45"/>
      <c r="AH964" s="45"/>
      <c r="AI964" s="45"/>
      <c r="AJ964" s="45"/>
      <c r="AK964" s="45"/>
      <c r="AL964" s="45"/>
      <c r="AM964" s="45"/>
      <c r="AN964" s="45"/>
      <c r="AO964" s="45"/>
      <c r="AP964" s="45"/>
      <c r="AQ964" s="45"/>
      <c r="AR964" s="45"/>
      <c r="AS964" s="45"/>
      <c r="AT964" s="45"/>
      <c r="AU964" s="45"/>
      <c r="AV964" s="45"/>
      <c r="AW964" s="45"/>
      <c r="AX964" s="45"/>
      <c r="AY964" s="45"/>
      <c r="AZ964" s="45"/>
      <c r="BA964" s="45"/>
      <c r="BB964" s="45"/>
      <c r="BC964" s="45"/>
      <c r="BD964" s="45"/>
      <c r="BE964" s="45"/>
      <c r="BF964" s="45"/>
      <c r="BG964" s="45"/>
      <c r="BH964" s="45"/>
      <c r="BI964" s="45"/>
      <c r="BJ964" s="45"/>
      <c r="BK964" s="45"/>
      <c r="BL964" s="45"/>
      <c r="BM964" s="45"/>
      <c r="BN964" s="45"/>
      <c r="BO964" s="45"/>
      <c r="BP964" s="45"/>
      <c r="BQ964" s="45"/>
      <c r="BR964" s="45"/>
      <c r="BS964" s="45"/>
      <c r="BT964" s="45"/>
      <c r="BU964" s="45"/>
      <c r="BV964" s="45"/>
      <c r="BW964" s="45"/>
      <c r="BX964" s="45"/>
      <c r="BY964" s="45"/>
      <c r="BZ964" s="45"/>
      <c r="CA964" s="45"/>
      <c r="CB964" s="45"/>
      <c r="CC964" s="45"/>
      <c r="CD964" s="45"/>
      <c r="CE964" s="45"/>
      <c r="CF964" s="45"/>
      <c r="CG964" s="45"/>
      <c r="CH964" s="45"/>
      <c r="CI964" s="45"/>
      <c r="CJ964" s="45"/>
      <c r="CK964" s="45"/>
      <c r="CL964" s="45"/>
      <c r="CM964" s="45"/>
      <c r="CN964" s="45"/>
      <c r="CO964" s="45"/>
      <c r="CP964" s="45"/>
      <c r="CQ964" s="45"/>
      <c r="CR964" s="45"/>
      <c r="CS964" s="45"/>
      <c r="CT964" s="45"/>
      <c r="CU964" s="45"/>
      <c r="CV964" s="45"/>
      <c r="CW964" s="45"/>
      <c r="CX964" s="45"/>
      <c r="CY964" s="45"/>
      <c r="CZ964" s="45"/>
      <c r="DA964" s="45"/>
      <c r="DB964" s="45"/>
      <c r="DC964" s="45"/>
      <c r="DD964" s="45"/>
      <c r="DE964" s="45"/>
      <c r="DF964" s="45"/>
      <c r="DG964" s="45"/>
      <c r="DH964" s="45"/>
      <c r="DI964" s="45"/>
      <c r="DJ964" s="45"/>
      <c r="DK964" s="45"/>
      <c r="DL964" s="45"/>
      <c r="DM964" s="45"/>
      <c r="DN964" s="45"/>
      <c r="DO964" s="45"/>
      <c r="DP964" s="45"/>
      <c r="DQ964" s="45"/>
      <c r="DR964" s="45"/>
      <c r="DS964" s="45"/>
      <c r="DT964" s="45"/>
      <c r="DU964" s="45"/>
      <c r="DV964" s="45"/>
      <c r="DW964" s="45"/>
      <c r="DX964" s="45"/>
      <c r="DY964" s="45"/>
      <c r="DZ964" s="45"/>
      <c r="EA964" s="45"/>
      <c r="EB964" s="45"/>
      <c r="EC964" s="45"/>
      <c r="ED964" s="45"/>
      <c r="EE964" s="45"/>
      <c r="EF964" s="45"/>
      <c r="EG964" s="45"/>
      <c r="EH964" s="45"/>
      <c r="EI964" s="45"/>
      <c r="EJ964" s="45"/>
      <c r="EK964" s="45"/>
      <c r="EL964" s="45"/>
      <c r="EM964" s="45"/>
      <c r="EN964" s="45"/>
      <c r="EO964" s="45"/>
      <c r="EP964" s="45"/>
      <c r="EQ964" s="45"/>
      <c r="ER964" s="45"/>
      <c r="ES964" s="45"/>
      <c r="ET964" s="45"/>
      <c r="EU964" s="45"/>
      <c r="EV964" s="45"/>
      <c r="EW964" s="45"/>
      <c r="EX964" s="45"/>
      <c r="EY964" s="45"/>
      <c r="EZ964" s="45"/>
      <c r="FA964" s="45"/>
      <c r="FB964" s="45"/>
      <c r="FC964" s="45"/>
      <c r="FD964" s="45"/>
      <c r="FE964" s="45"/>
      <c r="FF964" s="45"/>
      <c r="FG964" s="45"/>
      <c r="FH964" s="45"/>
      <c r="FI964" s="45"/>
      <c r="FJ964" s="45"/>
      <c r="FK964" s="45"/>
      <c r="FL964" s="45"/>
      <c r="FM964" s="45"/>
      <c r="FN964" s="45"/>
      <c r="FO964" s="45"/>
      <c r="FP964" s="45"/>
      <c r="FQ964" s="45"/>
      <c r="FR964" s="45"/>
      <c r="FS964" s="45"/>
      <c r="FT964" s="45"/>
      <c r="FU964" s="45"/>
      <c r="FV964" s="45"/>
      <c r="FW964" s="45"/>
      <c r="FX964" s="45"/>
      <c r="FY964" s="45"/>
      <c r="FZ964" s="45"/>
      <c r="GA964" s="45"/>
      <c r="GB964" s="45"/>
      <c r="GC964" s="45"/>
      <c r="GD964" s="45"/>
      <c r="GE964" s="45"/>
      <c r="GF964" s="45"/>
      <c r="GG964" s="45"/>
      <c r="GH964" s="45"/>
      <c r="GI964" s="45"/>
      <c r="GJ964" s="45"/>
      <c r="GK964" s="45"/>
      <c r="GL964" s="45"/>
      <c r="GM964" s="45"/>
      <c r="GN964" s="45"/>
      <c r="GO964" s="45"/>
      <c r="GP964" s="45"/>
      <c r="GQ964" s="45"/>
      <c r="GR964" s="45"/>
      <c r="GS964" s="45"/>
      <c r="GT964" s="45"/>
      <c r="GU964" s="45"/>
      <c r="GV964" s="45"/>
      <c r="GW964" s="45"/>
      <c r="GX964" s="45"/>
      <c r="GY964" s="45"/>
      <c r="GZ964" s="45"/>
      <c r="HA964" s="45"/>
      <c r="HB964" s="45"/>
      <c r="HC964" s="45"/>
      <c r="HD964" s="45"/>
      <c r="HE964" s="45"/>
      <c r="HF964" s="45"/>
      <c r="HG964" s="45"/>
      <c r="HH964" s="45"/>
      <c r="HI964" s="45"/>
      <c r="HJ964" s="45"/>
      <c r="HK964" s="45"/>
      <c r="HL964" s="45"/>
      <c r="HM964" s="45"/>
      <c r="HN964" s="45"/>
      <c r="HO964" s="45"/>
      <c r="HP964" s="45"/>
      <c r="HQ964" s="45"/>
      <c r="HR964" s="45"/>
      <c r="HS964" s="45"/>
      <c r="HT964" s="45"/>
      <c r="HU964" s="45"/>
      <c r="HV964" s="45"/>
      <c r="HW964" s="45"/>
      <c r="HX964" s="45"/>
      <c r="HY964" s="45"/>
      <c r="HZ964" s="45"/>
      <c r="IA964" s="45"/>
      <c r="IB964" s="45"/>
      <c r="IC964" s="45"/>
      <c r="ID964" s="45"/>
      <c r="IE964" s="45"/>
      <c r="IF964" s="45"/>
      <c r="IG964" s="45"/>
      <c r="IH964" s="45"/>
      <c r="II964" s="45"/>
      <c r="IJ964" s="45"/>
      <c r="IK964" s="45"/>
      <c r="IL964" s="45"/>
      <c r="IM964" s="45"/>
      <c r="IN964" s="45"/>
      <c r="IO964" s="45"/>
      <c r="IP964" s="45"/>
      <c r="IQ964" s="45"/>
      <c r="IR964" s="45"/>
      <c r="IS964" s="45"/>
      <c r="IT964" s="45"/>
      <c r="IU964" s="45"/>
      <c r="IV964" s="45"/>
      <c r="IW964" s="45"/>
      <c r="IX964" s="45"/>
    </row>
    <row r="965" spans="1:258" ht="21.95" customHeight="1" x14ac:dyDescent="0.25">
      <c r="A965" s="18" t="s">
        <v>1376</v>
      </c>
      <c r="B965" s="25" t="s">
        <v>803</v>
      </c>
      <c r="C965" s="12">
        <f t="shared" si="522"/>
        <v>4457264</v>
      </c>
      <c r="D965" s="20">
        <f t="shared" si="521"/>
        <v>4257264</v>
      </c>
      <c r="E965" s="20">
        <f>350*1773.86</f>
        <v>620851</v>
      </c>
      <c r="F965" s="20">
        <f>800*1773.86</f>
        <v>1419088</v>
      </c>
      <c r="G965" s="20">
        <f>350*1773.86</f>
        <v>620851</v>
      </c>
      <c r="H965" s="20">
        <f>500*1773.86</f>
        <v>886930</v>
      </c>
      <c r="I965" s="20">
        <f>400*1773.86</f>
        <v>709544</v>
      </c>
      <c r="J965" s="20">
        <v>0</v>
      </c>
      <c r="K965" s="21">
        <v>0</v>
      </c>
      <c r="L965" s="20">
        <v>0</v>
      </c>
      <c r="M965" s="20">
        <v>0</v>
      </c>
      <c r="N965" s="20">
        <v>0</v>
      </c>
      <c r="O965" s="20">
        <v>0</v>
      </c>
      <c r="P965" s="20">
        <v>0</v>
      </c>
      <c r="Q965" s="20">
        <v>0</v>
      </c>
      <c r="R965" s="20">
        <f t="shared" si="519"/>
        <v>0</v>
      </c>
      <c r="S965" s="20">
        <v>0</v>
      </c>
      <c r="T965" s="8">
        <v>0</v>
      </c>
      <c r="U965" s="20">
        <v>200000</v>
      </c>
      <c r="V965" s="1" t="e">
        <f t="shared" si="520"/>
        <v>#DIV/0!</v>
      </c>
    </row>
    <row r="966" spans="1:258" ht="21.95" customHeight="1" x14ac:dyDescent="0.25">
      <c r="A966" s="18" t="s">
        <v>1377</v>
      </c>
      <c r="B966" s="25" t="s">
        <v>727</v>
      </c>
      <c r="C966" s="12">
        <f t="shared" si="522"/>
        <v>1564000</v>
      </c>
      <c r="D966" s="20">
        <f t="shared" si="521"/>
        <v>0</v>
      </c>
      <c r="E966" s="20">
        <v>0</v>
      </c>
      <c r="F966" s="20">
        <v>0</v>
      </c>
      <c r="G966" s="20">
        <v>0</v>
      </c>
      <c r="H966" s="20">
        <v>0</v>
      </c>
      <c r="I966" s="20">
        <v>0</v>
      </c>
      <c r="J966" s="20">
        <v>0</v>
      </c>
      <c r="K966" s="9">
        <v>0</v>
      </c>
      <c r="L966" s="8">
        <v>0</v>
      </c>
      <c r="M966" s="8">
        <v>248</v>
      </c>
      <c r="N966" s="20">
        <f t="shared" ref="N966:N970" si="524">M966*5500</f>
        <v>1364000</v>
      </c>
      <c r="O966" s="20">
        <v>0</v>
      </c>
      <c r="P966" s="20">
        <v>0</v>
      </c>
      <c r="Q966" s="20">
        <v>0</v>
      </c>
      <c r="R966" s="20">
        <f t="shared" si="519"/>
        <v>0</v>
      </c>
      <c r="S966" s="20">
        <v>0</v>
      </c>
      <c r="T966" s="8">
        <v>0</v>
      </c>
      <c r="U966" s="20">
        <v>200000</v>
      </c>
      <c r="V966" s="1">
        <f t="shared" si="520"/>
        <v>5500</v>
      </c>
    </row>
    <row r="967" spans="1:258" s="1" customFormat="1" ht="21.95" customHeight="1" x14ac:dyDescent="0.25">
      <c r="A967" s="18" t="s">
        <v>1378</v>
      </c>
      <c r="B967" s="25" t="s">
        <v>728</v>
      </c>
      <c r="C967" s="12">
        <f t="shared" si="522"/>
        <v>1608000</v>
      </c>
      <c r="D967" s="20">
        <f t="shared" si="521"/>
        <v>0</v>
      </c>
      <c r="E967" s="20">
        <v>0</v>
      </c>
      <c r="F967" s="20">
        <v>0</v>
      </c>
      <c r="G967" s="20">
        <v>0</v>
      </c>
      <c r="H967" s="20">
        <v>0</v>
      </c>
      <c r="I967" s="20">
        <v>0</v>
      </c>
      <c r="J967" s="20">
        <v>0</v>
      </c>
      <c r="K967" s="9">
        <v>0</v>
      </c>
      <c r="L967" s="8">
        <v>0</v>
      </c>
      <c r="M967" s="20">
        <v>256</v>
      </c>
      <c r="N967" s="20">
        <f t="shared" si="524"/>
        <v>1408000</v>
      </c>
      <c r="O967" s="20">
        <v>0</v>
      </c>
      <c r="P967" s="20">
        <v>0</v>
      </c>
      <c r="Q967" s="20">
        <v>0</v>
      </c>
      <c r="R967" s="20">
        <f t="shared" si="519"/>
        <v>0</v>
      </c>
      <c r="S967" s="20">
        <v>0</v>
      </c>
      <c r="T967" s="8">
        <v>0</v>
      </c>
      <c r="U967" s="20">
        <v>200000</v>
      </c>
      <c r="V967" s="1">
        <f t="shared" si="520"/>
        <v>5500</v>
      </c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  <c r="FE967" s="2"/>
      <c r="FF967" s="2"/>
      <c r="FG967" s="2"/>
      <c r="FH967" s="2"/>
      <c r="FI967" s="2"/>
      <c r="FJ967" s="2"/>
      <c r="FK967" s="2"/>
      <c r="FL967" s="2"/>
      <c r="FM967" s="2"/>
      <c r="FN967" s="2"/>
      <c r="FO967" s="2"/>
      <c r="FP967" s="2"/>
      <c r="FQ967" s="2"/>
      <c r="FR967" s="2"/>
      <c r="FS967" s="2"/>
      <c r="FT967" s="2"/>
      <c r="FU967" s="2"/>
      <c r="FV967" s="2"/>
      <c r="FW967" s="2"/>
      <c r="FX967" s="2"/>
      <c r="FY967" s="2"/>
      <c r="FZ967" s="2"/>
      <c r="GA967" s="2"/>
      <c r="GB967" s="2"/>
      <c r="GC967" s="2"/>
      <c r="GD967" s="2"/>
      <c r="GE967" s="2"/>
      <c r="GF967" s="2"/>
      <c r="GG967" s="2"/>
      <c r="GH967" s="2"/>
      <c r="GI967" s="2"/>
      <c r="GJ967" s="2"/>
      <c r="GK967" s="2"/>
      <c r="GL967" s="2"/>
      <c r="GM967" s="2"/>
      <c r="GN967" s="2"/>
      <c r="GO967" s="2"/>
      <c r="GP967" s="2"/>
      <c r="GQ967" s="2"/>
      <c r="GR967" s="2"/>
      <c r="GS967" s="2"/>
      <c r="GT967" s="2"/>
      <c r="GU967" s="2"/>
      <c r="GV967" s="2"/>
      <c r="GW967" s="2"/>
      <c r="GX967" s="2"/>
      <c r="GY967" s="2"/>
      <c r="GZ967" s="2"/>
      <c r="HA967" s="2"/>
      <c r="HB967" s="2"/>
      <c r="HC967" s="2"/>
      <c r="HD967" s="2"/>
      <c r="HE967" s="2"/>
      <c r="HF967" s="2"/>
      <c r="HG967" s="2"/>
      <c r="HH967" s="2"/>
      <c r="HI967" s="2"/>
      <c r="HJ967" s="2"/>
      <c r="HK967" s="2"/>
      <c r="HL967" s="2"/>
      <c r="HM967" s="2"/>
      <c r="HN967" s="2"/>
      <c r="HO967" s="2"/>
      <c r="HP967" s="2"/>
      <c r="HQ967" s="2"/>
      <c r="HR967" s="2"/>
      <c r="HS967" s="2"/>
      <c r="HT967" s="2"/>
      <c r="HU967" s="2"/>
      <c r="HV967" s="2"/>
      <c r="HW967" s="2"/>
      <c r="HX967" s="2"/>
      <c r="HY967" s="2"/>
      <c r="HZ967" s="2"/>
      <c r="IA967" s="2"/>
      <c r="IB967" s="2"/>
      <c r="IC967" s="2"/>
      <c r="ID967" s="2"/>
      <c r="IE967" s="2"/>
      <c r="IF967" s="2"/>
      <c r="IG967" s="2"/>
      <c r="IH967" s="2"/>
      <c r="II967" s="2"/>
      <c r="IJ967" s="2"/>
      <c r="IK967" s="2"/>
      <c r="IL967" s="2"/>
      <c r="IM967" s="2"/>
      <c r="IN967" s="2"/>
      <c r="IO967" s="2"/>
      <c r="IP967" s="2"/>
      <c r="IQ967" s="2"/>
      <c r="IR967" s="2"/>
      <c r="IS967" s="2"/>
      <c r="IT967" s="2"/>
      <c r="IU967" s="2"/>
      <c r="IV967" s="2"/>
      <c r="IW967" s="2"/>
      <c r="IX967" s="2"/>
    </row>
    <row r="968" spans="1:258" ht="21.95" customHeight="1" x14ac:dyDescent="0.25">
      <c r="A968" s="18" t="s">
        <v>1379</v>
      </c>
      <c r="B968" s="25" t="s">
        <v>729</v>
      </c>
      <c r="C968" s="12">
        <f t="shared" si="522"/>
        <v>1532100</v>
      </c>
      <c r="D968" s="20">
        <f t="shared" si="521"/>
        <v>0</v>
      </c>
      <c r="E968" s="20">
        <v>0</v>
      </c>
      <c r="F968" s="20">
        <v>0</v>
      </c>
      <c r="G968" s="20">
        <v>0</v>
      </c>
      <c r="H968" s="20">
        <v>0</v>
      </c>
      <c r="I968" s="20">
        <v>0</v>
      </c>
      <c r="J968" s="20">
        <v>0</v>
      </c>
      <c r="K968" s="9">
        <v>0</v>
      </c>
      <c r="L968" s="8">
        <v>0</v>
      </c>
      <c r="M968" s="20">
        <v>242.2</v>
      </c>
      <c r="N968" s="20">
        <f t="shared" si="524"/>
        <v>1332100</v>
      </c>
      <c r="O968" s="20">
        <v>0</v>
      </c>
      <c r="P968" s="20">
        <v>0</v>
      </c>
      <c r="Q968" s="20">
        <v>0</v>
      </c>
      <c r="R968" s="20">
        <f t="shared" si="519"/>
        <v>0</v>
      </c>
      <c r="S968" s="20">
        <v>0</v>
      </c>
      <c r="T968" s="8">
        <v>0</v>
      </c>
      <c r="U968" s="20">
        <v>200000</v>
      </c>
      <c r="V968" s="1">
        <f t="shared" si="520"/>
        <v>5500</v>
      </c>
    </row>
    <row r="969" spans="1:258" ht="21.95" customHeight="1" x14ac:dyDescent="0.25">
      <c r="A969" s="18" t="s">
        <v>1380</v>
      </c>
      <c r="B969" s="25" t="s">
        <v>804</v>
      </c>
      <c r="C969" s="12">
        <f t="shared" si="522"/>
        <v>1630000</v>
      </c>
      <c r="D969" s="20">
        <f t="shared" si="521"/>
        <v>0</v>
      </c>
      <c r="E969" s="20">
        <v>0</v>
      </c>
      <c r="F969" s="20">
        <v>0</v>
      </c>
      <c r="G969" s="20">
        <v>0</v>
      </c>
      <c r="H969" s="20">
        <v>0</v>
      </c>
      <c r="I969" s="20">
        <v>0</v>
      </c>
      <c r="J969" s="20">
        <v>0</v>
      </c>
      <c r="K969" s="9">
        <v>0</v>
      </c>
      <c r="L969" s="8">
        <v>0</v>
      </c>
      <c r="M969" s="20">
        <v>260</v>
      </c>
      <c r="N969" s="20">
        <f t="shared" si="524"/>
        <v>1430000</v>
      </c>
      <c r="O969" s="20">
        <v>0</v>
      </c>
      <c r="P969" s="20">
        <v>0</v>
      </c>
      <c r="Q969" s="20">
        <v>0</v>
      </c>
      <c r="R969" s="20">
        <f t="shared" si="519"/>
        <v>0</v>
      </c>
      <c r="S969" s="20">
        <v>0</v>
      </c>
      <c r="T969" s="8">
        <v>0</v>
      </c>
      <c r="U969" s="20">
        <v>200000</v>
      </c>
      <c r="V969" s="1">
        <f t="shared" si="520"/>
        <v>5500</v>
      </c>
    </row>
    <row r="970" spans="1:258" ht="21.95" customHeight="1" x14ac:dyDescent="0.25">
      <c r="A970" s="18" t="s">
        <v>1381</v>
      </c>
      <c r="B970" s="25" t="s">
        <v>805</v>
      </c>
      <c r="C970" s="12">
        <f t="shared" si="522"/>
        <v>4043950</v>
      </c>
      <c r="D970" s="20">
        <f t="shared" si="521"/>
        <v>0</v>
      </c>
      <c r="E970" s="20">
        <v>0</v>
      </c>
      <c r="F970" s="20">
        <v>0</v>
      </c>
      <c r="G970" s="20">
        <v>0</v>
      </c>
      <c r="H970" s="20">
        <v>0</v>
      </c>
      <c r="I970" s="20">
        <v>0</v>
      </c>
      <c r="J970" s="20">
        <v>0</v>
      </c>
      <c r="K970" s="9">
        <v>0</v>
      </c>
      <c r="L970" s="8">
        <v>0</v>
      </c>
      <c r="M970" s="20">
        <v>698.9</v>
      </c>
      <c r="N970" s="20">
        <f t="shared" si="524"/>
        <v>3843950</v>
      </c>
      <c r="O970" s="20">
        <v>0</v>
      </c>
      <c r="P970" s="20">
        <v>0</v>
      </c>
      <c r="Q970" s="20">
        <v>0</v>
      </c>
      <c r="R970" s="20">
        <f t="shared" si="519"/>
        <v>0</v>
      </c>
      <c r="S970" s="20">
        <v>0</v>
      </c>
      <c r="T970" s="8">
        <v>0</v>
      </c>
      <c r="U970" s="20">
        <v>200000</v>
      </c>
      <c r="V970" s="1">
        <f t="shared" si="520"/>
        <v>5500</v>
      </c>
    </row>
    <row r="971" spans="1:258" ht="21.95" customHeight="1" x14ac:dyDescent="0.25">
      <c r="A971" s="18" t="s">
        <v>1382</v>
      </c>
      <c r="B971" s="25" t="s">
        <v>832</v>
      </c>
      <c r="C971" s="12">
        <f t="shared" si="522"/>
        <v>8674270</v>
      </c>
      <c r="D971" s="20">
        <f t="shared" si="521"/>
        <v>3633720</v>
      </c>
      <c r="E971" s="20">
        <f>350*1514.05</f>
        <v>529917.5</v>
      </c>
      <c r="F971" s="20">
        <f>800*1514.05</f>
        <v>1211240</v>
      </c>
      <c r="G971" s="20">
        <f>350*1514.05</f>
        <v>529917.5</v>
      </c>
      <c r="H971" s="20">
        <f>500*1514.05</f>
        <v>757025</v>
      </c>
      <c r="I971" s="20">
        <f>400*1514.05</f>
        <v>605620</v>
      </c>
      <c r="J971" s="20">
        <v>0</v>
      </c>
      <c r="K971" s="21">
        <v>0</v>
      </c>
      <c r="L971" s="20">
        <v>0</v>
      </c>
      <c r="M971" s="8">
        <v>880.1</v>
      </c>
      <c r="N971" s="20">
        <f t="shared" ref="N971:N977" si="525">M971*5500</f>
        <v>4840550</v>
      </c>
      <c r="O971" s="20">
        <v>0</v>
      </c>
      <c r="P971" s="20">
        <v>0</v>
      </c>
      <c r="Q971" s="20">
        <v>0</v>
      </c>
      <c r="R971" s="20">
        <f t="shared" si="519"/>
        <v>0</v>
      </c>
      <c r="S971" s="20">
        <v>0</v>
      </c>
      <c r="T971" s="8">
        <v>0</v>
      </c>
      <c r="U971" s="20">
        <v>200000</v>
      </c>
      <c r="V971" s="1">
        <f t="shared" si="520"/>
        <v>5500</v>
      </c>
    </row>
    <row r="972" spans="1:258" ht="21.95" customHeight="1" x14ac:dyDescent="0.25">
      <c r="A972" s="18" t="s">
        <v>1383</v>
      </c>
      <c r="B972" s="25" t="s">
        <v>806</v>
      </c>
      <c r="C972" s="12">
        <f t="shared" si="522"/>
        <v>6871500</v>
      </c>
      <c r="D972" s="20">
        <f t="shared" si="521"/>
        <v>0</v>
      </c>
      <c r="E972" s="20">
        <v>0</v>
      </c>
      <c r="F972" s="20">
        <v>0</v>
      </c>
      <c r="G972" s="20">
        <v>0</v>
      </c>
      <c r="H972" s="20">
        <v>0</v>
      </c>
      <c r="I972" s="20">
        <v>0</v>
      </c>
      <c r="J972" s="20">
        <v>0</v>
      </c>
      <c r="K972" s="9">
        <v>0</v>
      </c>
      <c r="L972" s="8">
        <v>0</v>
      </c>
      <c r="M972" s="20">
        <v>1213</v>
      </c>
      <c r="N972" s="20">
        <f t="shared" si="525"/>
        <v>6671500</v>
      </c>
      <c r="O972" s="20">
        <v>0</v>
      </c>
      <c r="P972" s="20">
        <v>0</v>
      </c>
      <c r="Q972" s="20">
        <v>0</v>
      </c>
      <c r="R972" s="20">
        <f t="shared" si="519"/>
        <v>0</v>
      </c>
      <c r="S972" s="20">
        <v>0</v>
      </c>
      <c r="T972" s="8">
        <v>0</v>
      </c>
      <c r="U972" s="20">
        <v>200000</v>
      </c>
      <c r="V972" s="1">
        <f t="shared" si="520"/>
        <v>5500</v>
      </c>
    </row>
    <row r="973" spans="1:258" ht="21.95" customHeight="1" x14ac:dyDescent="0.25">
      <c r="A973" s="18" t="s">
        <v>1384</v>
      </c>
      <c r="B973" s="25" t="s">
        <v>730</v>
      </c>
      <c r="C973" s="12">
        <f t="shared" si="522"/>
        <v>5091150</v>
      </c>
      <c r="D973" s="20">
        <f t="shared" si="521"/>
        <v>0</v>
      </c>
      <c r="E973" s="20">
        <v>0</v>
      </c>
      <c r="F973" s="20">
        <v>0</v>
      </c>
      <c r="G973" s="20">
        <v>0</v>
      </c>
      <c r="H973" s="20">
        <v>0</v>
      </c>
      <c r="I973" s="20">
        <v>0</v>
      </c>
      <c r="J973" s="20">
        <v>0</v>
      </c>
      <c r="K973" s="9">
        <v>0</v>
      </c>
      <c r="L973" s="8">
        <v>0</v>
      </c>
      <c r="M973" s="20">
        <v>889.3</v>
      </c>
      <c r="N973" s="20">
        <f t="shared" si="525"/>
        <v>4891150</v>
      </c>
      <c r="O973" s="20">
        <v>0</v>
      </c>
      <c r="P973" s="20">
        <v>0</v>
      </c>
      <c r="Q973" s="20">
        <v>0</v>
      </c>
      <c r="R973" s="20">
        <f t="shared" si="519"/>
        <v>0</v>
      </c>
      <c r="S973" s="20">
        <v>0</v>
      </c>
      <c r="T973" s="8">
        <v>0</v>
      </c>
      <c r="U973" s="20">
        <v>200000</v>
      </c>
      <c r="V973" s="1">
        <f t="shared" si="520"/>
        <v>5500</v>
      </c>
    </row>
    <row r="974" spans="1:258" ht="21.95" customHeight="1" x14ac:dyDescent="0.25">
      <c r="A974" s="18" t="s">
        <v>1385</v>
      </c>
      <c r="B974" s="25" t="s">
        <v>731</v>
      </c>
      <c r="C974" s="12">
        <f t="shared" si="522"/>
        <v>2743500</v>
      </c>
      <c r="D974" s="20">
        <f t="shared" si="521"/>
        <v>0</v>
      </c>
      <c r="E974" s="20">
        <v>0</v>
      </c>
      <c r="F974" s="20">
        <v>0</v>
      </c>
      <c r="G974" s="20">
        <v>0</v>
      </c>
      <c r="H974" s="20">
        <v>0</v>
      </c>
      <c r="I974" s="20">
        <v>0</v>
      </c>
      <c r="J974" s="20">
        <v>0</v>
      </c>
      <c r="K974" s="9">
        <v>0</v>
      </c>
      <c r="L974" s="8">
        <v>0</v>
      </c>
      <c r="M974" s="8">
        <v>289</v>
      </c>
      <c r="N974" s="20">
        <f t="shared" si="525"/>
        <v>1589500</v>
      </c>
      <c r="O974" s="8">
        <v>0</v>
      </c>
      <c r="P974" s="8">
        <v>0</v>
      </c>
      <c r="Q974" s="8">
        <v>318</v>
      </c>
      <c r="R974" s="20">
        <f t="shared" si="519"/>
        <v>954000</v>
      </c>
      <c r="S974" s="8">
        <v>0</v>
      </c>
      <c r="T974" s="8">
        <v>0</v>
      </c>
      <c r="U974" s="8">
        <v>200000</v>
      </c>
      <c r="V974" s="1">
        <f t="shared" si="520"/>
        <v>5500</v>
      </c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  <c r="CQ974" s="3"/>
      <c r="CR974" s="3"/>
      <c r="CS974" s="3"/>
      <c r="CT974" s="3"/>
      <c r="CU974" s="3"/>
      <c r="CV974" s="3"/>
      <c r="CW974" s="3"/>
      <c r="CX974" s="3"/>
      <c r="CY974" s="3"/>
      <c r="CZ974" s="3"/>
      <c r="DA974" s="3"/>
      <c r="DB974" s="3"/>
      <c r="DC974" s="3"/>
      <c r="DD974" s="3"/>
      <c r="DE974" s="3"/>
      <c r="DF974" s="3"/>
      <c r="DG974" s="3"/>
      <c r="DH974" s="3"/>
      <c r="DI974" s="3"/>
      <c r="DJ974" s="3"/>
      <c r="DK974" s="3"/>
      <c r="DL974" s="3"/>
      <c r="DM974" s="3"/>
      <c r="DN974" s="3"/>
      <c r="DO974" s="3"/>
      <c r="DP974" s="3"/>
      <c r="DQ974" s="3"/>
      <c r="DR974" s="3"/>
      <c r="DS974" s="3"/>
      <c r="DT974" s="3"/>
      <c r="DU974" s="3"/>
      <c r="DV974" s="3"/>
      <c r="DW974" s="3"/>
      <c r="DX974" s="3"/>
      <c r="DY974" s="3"/>
      <c r="DZ974" s="3"/>
      <c r="EA974" s="3"/>
      <c r="EB974" s="3"/>
      <c r="EC974" s="3"/>
      <c r="ED974" s="3"/>
      <c r="EE974" s="3"/>
      <c r="EF974" s="3"/>
      <c r="EG974" s="3"/>
      <c r="EH974" s="3"/>
      <c r="EI974" s="3"/>
      <c r="EJ974" s="3"/>
      <c r="EK974" s="3"/>
      <c r="EL974" s="3"/>
      <c r="EM974" s="3"/>
      <c r="EN974" s="3"/>
      <c r="EO974" s="3"/>
      <c r="EP974" s="3"/>
      <c r="EQ974" s="3"/>
      <c r="ER974" s="3"/>
      <c r="ES974" s="3"/>
      <c r="ET974" s="3"/>
      <c r="EU974" s="3"/>
      <c r="EV974" s="3"/>
      <c r="EW974" s="3"/>
      <c r="EX974" s="3"/>
      <c r="EY974" s="3"/>
      <c r="EZ974" s="3"/>
      <c r="FA974" s="3"/>
      <c r="FB974" s="3"/>
      <c r="FC974" s="3"/>
      <c r="FD974" s="3"/>
      <c r="FE974" s="3"/>
      <c r="FF974" s="3"/>
      <c r="FG974" s="3"/>
      <c r="FH974" s="3"/>
      <c r="FI974" s="3"/>
      <c r="FJ974" s="3"/>
      <c r="FK974" s="3"/>
      <c r="FL974" s="3"/>
      <c r="FM974" s="3"/>
      <c r="FN974" s="3"/>
      <c r="FO974" s="3"/>
      <c r="FP974" s="3"/>
      <c r="FQ974" s="3"/>
      <c r="FR974" s="3"/>
      <c r="FS974" s="3"/>
      <c r="FT974" s="3"/>
      <c r="FU974" s="3"/>
      <c r="FV974" s="3"/>
      <c r="FW974" s="3"/>
      <c r="FX974" s="3"/>
      <c r="FY974" s="3"/>
      <c r="FZ974" s="3"/>
      <c r="GA974" s="3"/>
      <c r="GB974" s="3"/>
      <c r="GC974" s="3"/>
      <c r="GD974" s="3"/>
      <c r="GE974" s="3"/>
      <c r="GF974" s="3"/>
      <c r="GG974" s="3"/>
      <c r="GH974" s="3"/>
      <c r="GI974" s="3"/>
      <c r="GJ974" s="46"/>
      <c r="GK974" s="46"/>
      <c r="GL974" s="46"/>
      <c r="GM974" s="46"/>
      <c r="GN974" s="46"/>
      <c r="GO974" s="46"/>
      <c r="GP974" s="46"/>
      <c r="GQ974" s="46"/>
      <c r="GR974" s="46"/>
      <c r="GS974" s="46"/>
      <c r="GT974" s="46"/>
      <c r="GU974" s="46"/>
      <c r="GV974" s="46"/>
      <c r="GW974" s="46"/>
      <c r="GX974" s="46"/>
      <c r="GY974" s="46"/>
      <c r="GZ974" s="46"/>
      <c r="HA974" s="46"/>
      <c r="HB974" s="46"/>
      <c r="HC974" s="46"/>
      <c r="HD974" s="46"/>
      <c r="HE974" s="46"/>
      <c r="HF974" s="46"/>
      <c r="HG974" s="46"/>
      <c r="HH974" s="46"/>
      <c r="HI974" s="46"/>
      <c r="HJ974" s="46"/>
      <c r="HK974" s="46"/>
      <c r="HL974" s="46"/>
      <c r="HM974" s="46"/>
      <c r="HN974" s="46"/>
      <c r="HO974" s="46"/>
      <c r="HP974" s="46"/>
      <c r="HQ974" s="46"/>
      <c r="HR974" s="46"/>
      <c r="HS974" s="46"/>
      <c r="HT974" s="46"/>
      <c r="HU974" s="46"/>
      <c r="HV974" s="46"/>
      <c r="HW974" s="46"/>
      <c r="HX974" s="46"/>
      <c r="HY974" s="46"/>
      <c r="HZ974" s="46"/>
      <c r="IA974" s="46"/>
      <c r="IB974" s="46"/>
      <c r="IC974" s="46"/>
      <c r="ID974" s="46"/>
      <c r="IE974" s="46"/>
      <c r="IF974" s="46"/>
      <c r="IG974" s="46"/>
      <c r="IH974" s="46"/>
      <c r="II974" s="46"/>
      <c r="IJ974" s="46"/>
      <c r="IK974" s="46"/>
      <c r="IL974" s="46"/>
      <c r="IM974" s="46"/>
      <c r="IN974" s="46"/>
      <c r="IO974" s="46"/>
      <c r="IP974" s="46"/>
      <c r="IQ974" s="46"/>
      <c r="IR974" s="46"/>
      <c r="IS974" s="46"/>
      <c r="IT974" s="46"/>
      <c r="IU974" s="46"/>
      <c r="IV974" s="46"/>
      <c r="IW974" s="46"/>
      <c r="IX974" s="46"/>
    </row>
    <row r="975" spans="1:258" s="17" customFormat="1" ht="21.95" customHeight="1" x14ac:dyDescent="0.25">
      <c r="A975" s="18" t="s">
        <v>1469</v>
      </c>
      <c r="B975" s="31" t="s">
        <v>732</v>
      </c>
      <c r="C975" s="12">
        <f t="shared" si="522"/>
        <v>3159000</v>
      </c>
      <c r="D975" s="20">
        <f t="shared" si="521"/>
        <v>0</v>
      </c>
      <c r="E975" s="20">
        <v>0</v>
      </c>
      <c r="F975" s="20">
        <v>0</v>
      </c>
      <c r="G975" s="20">
        <v>0</v>
      </c>
      <c r="H975" s="20">
        <v>0</v>
      </c>
      <c r="I975" s="20">
        <v>0</v>
      </c>
      <c r="J975" s="20">
        <v>0</v>
      </c>
      <c r="K975" s="21">
        <v>0</v>
      </c>
      <c r="L975" s="20">
        <v>0</v>
      </c>
      <c r="M975" s="20">
        <v>538</v>
      </c>
      <c r="N975" s="20">
        <f t="shared" si="525"/>
        <v>2959000</v>
      </c>
      <c r="O975" s="20">
        <v>0</v>
      </c>
      <c r="P975" s="20">
        <v>0</v>
      </c>
      <c r="Q975" s="20">
        <v>0</v>
      </c>
      <c r="R975" s="20">
        <f t="shared" si="519"/>
        <v>0</v>
      </c>
      <c r="S975" s="20">
        <v>0</v>
      </c>
      <c r="T975" s="8">
        <v>0</v>
      </c>
      <c r="U975" s="20">
        <v>200000</v>
      </c>
      <c r="V975" s="1">
        <f t="shared" si="520"/>
        <v>5500</v>
      </c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  <c r="FE975" s="2"/>
      <c r="FF975" s="2"/>
      <c r="FG975" s="2"/>
      <c r="FH975" s="2"/>
      <c r="FI975" s="2"/>
      <c r="FJ975" s="2"/>
      <c r="FK975" s="2"/>
      <c r="FL975" s="2"/>
      <c r="FM975" s="2"/>
      <c r="FN975" s="2"/>
      <c r="FO975" s="2"/>
      <c r="FP975" s="2"/>
      <c r="FQ975" s="2"/>
      <c r="FR975" s="2"/>
      <c r="FS975" s="2"/>
      <c r="FT975" s="2"/>
      <c r="FU975" s="2"/>
      <c r="FV975" s="2"/>
      <c r="FW975" s="2"/>
      <c r="FX975" s="2"/>
      <c r="FY975" s="2"/>
      <c r="FZ975" s="2"/>
      <c r="GA975" s="2"/>
      <c r="GB975" s="2"/>
      <c r="GC975" s="2"/>
      <c r="GD975" s="2"/>
      <c r="GE975" s="2"/>
      <c r="GF975" s="2"/>
      <c r="GG975" s="2"/>
      <c r="GH975" s="2"/>
      <c r="GI975" s="2"/>
      <c r="GJ975" s="2"/>
      <c r="GK975" s="2"/>
      <c r="GL975" s="2"/>
      <c r="GM975" s="2"/>
      <c r="GN975" s="2"/>
      <c r="GO975" s="2"/>
      <c r="GP975" s="2"/>
      <c r="GQ975" s="2"/>
      <c r="GR975" s="2"/>
      <c r="GS975" s="2"/>
      <c r="GT975" s="2"/>
      <c r="GU975" s="2"/>
      <c r="GV975" s="2"/>
      <c r="GW975" s="2"/>
      <c r="GX975" s="2"/>
      <c r="GY975" s="2"/>
      <c r="GZ975" s="2"/>
      <c r="HA975" s="2"/>
      <c r="HB975" s="2"/>
      <c r="HC975" s="2"/>
      <c r="HD975" s="2"/>
      <c r="HE975" s="2"/>
      <c r="HF975" s="2"/>
      <c r="HG975" s="2"/>
      <c r="HH975" s="2"/>
      <c r="HI975" s="2"/>
      <c r="HJ975" s="2"/>
      <c r="HK975" s="2"/>
      <c r="HL975" s="2"/>
      <c r="HM975" s="2"/>
      <c r="HN975" s="2"/>
      <c r="HO975" s="2"/>
      <c r="HP975" s="2"/>
      <c r="HQ975" s="2"/>
      <c r="HR975" s="2"/>
      <c r="HS975" s="2"/>
      <c r="HT975" s="2"/>
      <c r="HU975" s="2"/>
      <c r="HV975" s="2"/>
      <c r="HW975" s="2"/>
      <c r="HX975" s="2"/>
      <c r="HY975" s="2"/>
      <c r="HZ975" s="2"/>
      <c r="IA975" s="2"/>
      <c r="IB975" s="2"/>
      <c r="IC975" s="2"/>
      <c r="ID975" s="2"/>
      <c r="IE975" s="2"/>
      <c r="IF975" s="2"/>
      <c r="IG975" s="2"/>
      <c r="IH975" s="2"/>
      <c r="II975" s="2"/>
      <c r="IJ975" s="2"/>
      <c r="IK975" s="2"/>
      <c r="IL975" s="2"/>
      <c r="IM975" s="2"/>
      <c r="IN975" s="2"/>
      <c r="IO975" s="2"/>
      <c r="IP975" s="2"/>
      <c r="IQ975" s="2"/>
      <c r="IR975" s="2"/>
      <c r="IS975" s="2"/>
      <c r="IT975" s="2"/>
      <c r="IU975" s="2"/>
      <c r="IV975" s="2"/>
      <c r="IW975" s="2"/>
      <c r="IX975" s="2"/>
    </row>
    <row r="976" spans="1:258" s="1" customFormat="1" ht="21.95" customHeight="1" x14ac:dyDescent="0.25">
      <c r="A976" s="18" t="s">
        <v>1470</v>
      </c>
      <c r="B976" s="31" t="s">
        <v>807</v>
      </c>
      <c r="C976" s="12">
        <f t="shared" si="522"/>
        <v>3770600.0000000005</v>
      </c>
      <c r="D976" s="20">
        <f t="shared" si="521"/>
        <v>0</v>
      </c>
      <c r="E976" s="20">
        <v>0</v>
      </c>
      <c r="F976" s="20">
        <v>0</v>
      </c>
      <c r="G976" s="20">
        <v>0</v>
      </c>
      <c r="H976" s="20">
        <v>0</v>
      </c>
      <c r="I976" s="20">
        <v>0</v>
      </c>
      <c r="J976" s="20">
        <v>0</v>
      </c>
      <c r="K976" s="21">
        <v>0</v>
      </c>
      <c r="L976" s="20">
        <v>0</v>
      </c>
      <c r="M976" s="8">
        <v>649.20000000000005</v>
      </c>
      <c r="N976" s="20">
        <f t="shared" si="525"/>
        <v>3570600.0000000005</v>
      </c>
      <c r="O976" s="20">
        <v>0</v>
      </c>
      <c r="P976" s="20">
        <v>0</v>
      </c>
      <c r="Q976" s="20">
        <v>0</v>
      </c>
      <c r="R976" s="20">
        <f t="shared" si="519"/>
        <v>0</v>
      </c>
      <c r="S976" s="20">
        <v>0</v>
      </c>
      <c r="T976" s="8">
        <v>0</v>
      </c>
      <c r="U976" s="20">
        <v>200000</v>
      </c>
      <c r="V976" s="1">
        <f t="shared" si="520"/>
        <v>5500</v>
      </c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  <c r="FE976" s="2"/>
      <c r="FF976" s="2"/>
      <c r="FG976" s="2"/>
      <c r="FH976" s="2"/>
      <c r="FI976" s="2"/>
      <c r="FJ976" s="2"/>
      <c r="FK976" s="2"/>
      <c r="FL976" s="2"/>
      <c r="FM976" s="2"/>
      <c r="FN976" s="2"/>
      <c r="FO976" s="2"/>
      <c r="FP976" s="2"/>
      <c r="FQ976" s="2"/>
      <c r="FR976" s="2"/>
      <c r="FS976" s="2"/>
      <c r="FT976" s="2"/>
      <c r="FU976" s="2"/>
      <c r="FV976" s="2"/>
      <c r="FW976" s="2"/>
      <c r="FX976" s="2"/>
      <c r="FY976" s="2"/>
      <c r="FZ976" s="2"/>
      <c r="GA976" s="2"/>
      <c r="GB976" s="2"/>
      <c r="GC976" s="2"/>
      <c r="GD976" s="2"/>
      <c r="GE976" s="2"/>
      <c r="GF976" s="2"/>
      <c r="GG976" s="2"/>
      <c r="GH976" s="2"/>
      <c r="GI976" s="2"/>
      <c r="GJ976" s="2"/>
      <c r="GK976" s="2"/>
      <c r="GL976" s="2"/>
      <c r="GM976" s="2"/>
      <c r="GN976" s="2"/>
      <c r="GO976" s="2"/>
      <c r="GP976" s="2"/>
      <c r="GQ976" s="2"/>
      <c r="GR976" s="2"/>
      <c r="GS976" s="2"/>
      <c r="GT976" s="2"/>
      <c r="GU976" s="2"/>
      <c r="GV976" s="2"/>
      <c r="GW976" s="2"/>
      <c r="GX976" s="2"/>
      <c r="GY976" s="2"/>
      <c r="GZ976" s="2"/>
      <c r="HA976" s="2"/>
      <c r="HB976" s="2"/>
      <c r="HC976" s="2"/>
      <c r="HD976" s="2"/>
      <c r="HE976" s="2"/>
      <c r="HF976" s="2"/>
      <c r="HG976" s="2"/>
      <c r="HH976" s="2"/>
      <c r="HI976" s="2"/>
      <c r="HJ976" s="2"/>
      <c r="HK976" s="2"/>
      <c r="HL976" s="2"/>
      <c r="HM976" s="2"/>
      <c r="HN976" s="2"/>
      <c r="HO976" s="2"/>
      <c r="HP976" s="2"/>
      <c r="HQ976" s="2"/>
      <c r="HR976" s="2"/>
      <c r="HS976" s="2"/>
      <c r="HT976" s="2"/>
      <c r="HU976" s="2"/>
      <c r="HV976" s="2"/>
      <c r="HW976" s="2"/>
      <c r="HX976" s="2"/>
      <c r="HY976" s="2"/>
      <c r="HZ976" s="2"/>
      <c r="IA976" s="2"/>
      <c r="IB976" s="2"/>
      <c r="IC976" s="2"/>
      <c r="ID976" s="2"/>
      <c r="IE976" s="2"/>
      <c r="IF976" s="2"/>
      <c r="IG976" s="2"/>
      <c r="IH976" s="2"/>
      <c r="II976" s="2"/>
      <c r="IJ976" s="2"/>
      <c r="IK976" s="2"/>
      <c r="IL976" s="2"/>
      <c r="IM976" s="2"/>
      <c r="IN976" s="2"/>
      <c r="IO976" s="2"/>
      <c r="IP976" s="2"/>
      <c r="IQ976" s="2"/>
      <c r="IR976" s="2"/>
      <c r="IS976" s="2"/>
      <c r="IT976" s="2"/>
      <c r="IU976" s="2"/>
      <c r="IV976" s="2"/>
      <c r="IW976" s="2"/>
      <c r="IX976" s="2"/>
    </row>
    <row r="977" spans="1:258" s="17" customFormat="1" ht="21.95" customHeight="1" x14ac:dyDescent="0.25">
      <c r="A977" s="18" t="s">
        <v>1471</v>
      </c>
      <c r="B977" s="25" t="s">
        <v>808</v>
      </c>
      <c r="C977" s="12">
        <f t="shared" si="522"/>
        <v>3787100.0000000005</v>
      </c>
      <c r="D977" s="20">
        <f t="shared" si="521"/>
        <v>0</v>
      </c>
      <c r="E977" s="20">
        <v>0</v>
      </c>
      <c r="F977" s="20">
        <v>0</v>
      </c>
      <c r="G977" s="20">
        <v>0</v>
      </c>
      <c r="H977" s="20">
        <v>0</v>
      </c>
      <c r="I977" s="20">
        <v>0</v>
      </c>
      <c r="J977" s="20">
        <v>0</v>
      </c>
      <c r="K977" s="21">
        <v>0</v>
      </c>
      <c r="L977" s="20">
        <v>0</v>
      </c>
      <c r="M977" s="8">
        <v>652.20000000000005</v>
      </c>
      <c r="N977" s="20">
        <f t="shared" si="525"/>
        <v>3587100.0000000005</v>
      </c>
      <c r="O977" s="20">
        <v>0</v>
      </c>
      <c r="P977" s="20">
        <v>0</v>
      </c>
      <c r="Q977" s="20">
        <v>0</v>
      </c>
      <c r="R977" s="20">
        <f t="shared" si="519"/>
        <v>0</v>
      </c>
      <c r="S977" s="20">
        <v>0</v>
      </c>
      <c r="T977" s="8">
        <v>0</v>
      </c>
      <c r="U977" s="20">
        <v>200000</v>
      </c>
      <c r="V977" s="1">
        <f t="shared" si="520"/>
        <v>5500</v>
      </c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  <c r="FE977" s="2"/>
      <c r="FF977" s="2"/>
      <c r="FG977" s="2"/>
      <c r="FH977" s="2"/>
      <c r="FI977" s="2"/>
      <c r="FJ977" s="2"/>
      <c r="FK977" s="2"/>
      <c r="FL977" s="2"/>
      <c r="FM977" s="2"/>
      <c r="FN977" s="2"/>
      <c r="FO977" s="2"/>
      <c r="FP977" s="2"/>
      <c r="FQ977" s="2"/>
      <c r="FR977" s="2"/>
      <c r="FS977" s="2"/>
      <c r="FT977" s="2"/>
      <c r="FU977" s="2"/>
      <c r="FV977" s="2"/>
      <c r="FW977" s="2"/>
      <c r="FX977" s="2"/>
      <c r="FY977" s="2"/>
      <c r="FZ977" s="2"/>
      <c r="GA977" s="2"/>
      <c r="GB977" s="2"/>
      <c r="GC977" s="2"/>
      <c r="GD977" s="2"/>
      <c r="GE977" s="2"/>
      <c r="GF977" s="2"/>
      <c r="GG977" s="2"/>
      <c r="GH977" s="2"/>
      <c r="GI977" s="2"/>
      <c r="GJ977" s="2"/>
      <c r="GK977" s="2"/>
      <c r="GL977" s="2"/>
      <c r="GM977" s="2"/>
      <c r="GN977" s="2"/>
      <c r="GO977" s="2"/>
      <c r="GP977" s="2"/>
      <c r="GQ977" s="2"/>
      <c r="GR977" s="2"/>
      <c r="GS977" s="2"/>
      <c r="GT977" s="2"/>
      <c r="GU977" s="2"/>
      <c r="GV977" s="2"/>
      <c r="GW977" s="2"/>
      <c r="GX977" s="2"/>
      <c r="GY977" s="2"/>
      <c r="GZ977" s="2"/>
      <c r="HA977" s="2"/>
      <c r="HB977" s="2"/>
      <c r="HC977" s="2"/>
      <c r="HD977" s="2"/>
      <c r="HE977" s="2"/>
      <c r="HF977" s="2"/>
      <c r="HG977" s="2"/>
      <c r="HH977" s="2"/>
      <c r="HI977" s="2"/>
      <c r="HJ977" s="2"/>
      <c r="HK977" s="2"/>
      <c r="HL977" s="2"/>
      <c r="HM977" s="2"/>
      <c r="HN977" s="2"/>
      <c r="HO977" s="2"/>
      <c r="HP977" s="2"/>
      <c r="HQ977" s="2"/>
      <c r="HR977" s="2"/>
      <c r="HS977" s="2"/>
      <c r="HT977" s="2"/>
      <c r="HU977" s="2"/>
      <c r="HV977" s="2"/>
      <c r="HW977" s="2"/>
      <c r="HX977" s="2"/>
      <c r="HY977" s="2"/>
      <c r="HZ977" s="2"/>
      <c r="IA977" s="2"/>
      <c r="IB977" s="2"/>
      <c r="IC977" s="2"/>
      <c r="ID977" s="2"/>
      <c r="IE977" s="2"/>
      <c r="IF977" s="2"/>
      <c r="IG977" s="2"/>
      <c r="IH977" s="2"/>
      <c r="II977" s="2"/>
      <c r="IJ977" s="2"/>
      <c r="IK977" s="2"/>
      <c r="IL977" s="2"/>
      <c r="IM977" s="2"/>
      <c r="IN977" s="2"/>
      <c r="IO977" s="2"/>
      <c r="IP977" s="2"/>
      <c r="IQ977" s="2"/>
      <c r="IR977" s="2"/>
      <c r="IS977" s="2"/>
      <c r="IT977" s="2"/>
      <c r="IU977" s="2"/>
      <c r="IV977" s="2"/>
      <c r="IW977" s="2"/>
      <c r="IX977" s="2"/>
    </row>
    <row r="978" spans="1:258" s="17" customFormat="1" ht="21.95" customHeight="1" x14ac:dyDescent="0.25">
      <c r="A978" s="18" t="s">
        <v>1472</v>
      </c>
      <c r="B978" s="25" t="s">
        <v>809</v>
      </c>
      <c r="C978" s="12">
        <f t="shared" si="522"/>
        <v>3030848</v>
      </c>
      <c r="D978" s="20">
        <f t="shared" si="521"/>
        <v>0</v>
      </c>
      <c r="E978" s="20">
        <v>0</v>
      </c>
      <c r="F978" s="20">
        <v>0</v>
      </c>
      <c r="G978" s="20">
        <v>0</v>
      </c>
      <c r="H978" s="20">
        <v>0</v>
      </c>
      <c r="I978" s="20">
        <v>0</v>
      </c>
      <c r="J978" s="20">
        <v>0</v>
      </c>
      <c r="K978" s="21">
        <v>0</v>
      </c>
      <c r="L978" s="20">
        <v>0</v>
      </c>
      <c r="M978" s="8">
        <v>768</v>
      </c>
      <c r="N978" s="20">
        <f>M978*3686</f>
        <v>2830848</v>
      </c>
      <c r="O978" s="20">
        <v>0</v>
      </c>
      <c r="P978" s="20">
        <v>0</v>
      </c>
      <c r="Q978" s="20">
        <v>0</v>
      </c>
      <c r="R978" s="20">
        <f t="shared" si="519"/>
        <v>0</v>
      </c>
      <c r="S978" s="20">
        <v>0</v>
      </c>
      <c r="T978" s="8">
        <v>0</v>
      </c>
      <c r="U978" s="20">
        <v>200000</v>
      </c>
      <c r="V978" s="1">
        <f t="shared" si="520"/>
        <v>3686</v>
      </c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  <c r="FE978" s="2"/>
      <c r="FF978" s="2"/>
      <c r="FG978" s="2"/>
      <c r="FH978" s="2"/>
      <c r="FI978" s="2"/>
      <c r="FJ978" s="2"/>
      <c r="FK978" s="2"/>
      <c r="FL978" s="2"/>
      <c r="FM978" s="2"/>
      <c r="FN978" s="2"/>
      <c r="FO978" s="2"/>
      <c r="FP978" s="2"/>
      <c r="FQ978" s="2"/>
      <c r="FR978" s="2"/>
      <c r="FS978" s="2"/>
      <c r="FT978" s="2"/>
      <c r="FU978" s="2"/>
      <c r="FV978" s="2"/>
      <c r="FW978" s="2"/>
      <c r="FX978" s="2"/>
      <c r="FY978" s="2"/>
      <c r="FZ978" s="2"/>
      <c r="GA978" s="2"/>
      <c r="GB978" s="2"/>
      <c r="GC978" s="2"/>
      <c r="GD978" s="2"/>
      <c r="GE978" s="2"/>
      <c r="GF978" s="2"/>
      <c r="GG978" s="2"/>
      <c r="GH978" s="2"/>
      <c r="GI978" s="2"/>
      <c r="GJ978" s="2"/>
      <c r="GK978" s="2"/>
      <c r="GL978" s="2"/>
      <c r="GM978" s="2"/>
      <c r="GN978" s="2"/>
      <c r="GO978" s="2"/>
      <c r="GP978" s="2"/>
      <c r="GQ978" s="2"/>
      <c r="GR978" s="2"/>
      <c r="GS978" s="2"/>
      <c r="GT978" s="2"/>
      <c r="GU978" s="2"/>
      <c r="GV978" s="2"/>
      <c r="GW978" s="2"/>
      <c r="GX978" s="2"/>
      <c r="GY978" s="2"/>
      <c r="GZ978" s="2"/>
      <c r="HA978" s="2"/>
      <c r="HB978" s="2"/>
      <c r="HC978" s="2"/>
      <c r="HD978" s="2"/>
      <c r="HE978" s="2"/>
      <c r="HF978" s="2"/>
      <c r="HG978" s="2"/>
      <c r="HH978" s="2"/>
      <c r="HI978" s="2"/>
      <c r="HJ978" s="2"/>
      <c r="HK978" s="2"/>
      <c r="HL978" s="2"/>
      <c r="HM978" s="2"/>
      <c r="HN978" s="2"/>
      <c r="HO978" s="2"/>
      <c r="HP978" s="2"/>
      <c r="HQ978" s="2"/>
      <c r="HR978" s="2"/>
      <c r="HS978" s="2"/>
      <c r="HT978" s="2"/>
      <c r="HU978" s="2"/>
      <c r="HV978" s="2"/>
      <c r="HW978" s="2"/>
      <c r="HX978" s="2"/>
      <c r="HY978" s="2"/>
      <c r="HZ978" s="2"/>
      <c r="IA978" s="2"/>
      <c r="IB978" s="2"/>
      <c r="IC978" s="2"/>
      <c r="ID978" s="2"/>
      <c r="IE978" s="2"/>
      <c r="IF978" s="2"/>
      <c r="IG978" s="2"/>
      <c r="IH978" s="2"/>
      <c r="II978" s="2"/>
      <c r="IJ978" s="2"/>
      <c r="IK978" s="2"/>
      <c r="IL978" s="2"/>
      <c r="IM978" s="2"/>
      <c r="IN978" s="2"/>
      <c r="IO978" s="2"/>
      <c r="IP978" s="2"/>
      <c r="IQ978" s="2"/>
      <c r="IR978" s="2"/>
      <c r="IS978" s="2"/>
      <c r="IT978" s="2"/>
      <c r="IU978" s="2"/>
      <c r="IV978" s="2"/>
      <c r="IW978" s="2"/>
      <c r="IX978" s="2"/>
    </row>
    <row r="979" spans="1:258" ht="21.95" customHeight="1" x14ac:dyDescent="0.25">
      <c r="A979" s="18" t="s">
        <v>1473</v>
      </c>
      <c r="B979" s="31" t="s">
        <v>810</v>
      </c>
      <c r="C979" s="12">
        <f t="shared" si="522"/>
        <v>3338300</v>
      </c>
      <c r="D979" s="20">
        <f t="shared" si="521"/>
        <v>0</v>
      </c>
      <c r="E979" s="20">
        <v>0</v>
      </c>
      <c r="F979" s="20">
        <v>0</v>
      </c>
      <c r="G979" s="20">
        <v>0</v>
      </c>
      <c r="H979" s="20">
        <v>0</v>
      </c>
      <c r="I979" s="20">
        <v>0</v>
      </c>
      <c r="J979" s="20">
        <v>0</v>
      </c>
      <c r="K979" s="21">
        <v>0</v>
      </c>
      <c r="L979" s="20">
        <v>0</v>
      </c>
      <c r="M979" s="8">
        <v>570.6</v>
      </c>
      <c r="N979" s="20">
        <f t="shared" ref="N979" si="526">M979*5500</f>
        <v>3138300</v>
      </c>
      <c r="O979" s="20">
        <v>0</v>
      </c>
      <c r="P979" s="20">
        <v>0</v>
      </c>
      <c r="Q979" s="20">
        <v>0</v>
      </c>
      <c r="R979" s="20">
        <f t="shared" si="519"/>
        <v>0</v>
      </c>
      <c r="S979" s="20">
        <v>0</v>
      </c>
      <c r="T979" s="8">
        <v>0</v>
      </c>
      <c r="U979" s="20">
        <v>200000</v>
      </c>
      <c r="V979" s="1">
        <f t="shared" si="520"/>
        <v>5500</v>
      </c>
    </row>
    <row r="980" spans="1:258" ht="21.95" customHeight="1" x14ac:dyDescent="0.25">
      <c r="A980" s="18" t="s">
        <v>1474</v>
      </c>
      <c r="B980" s="31" t="s">
        <v>811</v>
      </c>
      <c r="C980" s="12">
        <f t="shared" si="522"/>
        <v>3317399.9999999995</v>
      </c>
      <c r="D980" s="20">
        <f t="shared" si="521"/>
        <v>0</v>
      </c>
      <c r="E980" s="20">
        <v>0</v>
      </c>
      <c r="F980" s="20">
        <v>0</v>
      </c>
      <c r="G980" s="20">
        <v>0</v>
      </c>
      <c r="H980" s="20">
        <v>0</v>
      </c>
      <c r="I980" s="20">
        <v>0</v>
      </c>
      <c r="J980" s="20">
        <v>0</v>
      </c>
      <c r="K980" s="21">
        <v>0</v>
      </c>
      <c r="L980" s="20">
        <v>0</v>
      </c>
      <c r="M980" s="8">
        <v>566.79999999999995</v>
      </c>
      <c r="N980" s="20">
        <f t="shared" ref="N980:N986" si="527">M980*5500</f>
        <v>3117399.9999999995</v>
      </c>
      <c r="O980" s="20">
        <v>0</v>
      </c>
      <c r="P980" s="20">
        <v>0</v>
      </c>
      <c r="Q980" s="20">
        <v>0</v>
      </c>
      <c r="R980" s="20">
        <f t="shared" si="519"/>
        <v>0</v>
      </c>
      <c r="S980" s="20">
        <v>0</v>
      </c>
      <c r="T980" s="8">
        <v>0</v>
      </c>
      <c r="U980" s="20">
        <v>200000</v>
      </c>
      <c r="V980" s="1">
        <f t="shared" si="520"/>
        <v>5500</v>
      </c>
    </row>
    <row r="981" spans="1:258" ht="21.95" customHeight="1" x14ac:dyDescent="0.25">
      <c r="A981" s="18" t="s">
        <v>1475</v>
      </c>
      <c r="B981" s="31" t="s">
        <v>812</v>
      </c>
      <c r="C981" s="12">
        <f t="shared" si="522"/>
        <v>3317399.9999999995</v>
      </c>
      <c r="D981" s="20">
        <f t="shared" si="521"/>
        <v>0</v>
      </c>
      <c r="E981" s="20">
        <v>0</v>
      </c>
      <c r="F981" s="20">
        <v>0</v>
      </c>
      <c r="G981" s="20">
        <v>0</v>
      </c>
      <c r="H981" s="20">
        <v>0</v>
      </c>
      <c r="I981" s="20">
        <v>0</v>
      </c>
      <c r="J981" s="20">
        <v>0</v>
      </c>
      <c r="K981" s="21">
        <v>0</v>
      </c>
      <c r="L981" s="20">
        <v>0</v>
      </c>
      <c r="M981" s="8">
        <v>566.79999999999995</v>
      </c>
      <c r="N981" s="20">
        <f t="shared" si="527"/>
        <v>3117399.9999999995</v>
      </c>
      <c r="O981" s="20">
        <v>0</v>
      </c>
      <c r="P981" s="20">
        <v>0</v>
      </c>
      <c r="Q981" s="20">
        <v>0</v>
      </c>
      <c r="R981" s="20">
        <f t="shared" si="519"/>
        <v>0</v>
      </c>
      <c r="S981" s="20">
        <v>0</v>
      </c>
      <c r="T981" s="8">
        <v>0</v>
      </c>
      <c r="U981" s="20">
        <v>200000</v>
      </c>
      <c r="V981" s="1">
        <f t="shared" si="520"/>
        <v>5500</v>
      </c>
    </row>
    <row r="982" spans="1:258" s="47" customFormat="1" ht="21.95" customHeight="1" x14ac:dyDescent="0.25">
      <c r="A982" s="18" t="s">
        <v>1476</v>
      </c>
      <c r="B982" s="25" t="s">
        <v>733</v>
      </c>
      <c r="C982" s="12">
        <f t="shared" si="522"/>
        <v>3319050</v>
      </c>
      <c r="D982" s="20">
        <f t="shared" si="521"/>
        <v>0</v>
      </c>
      <c r="E982" s="20">
        <v>0</v>
      </c>
      <c r="F982" s="20">
        <v>0</v>
      </c>
      <c r="G982" s="20">
        <v>0</v>
      </c>
      <c r="H982" s="20">
        <v>0</v>
      </c>
      <c r="I982" s="20">
        <v>0</v>
      </c>
      <c r="J982" s="20">
        <v>0</v>
      </c>
      <c r="K982" s="21">
        <v>0</v>
      </c>
      <c r="L982" s="20">
        <v>0</v>
      </c>
      <c r="M982" s="20">
        <v>567.1</v>
      </c>
      <c r="N982" s="20">
        <f t="shared" si="527"/>
        <v>3119050</v>
      </c>
      <c r="O982" s="20">
        <v>0</v>
      </c>
      <c r="P982" s="20">
        <v>0</v>
      </c>
      <c r="Q982" s="20">
        <v>0</v>
      </c>
      <c r="R982" s="20">
        <f t="shared" si="519"/>
        <v>0</v>
      </c>
      <c r="S982" s="20">
        <v>0</v>
      </c>
      <c r="T982" s="8">
        <v>0</v>
      </c>
      <c r="U982" s="20">
        <v>200000</v>
      </c>
      <c r="V982" s="1">
        <f t="shared" si="520"/>
        <v>5500</v>
      </c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  <c r="FE982" s="2"/>
      <c r="FF982" s="2"/>
      <c r="FG982" s="2"/>
      <c r="FH982" s="2"/>
      <c r="FI982" s="2"/>
      <c r="FJ982" s="2"/>
      <c r="FK982" s="2"/>
      <c r="FL982" s="2"/>
      <c r="FM982" s="2"/>
      <c r="FN982" s="2"/>
      <c r="FO982" s="2"/>
      <c r="FP982" s="2"/>
      <c r="FQ982" s="2"/>
      <c r="FR982" s="2"/>
      <c r="FS982" s="2"/>
      <c r="FT982" s="2"/>
      <c r="FU982" s="2"/>
      <c r="FV982" s="2"/>
      <c r="FW982" s="2"/>
      <c r="FX982" s="2"/>
      <c r="FY982" s="2"/>
      <c r="FZ982" s="2"/>
      <c r="GA982" s="2"/>
      <c r="GB982" s="2"/>
      <c r="GC982" s="2"/>
      <c r="GD982" s="2"/>
      <c r="GE982" s="2"/>
      <c r="GF982" s="2"/>
      <c r="GG982" s="2"/>
      <c r="GH982" s="2"/>
      <c r="GI982" s="2"/>
      <c r="GJ982" s="2"/>
      <c r="GK982" s="2"/>
      <c r="GL982" s="2"/>
      <c r="GM982" s="2"/>
      <c r="GN982" s="2"/>
      <c r="GO982" s="2"/>
      <c r="GP982" s="2"/>
      <c r="GQ982" s="2"/>
      <c r="GR982" s="2"/>
      <c r="GS982" s="2"/>
      <c r="GT982" s="2"/>
      <c r="GU982" s="2"/>
      <c r="GV982" s="2"/>
      <c r="GW982" s="2"/>
      <c r="GX982" s="2"/>
      <c r="GY982" s="2"/>
      <c r="GZ982" s="2"/>
      <c r="HA982" s="2"/>
      <c r="HB982" s="2"/>
      <c r="HC982" s="2"/>
      <c r="HD982" s="2"/>
      <c r="HE982" s="2"/>
      <c r="HF982" s="2"/>
      <c r="HG982" s="2"/>
      <c r="HH982" s="2"/>
      <c r="HI982" s="2"/>
      <c r="HJ982" s="2"/>
      <c r="HK982" s="2"/>
      <c r="HL982" s="2"/>
      <c r="HM982" s="2"/>
      <c r="HN982" s="2"/>
      <c r="HO982" s="2"/>
      <c r="HP982" s="2"/>
      <c r="HQ982" s="2"/>
      <c r="HR982" s="2"/>
      <c r="HS982" s="2"/>
      <c r="HT982" s="2"/>
      <c r="HU982" s="2"/>
      <c r="HV982" s="2"/>
      <c r="HW982" s="2"/>
      <c r="HX982" s="2"/>
      <c r="HY982" s="2"/>
      <c r="HZ982" s="2"/>
      <c r="IA982" s="2"/>
      <c r="IB982" s="2"/>
      <c r="IC982" s="2"/>
      <c r="ID982" s="2"/>
      <c r="IE982" s="2"/>
      <c r="IF982" s="2"/>
      <c r="IG982" s="2"/>
      <c r="IH982" s="2"/>
      <c r="II982" s="2"/>
      <c r="IJ982" s="2"/>
      <c r="IK982" s="2"/>
      <c r="IL982" s="2"/>
      <c r="IM982" s="2"/>
      <c r="IN982" s="2"/>
      <c r="IO982" s="2"/>
      <c r="IP982" s="2"/>
      <c r="IQ982" s="2"/>
      <c r="IR982" s="2"/>
      <c r="IS982" s="2"/>
      <c r="IT982" s="2"/>
      <c r="IU982" s="2"/>
      <c r="IV982" s="2"/>
      <c r="IW982" s="2"/>
      <c r="IX982" s="2"/>
    </row>
    <row r="983" spans="1:258" s="47" customFormat="1" ht="21.95" customHeight="1" x14ac:dyDescent="0.25">
      <c r="A983" s="18" t="s">
        <v>1477</v>
      </c>
      <c r="B983" s="25" t="s">
        <v>734</v>
      </c>
      <c r="C983" s="12">
        <f t="shared" si="522"/>
        <v>3061649.9999999995</v>
      </c>
      <c r="D983" s="20">
        <f t="shared" si="521"/>
        <v>0</v>
      </c>
      <c r="E983" s="20">
        <v>0</v>
      </c>
      <c r="F983" s="20">
        <v>0</v>
      </c>
      <c r="G983" s="20">
        <v>0</v>
      </c>
      <c r="H983" s="20">
        <v>0</v>
      </c>
      <c r="I983" s="20">
        <v>0</v>
      </c>
      <c r="J983" s="20">
        <v>0</v>
      </c>
      <c r="K983" s="21">
        <v>0</v>
      </c>
      <c r="L983" s="20">
        <v>0</v>
      </c>
      <c r="M983" s="8">
        <v>520.29999999999995</v>
      </c>
      <c r="N983" s="20">
        <f t="shared" si="527"/>
        <v>2861649.9999999995</v>
      </c>
      <c r="O983" s="20">
        <v>0</v>
      </c>
      <c r="P983" s="20">
        <v>0</v>
      </c>
      <c r="Q983" s="20">
        <v>0</v>
      </c>
      <c r="R983" s="20">
        <f t="shared" si="519"/>
        <v>0</v>
      </c>
      <c r="S983" s="20">
        <v>0</v>
      </c>
      <c r="T983" s="8">
        <v>0</v>
      </c>
      <c r="U983" s="20">
        <v>200000</v>
      </c>
      <c r="V983" s="1">
        <f t="shared" si="520"/>
        <v>5500</v>
      </c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  <c r="FE983" s="2"/>
      <c r="FF983" s="2"/>
      <c r="FG983" s="2"/>
      <c r="FH983" s="2"/>
      <c r="FI983" s="2"/>
      <c r="FJ983" s="2"/>
      <c r="FK983" s="2"/>
      <c r="FL983" s="2"/>
      <c r="FM983" s="2"/>
      <c r="FN983" s="2"/>
      <c r="FO983" s="2"/>
      <c r="FP983" s="2"/>
      <c r="FQ983" s="2"/>
      <c r="FR983" s="2"/>
      <c r="FS983" s="2"/>
      <c r="FT983" s="2"/>
      <c r="FU983" s="2"/>
      <c r="FV983" s="2"/>
      <c r="FW983" s="2"/>
      <c r="FX983" s="2"/>
      <c r="FY983" s="2"/>
      <c r="FZ983" s="2"/>
      <c r="GA983" s="2"/>
      <c r="GB983" s="2"/>
      <c r="GC983" s="2"/>
      <c r="GD983" s="2"/>
      <c r="GE983" s="2"/>
      <c r="GF983" s="2"/>
      <c r="GG983" s="2"/>
      <c r="GH983" s="2"/>
      <c r="GI983" s="2"/>
      <c r="GJ983" s="2"/>
      <c r="GK983" s="2"/>
      <c r="GL983" s="2"/>
      <c r="GM983" s="2"/>
      <c r="GN983" s="2"/>
      <c r="GO983" s="2"/>
      <c r="GP983" s="2"/>
      <c r="GQ983" s="2"/>
      <c r="GR983" s="2"/>
      <c r="GS983" s="2"/>
      <c r="GT983" s="2"/>
      <c r="GU983" s="2"/>
      <c r="GV983" s="2"/>
      <c r="GW983" s="2"/>
      <c r="GX983" s="2"/>
      <c r="GY983" s="2"/>
      <c r="GZ983" s="2"/>
      <c r="HA983" s="2"/>
      <c r="HB983" s="2"/>
      <c r="HC983" s="2"/>
      <c r="HD983" s="2"/>
      <c r="HE983" s="2"/>
      <c r="HF983" s="2"/>
      <c r="HG983" s="2"/>
      <c r="HH983" s="2"/>
      <c r="HI983" s="2"/>
      <c r="HJ983" s="2"/>
      <c r="HK983" s="2"/>
      <c r="HL983" s="2"/>
      <c r="HM983" s="2"/>
      <c r="HN983" s="2"/>
      <c r="HO983" s="2"/>
      <c r="HP983" s="2"/>
      <c r="HQ983" s="2"/>
      <c r="HR983" s="2"/>
      <c r="HS983" s="2"/>
      <c r="HT983" s="2"/>
      <c r="HU983" s="2"/>
      <c r="HV983" s="2"/>
      <c r="HW983" s="2"/>
      <c r="HX983" s="2"/>
      <c r="HY983" s="2"/>
      <c r="HZ983" s="2"/>
      <c r="IA983" s="2"/>
      <c r="IB983" s="2"/>
      <c r="IC983" s="2"/>
      <c r="ID983" s="2"/>
      <c r="IE983" s="2"/>
      <c r="IF983" s="2"/>
      <c r="IG983" s="2"/>
      <c r="IH983" s="2"/>
      <c r="II983" s="2"/>
      <c r="IJ983" s="2"/>
      <c r="IK983" s="2"/>
      <c r="IL983" s="2"/>
      <c r="IM983" s="2"/>
      <c r="IN983" s="2"/>
      <c r="IO983" s="2"/>
      <c r="IP983" s="2"/>
      <c r="IQ983" s="2"/>
      <c r="IR983" s="2"/>
      <c r="IS983" s="2"/>
      <c r="IT983" s="2"/>
      <c r="IU983" s="2"/>
      <c r="IV983" s="2"/>
      <c r="IW983" s="2"/>
      <c r="IX983" s="2"/>
    </row>
    <row r="984" spans="1:258" s="47" customFormat="1" ht="21.95" customHeight="1" x14ac:dyDescent="0.25">
      <c r="A984" s="18" t="s">
        <v>1478</v>
      </c>
      <c r="B984" s="25" t="s">
        <v>735</v>
      </c>
      <c r="C984" s="12">
        <f t="shared" si="522"/>
        <v>2853750</v>
      </c>
      <c r="D984" s="20">
        <f t="shared" si="521"/>
        <v>0</v>
      </c>
      <c r="E984" s="20">
        <v>0</v>
      </c>
      <c r="F984" s="20">
        <v>0</v>
      </c>
      <c r="G984" s="20">
        <v>0</v>
      </c>
      <c r="H984" s="20">
        <v>0</v>
      </c>
      <c r="I984" s="20">
        <v>0</v>
      </c>
      <c r="J984" s="20">
        <v>0</v>
      </c>
      <c r="K984" s="21">
        <v>0</v>
      </c>
      <c r="L984" s="20">
        <v>0</v>
      </c>
      <c r="M984" s="20">
        <v>482.5</v>
      </c>
      <c r="N984" s="20">
        <f t="shared" si="527"/>
        <v>2653750</v>
      </c>
      <c r="O984" s="20">
        <v>0</v>
      </c>
      <c r="P984" s="20">
        <v>0</v>
      </c>
      <c r="Q984" s="20">
        <v>0</v>
      </c>
      <c r="R984" s="20">
        <f t="shared" si="519"/>
        <v>0</v>
      </c>
      <c r="S984" s="20">
        <v>0</v>
      </c>
      <c r="T984" s="8">
        <v>0</v>
      </c>
      <c r="U984" s="20">
        <v>200000</v>
      </c>
      <c r="V984" s="1">
        <f t="shared" si="520"/>
        <v>5500</v>
      </c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  <c r="FE984" s="2"/>
      <c r="FF984" s="2"/>
      <c r="FG984" s="2"/>
      <c r="FH984" s="2"/>
      <c r="FI984" s="2"/>
      <c r="FJ984" s="2"/>
      <c r="FK984" s="2"/>
      <c r="FL984" s="2"/>
      <c r="FM984" s="2"/>
      <c r="FN984" s="2"/>
      <c r="FO984" s="2"/>
      <c r="FP984" s="2"/>
      <c r="FQ984" s="2"/>
      <c r="FR984" s="2"/>
      <c r="FS984" s="2"/>
      <c r="FT984" s="2"/>
      <c r="FU984" s="2"/>
      <c r="FV984" s="2"/>
      <c r="FW984" s="2"/>
      <c r="FX984" s="2"/>
      <c r="FY984" s="2"/>
      <c r="FZ984" s="2"/>
      <c r="GA984" s="2"/>
      <c r="GB984" s="2"/>
      <c r="GC984" s="2"/>
      <c r="GD984" s="2"/>
      <c r="GE984" s="2"/>
      <c r="GF984" s="2"/>
      <c r="GG984" s="2"/>
      <c r="GH984" s="2"/>
      <c r="GI984" s="2"/>
      <c r="GJ984" s="2"/>
      <c r="GK984" s="2"/>
      <c r="GL984" s="2"/>
      <c r="GM984" s="2"/>
      <c r="GN984" s="2"/>
      <c r="GO984" s="2"/>
      <c r="GP984" s="2"/>
      <c r="GQ984" s="2"/>
      <c r="GR984" s="2"/>
      <c r="GS984" s="2"/>
      <c r="GT984" s="2"/>
      <c r="GU984" s="2"/>
      <c r="GV984" s="2"/>
      <c r="GW984" s="2"/>
      <c r="GX984" s="2"/>
      <c r="GY984" s="2"/>
      <c r="GZ984" s="2"/>
      <c r="HA984" s="2"/>
      <c r="HB984" s="2"/>
      <c r="HC984" s="2"/>
      <c r="HD984" s="2"/>
      <c r="HE984" s="2"/>
      <c r="HF984" s="2"/>
      <c r="HG984" s="2"/>
      <c r="HH984" s="2"/>
      <c r="HI984" s="2"/>
      <c r="HJ984" s="2"/>
      <c r="HK984" s="2"/>
      <c r="HL984" s="2"/>
      <c r="HM984" s="2"/>
      <c r="HN984" s="2"/>
      <c r="HO984" s="2"/>
      <c r="HP984" s="2"/>
      <c r="HQ984" s="2"/>
      <c r="HR984" s="2"/>
      <c r="HS984" s="2"/>
      <c r="HT984" s="2"/>
      <c r="HU984" s="2"/>
      <c r="HV984" s="2"/>
      <c r="HW984" s="2"/>
      <c r="HX984" s="2"/>
      <c r="HY984" s="2"/>
      <c r="HZ984" s="2"/>
      <c r="IA984" s="2"/>
      <c r="IB984" s="2"/>
      <c r="IC984" s="2"/>
      <c r="ID984" s="2"/>
      <c r="IE984" s="2"/>
      <c r="IF984" s="2"/>
      <c r="IG984" s="2"/>
      <c r="IH984" s="2"/>
      <c r="II984" s="2"/>
      <c r="IJ984" s="2"/>
      <c r="IK984" s="2"/>
      <c r="IL984" s="2"/>
      <c r="IM984" s="2"/>
      <c r="IN984" s="2"/>
      <c r="IO984" s="2"/>
      <c r="IP984" s="2"/>
      <c r="IQ984" s="2"/>
      <c r="IR984" s="2"/>
      <c r="IS984" s="2"/>
      <c r="IT984" s="2"/>
      <c r="IU984" s="2"/>
      <c r="IV984" s="2"/>
      <c r="IW984" s="2"/>
      <c r="IX984" s="2"/>
    </row>
    <row r="985" spans="1:258" ht="21.95" customHeight="1" x14ac:dyDescent="0.25">
      <c r="A985" s="18" t="s">
        <v>1479</v>
      </c>
      <c r="B985" s="25" t="s">
        <v>736</v>
      </c>
      <c r="C985" s="12">
        <f t="shared" si="522"/>
        <v>1630000</v>
      </c>
      <c r="D985" s="20">
        <f t="shared" si="521"/>
        <v>0</v>
      </c>
      <c r="E985" s="20">
        <v>0</v>
      </c>
      <c r="F985" s="20">
        <v>0</v>
      </c>
      <c r="G985" s="20">
        <v>0</v>
      </c>
      <c r="H985" s="20">
        <v>0</v>
      </c>
      <c r="I985" s="20">
        <v>0</v>
      </c>
      <c r="J985" s="20">
        <v>0</v>
      </c>
      <c r="K985" s="21">
        <v>0</v>
      </c>
      <c r="L985" s="20">
        <v>0</v>
      </c>
      <c r="M985" s="20">
        <v>260</v>
      </c>
      <c r="N985" s="20">
        <f t="shared" si="527"/>
        <v>1430000</v>
      </c>
      <c r="O985" s="20">
        <v>0</v>
      </c>
      <c r="P985" s="20">
        <v>0</v>
      </c>
      <c r="Q985" s="20">
        <v>0</v>
      </c>
      <c r="R985" s="20">
        <f t="shared" si="519"/>
        <v>0</v>
      </c>
      <c r="S985" s="20">
        <v>0</v>
      </c>
      <c r="T985" s="8">
        <v>0</v>
      </c>
      <c r="U985" s="20">
        <v>200000</v>
      </c>
      <c r="V985" s="1">
        <f t="shared" si="520"/>
        <v>5500</v>
      </c>
    </row>
    <row r="986" spans="1:258" ht="21.95" customHeight="1" x14ac:dyDescent="0.25">
      <c r="A986" s="18" t="s">
        <v>1480</v>
      </c>
      <c r="B986" s="25" t="s">
        <v>737</v>
      </c>
      <c r="C986" s="12">
        <f t="shared" si="522"/>
        <v>1597000</v>
      </c>
      <c r="D986" s="20">
        <f t="shared" si="521"/>
        <v>0</v>
      </c>
      <c r="E986" s="20">
        <v>0</v>
      </c>
      <c r="F986" s="20">
        <v>0</v>
      </c>
      <c r="G986" s="20">
        <v>0</v>
      </c>
      <c r="H986" s="20">
        <v>0</v>
      </c>
      <c r="I986" s="20">
        <v>0</v>
      </c>
      <c r="J986" s="20">
        <v>0</v>
      </c>
      <c r="K986" s="21">
        <v>0</v>
      </c>
      <c r="L986" s="20">
        <v>0</v>
      </c>
      <c r="M986" s="20">
        <v>254</v>
      </c>
      <c r="N986" s="20">
        <f t="shared" si="527"/>
        <v>1397000</v>
      </c>
      <c r="O986" s="20">
        <v>0</v>
      </c>
      <c r="P986" s="20">
        <v>0</v>
      </c>
      <c r="Q986" s="20">
        <v>0</v>
      </c>
      <c r="R986" s="20">
        <f t="shared" si="519"/>
        <v>0</v>
      </c>
      <c r="S986" s="20">
        <v>0</v>
      </c>
      <c r="T986" s="8">
        <v>0</v>
      </c>
      <c r="U986" s="20">
        <v>200000</v>
      </c>
      <c r="V986" s="1">
        <f t="shared" si="520"/>
        <v>5500</v>
      </c>
    </row>
    <row r="987" spans="1:258" ht="21.95" customHeight="1" x14ac:dyDescent="0.25">
      <c r="A987" s="18" t="s">
        <v>1481</v>
      </c>
      <c r="B987" s="25" t="s">
        <v>1210</v>
      </c>
      <c r="C987" s="12">
        <f t="shared" si="522"/>
        <v>3540621.8</v>
      </c>
      <c r="D987" s="20">
        <f t="shared" si="521"/>
        <v>0</v>
      </c>
      <c r="E987" s="20">
        <v>0</v>
      </c>
      <c r="F987" s="20">
        <v>0</v>
      </c>
      <c r="G987" s="20">
        <v>0</v>
      </c>
      <c r="H987" s="20">
        <v>0</v>
      </c>
      <c r="I987" s="20">
        <v>0</v>
      </c>
      <c r="J987" s="20">
        <v>0</v>
      </c>
      <c r="K987" s="21">
        <v>0</v>
      </c>
      <c r="L987" s="20">
        <v>0</v>
      </c>
      <c r="M987" s="8">
        <v>906.3</v>
      </c>
      <c r="N987" s="20">
        <f>M987*3686</f>
        <v>3340621.8</v>
      </c>
      <c r="O987" s="20">
        <v>0</v>
      </c>
      <c r="P987" s="20">
        <v>0</v>
      </c>
      <c r="Q987" s="20">
        <v>0</v>
      </c>
      <c r="R987" s="20">
        <f t="shared" si="519"/>
        <v>0</v>
      </c>
      <c r="S987" s="20">
        <v>0</v>
      </c>
      <c r="T987" s="8">
        <v>0</v>
      </c>
      <c r="U987" s="20">
        <v>200000</v>
      </c>
      <c r="V987" s="1">
        <f t="shared" si="520"/>
        <v>3686</v>
      </c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7"/>
      <c r="AV987" s="17"/>
      <c r="AW987" s="17"/>
      <c r="AX987" s="17"/>
      <c r="AY987" s="17"/>
      <c r="AZ987" s="17"/>
      <c r="BA987" s="17"/>
      <c r="BB987" s="17"/>
      <c r="BC987" s="17"/>
      <c r="BD987" s="17"/>
      <c r="BE987" s="17"/>
      <c r="BF987" s="17"/>
      <c r="BG987" s="17"/>
      <c r="BH987" s="17"/>
      <c r="BI987" s="17"/>
      <c r="BJ987" s="17"/>
      <c r="BK987" s="17"/>
      <c r="BL987" s="17"/>
      <c r="BM987" s="17"/>
      <c r="BN987" s="17"/>
      <c r="BO987" s="17"/>
      <c r="BP987" s="17"/>
      <c r="BQ987" s="17"/>
      <c r="BR987" s="17"/>
      <c r="BS987" s="17"/>
      <c r="BT987" s="17"/>
      <c r="BU987" s="17"/>
      <c r="BV987" s="17"/>
      <c r="BW987" s="17"/>
      <c r="BX987" s="17"/>
      <c r="BY987" s="17"/>
      <c r="BZ987" s="17"/>
      <c r="CA987" s="17"/>
      <c r="CB987" s="17"/>
      <c r="CC987" s="17"/>
      <c r="CD987" s="17"/>
      <c r="CE987" s="17"/>
      <c r="CF987" s="17"/>
      <c r="CG987" s="17"/>
      <c r="CH987" s="17"/>
      <c r="CI987" s="17"/>
      <c r="CJ987" s="17"/>
      <c r="CK987" s="17"/>
      <c r="CL987" s="17"/>
      <c r="CM987" s="17"/>
      <c r="CN987" s="17"/>
      <c r="CO987" s="17"/>
      <c r="CP987" s="17"/>
      <c r="CQ987" s="17"/>
      <c r="CR987" s="17"/>
      <c r="CS987" s="17"/>
      <c r="CT987" s="17"/>
      <c r="CU987" s="17"/>
      <c r="CV987" s="17"/>
      <c r="CW987" s="17"/>
      <c r="CX987" s="17"/>
      <c r="CY987" s="17"/>
      <c r="CZ987" s="17"/>
      <c r="DA987" s="17"/>
      <c r="DB987" s="17"/>
      <c r="DC987" s="17"/>
      <c r="DD987" s="17"/>
      <c r="DE987" s="17"/>
      <c r="DF987" s="17"/>
      <c r="DG987" s="17"/>
      <c r="DH987" s="17"/>
      <c r="DI987" s="17"/>
      <c r="DJ987" s="17"/>
      <c r="DK987" s="17"/>
      <c r="DL987" s="17"/>
      <c r="DM987" s="17"/>
      <c r="DN987" s="17"/>
      <c r="DO987" s="17"/>
      <c r="DP987" s="17"/>
      <c r="DQ987" s="17"/>
      <c r="DR987" s="17"/>
      <c r="DS987" s="17"/>
      <c r="DT987" s="17"/>
      <c r="DU987" s="17"/>
      <c r="DV987" s="17"/>
      <c r="DW987" s="17"/>
      <c r="DX987" s="17"/>
      <c r="DY987" s="17"/>
      <c r="DZ987" s="17"/>
      <c r="EA987" s="17"/>
      <c r="EB987" s="17"/>
      <c r="EC987" s="17"/>
      <c r="ED987" s="17"/>
      <c r="EE987" s="17"/>
      <c r="EF987" s="17"/>
      <c r="EG987" s="17"/>
      <c r="EH987" s="17"/>
      <c r="EI987" s="17"/>
      <c r="EJ987" s="17"/>
      <c r="EK987" s="17"/>
      <c r="EL987" s="17"/>
      <c r="EM987" s="17"/>
      <c r="EN987" s="17"/>
      <c r="EO987" s="17"/>
      <c r="EP987" s="17"/>
      <c r="EQ987" s="17"/>
      <c r="ER987" s="17"/>
      <c r="ES987" s="17"/>
      <c r="ET987" s="17"/>
      <c r="EU987" s="17"/>
      <c r="EV987" s="17"/>
      <c r="EW987" s="17"/>
      <c r="EX987" s="17"/>
      <c r="EY987" s="17"/>
      <c r="EZ987" s="17"/>
      <c r="FA987" s="17"/>
      <c r="FB987" s="17"/>
      <c r="FC987" s="17"/>
      <c r="FD987" s="17"/>
      <c r="FE987" s="17"/>
      <c r="FF987" s="17"/>
      <c r="FG987" s="17"/>
      <c r="FH987" s="17"/>
      <c r="FI987" s="17"/>
      <c r="FJ987" s="17"/>
      <c r="FK987" s="17"/>
      <c r="FL987" s="17"/>
      <c r="FM987" s="17"/>
      <c r="FN987" s="17"/>
      <c r="FO987" s="17"/>
      <c r="FP987" s="17"/>
      <c r="FQ987" s="17"/>
      <c r="FR987" s="17"/>
      <c r="FS987" s="17"/>
      <c r="FT987" s="17"/>
      <c r="FU987" s="17"/>
      <c r="FV987" s="17"/>
      <c r="FW987" s="17"/>
      <c r="FX987" s="17"/>
      <c r="FY987" s="17"/>
      <c r="FZ987" s="17"/>
      <c r="GA987" s="17"/>
      <c r="GB987" s="17"/>
      <c r="GC987" s="17"/>
      <c r="GD987" s="17"/>
      <c r="GE987" s="17"/>
      <c r="GF987" s="17"/>
      <c r="GG987" s="17"/>
      <c r="GH987" s="17"/>
      <c r="GI987" s="17"/>
      <c r="GJ987" s="17"/>
      <c r="GK987" s="17"/>
      <c r="GL987" s="17"/>
      <c r="GM987" s="17"/>
      <c r="GN987" s="17"/>
      <c r="GO987" s="17"/>
      <c r="GP987" s="17"/>
      <c r="GQ987" s="17"/>
      <c r="GR987" s="17"/>
      <c r="GS987" s="17"/>
      <c r="GT987" s="17"/>
      <c r="GU987" s="17"/>
      <c r="GV987" s="17"/>
      <c r="GW987" s="17"/>
      <c r="GX987" s="17"/>
      <c r="GY987" s="17"/>
      <c r="GZ987" s="17"/>
      <c r="HA987" s="17"/>
      <c r="HB987" s="17"/>
      <c r="HC987" s="17"/>
      <c r="HD987" s="17"/>
      <c r="HE987" s="17"/>
      <c r="HF987" s="17"/>
      <c r="HG987" s="17"/>
      <c r="HH987" s="17"/>
      <c r="HI987" s="17"/>
      <c r="HJ987" s="17"/>
      <c r="HK987" s="17"/>
      <c r="HL987" s="17"/>
      <c r="HM987" s="17"/>
      <c r="HN987" s="17"/>
      <c r="HO987" s="17"/>
      <c r="HP987" s="17"/>
      <c r="HQ987" s="17"/>
      <c r="HR987" s="17"/>
      <c r="HS987" s="17"/>
      <c r="HT987" s="17"/>
      <c r="HU987" s="17"/>
      <c r="HV987" s="17"/>
      <c r="HW987" s="17"/>
      <c r="HX987" s="17"/>
      <c r="HY987" s="17"/>
      <c r="HZ987" s="17"/>
      <c r="IA987" s="17"/>
      <c r="IB987" s="17"/>
      <c r="IC987" s="17"/>
      <c r="ID987" s="17"/>
      <c r="IE987" s="17"/>
      <c r="IF987" s="17"/>
      <c r="IG987" s="17"/>
      <c r="IH987" s="17"/>
      <c r="II987" s="17"/>
      <c r="IJ987" s="17"/>
      <c r="IK987" s="17"/>
      <c r="IL987" s="17"/>
      <c r="IM987" s="17"/>
      <c r="IN987" s="17"/>
      <c r="IO987" s="17"/>
      <c r="IP987" s="17"/>
      <c r="IQ987" s="17"/>
      <c r="IR987" s="17"/>
      <c r="IS987" s="17"/>
      <c r="IT987" s="17"/>
      <c r="IU987" s="17"/>
      <c r="IV987" s="17"/>
      <c r="IW987" s="17"/>
      <c r="IX987" s="17"/>
    </row>
    <row r="988" spans="1:258" ht="21.95" customHeight="1" x14ac:dyDescent="0.25">
      <c r="A988" s="18" t="s">
        <v>1482</v>
      </c>
      <c r="B988" s="25" t="s">
        <v>738</v>
      </c>
      <c r="C988" s="12">
        <f t="shared" si="522"/>
        <v>2371950</v>
      </c>
      <c r="D988" s="20">
        <f t="shared" si="521"/>
        <v>0</v>
      </c>
      <c r="E988" s="20">
        <v>0</v>
      </c>
      <c r="F988" s="20">
        <v>0</v>
      </c>
      <c r="G988" s="20">
        <v>0</v>
      </c>
      <c r="H988" s="20">
        <v>0</v>
      </c>
      <c r="I988" s="20">
        <v>0</v>
      </c>
      <c r="J988" s="20">
        <v>0</v>
      </c>
      <c r="K988" s="21">
        <v>0</v>
      </c>
      <c r="L988" s="20">
        <v>0</v>
      </c>
      <c r="M988" s="20">
        <v>394.9</v>
      </c>
      <c r="N988" s="20">
        <f t="shared" ref="N988:N995" si="528">M988*5500</f>
        <v>2171950</v>
      </c>
      <c r="O988" s="20">
        <v>0</v>
      </c>
      <c r="P988" s="20">
        <v>0</v>
      </c>
      <c r="Q988" s="20">
        <v>0</v>
      </c>
      <c r="R988" s="20">
        <f t="shared" si="519"/>
        <v>0</v>
      </c>
      <c r="S988" s="20">
        <v>0</v>
      </c>
      <c r="T988" s="8">
        <v>0</v>
      </c>
      <c r="U988" s="20">
        <v>200000</v>
      </c>
      <c r="V988" s="1">
        <f t="shared" si="520"/>
        <v>5500</v>
      </c>
    </row>
    <row r="989" spans="1:258" ht="21.95" customHeight="1" x14ac:dyDescent="0.25">
      <c r="A989" s="18" t="s">
        <v>1483</v>
      </c>
      <c r="B989" s="25" t="s">
        <v>813</v>
      </c>
      <c r="C989" s="12">
        <f t="shared" si="522"/>
        <v>1292300</v>
      </c>
      <c r="D989" s="20">
        <f t="shared" si="521"/>
        <v>0</v>
      </c>
      <c r="E989" s="20">
        <v>0</v>
      </c>
      <c r="F989" s="20">
        <v>0</v>
      </c>
      <c r="G989" s="20">
        <v>0</v>
      </c>
      <c r="H989" s="20">
        <v>0</v>
      </c>
      <c r="I989" s="20">
        <v>0</v>
      </c>
      <c r="J989" s="20">
        <v>0</v>
      </c>
      <c r="K989" s="21">
        <v>0</v>
      </c>
      <c r="L989" s="20">
        <v>0</v>
      </c>
      <c r="M989" s="8">
        <v>198.6</v>
      </c>
      <c r="N989" s="20">
        <f t="shared" si="528"/>
        <v>1092300</v>
      </c>
      <c r="O989" s="20">
        <v>0</v>
      </c>
      <c r="P989" s="20">
        <v>0</v>
      </c>
      <c r="Q989" s="20">
        <v>0</v>
      </c>
      <c r="R989" s="20">
        <f t="shared" si="519"/>
        <v>0</v>
      </c>
      <c r="S989" s="20">
        <v>0</v>
      </c>
      <c r="T989" s="8">
        <v>0</v>
      </c>
      <c r="U989" s="20">
        <v>200000</v>
      </c>
      <c r="V989" s="1">
        <f t="shared" si="520"/>
        <v>5500</v>
      </c>
    </row>
    <row r="990" spans="1:258" ht="21.95" customHeight="1" x14ac:dyDescent="0.25">
      <c r="A990" s="18" t="s">
        <v>1484</v>
      </c>
      <c r="B990" s="25" t="s">
        <v>739</v>
      </c>
      <c r="C990" s="12">
        <f t="shared" si="522"/>
        <v>1789500</v>
      </c>
      <c r="D990" s="20">
        <f t="shared" si="521"/>
        <v>0</v>
      </c>
      <c r="E990" s="20">
        <v>0</v>
      </c>
      <c r="F990" s="20">
        <v>0</v>
      </c>
      <c r="G990" s="20">
        <v>0</v>
      </c>
      <c r="H990" s="20">
        <v>0</v>
      </c>
      <c r="I990" s="20">
        <v>0</v>
      </c>
      <c r="J990" s="20">
        <v>0</v>
      </c>
      <c r="K990" s="21">
        <v>0</v>
      </c>
      <c r="L990" s="20">
        <v>0</v>
      </c>
      <c r="M990" s="20">
        <v>289</v>
      </c>
      <c r="N990" s="20">
        <f t="shared" si="528"/>
        <v>1589500</v>
      </c>
      <c r="O990" s="20">
        <v>0</v>
      </c>
      <c r="P990" s="20">
        <v>0</v>
      </c>
      <c r="Q990" s="20">
        <v>0</v>
      </c>
      <c r="R990" s="20">
        <f t="shared" si="519"/>
        <v>0</v>
      </c>
      <c r="S990" s="20">
        <v>0</v>
      </c>
      <c r="T990" s="8">
        <v>0</v>
      </c>
      <c r="U990" s="20">
        <v>200000</v>
      </c>
      <c r="V990" s="1">
        <f t="shared" si="520"/>
        <v>5500</v>
      </c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  <c r="AV990" s="17"/>
      <c r="AW990" s="17"/>
      <c r="AX990" s="17"/>
      <c r="AY990" s="17"/>
      <c r="AZ990" s="17"/>
      <c r="BA990" s="17"/>
      <c r="BB990" s="17"/>
      <c r="BC990" s="17"/>
      <c r="BD990" s="17"/>
      <c r="BE990" s="17"/>
      <c r="BF990" s="17"/>
      <c r="BG990" s="17"/>
      <c r="BH990" s="17"/>
      <c r="BI990" s="17"/>
      <c r="BJ990" s="17"/>
      <c r="BK990" s="17"/>
      <c r="BL990" s="17"/>
      <c r="BM990" s="17"/>
      <c r="BN990" s="17"/>
      <c r="BO990" s="17"/>
      <c r="BP990" s="17"/>
      <c r="BQ990" s="17"/>
      <c r="BR990" s="17"/>
      <c r="BS990" s="17"/>
      <c r="BT990" s="17"/>
      <c r="BU990" s="17"/>
      <c r="BV990" s="17"/>
      <c r="BW990" s="17"/>
      <c r="BX990" s="17"/>
      <c r="BY990" s="17"/>
      <c r="BZ990" s="17"/>
      <c r="CA990" s="17"/>
      <c r="CB990" s="17"/>
      <c r="CC990" s="17"/>
      <c r="CD990" s="17"/>
      <c r="CE990" s="17"/>
      <c r="CF990" s="17"/>
      <c r="CG990" s="17"/>
      <c r="CH990" s="17"/>
      <c r="CI990" s="17"/>
      <c r="CJ990" s="17"/>
      <c r="CK990" s="17"/>
      <c r="CL990" s="17"/>
      <c r="CM990" s="17"/>
      <c r="CN990" s="17"/>
      <c r="CO990" s="17"/>
      <c r="CP990" s="17"/>
      <c r="CQ990" s="17"/>
      <c r="CR990" s="17"/>
      <c r="CS990" s="17"/>
      <c r="CT990" s="17"/>
      <c r="CU990" s="17"/>
      <c r="CV990" s="17"/>
      <c r="CW990" s="17"/>
      <c r="CX990" s="17"/>
      <c r="CY990" s="17"/>
      <c r="CZ990" s="17"/>
      <c r="DA990" s="17"/>
      <c r="DB990" s="17"/>
      <c r="DC990" s="17"/>
      <c r="DD990" s="17"/>
      <c r="DE990" s="17"/>
      <c r="DF990" s="17"/>
      <c r="DG990" s="17"/>
      <c r="DH990" s="17"/>
      <c r="DI990" s="17"/>
      <c r="DJ990" s="17"/>
      <c r="DK990" s="17"/>
      <c r="DL990" s="17"/>
      <c r="DM990" s="17"/>
      <c r="DN990" s="17"/>
      <c r="DO990" s="17"/>
      <c r="DP990" s="17"/>
      <c r="DQ990" s="17"/>
      <c r="DR990" s="17"/>
      <c r="DS990" s="17"/>
      <c r="DT990" s="17"/>
      <c r="DU990" s="17"/>
      <c r="DV990" s="17"/>
      <c r="DW990" s="17"/>
      <c r="DX990" s="17"/>
      <c r="DY990" s="17"/>
      <c r="DZ990" s="17"/>
      <c r="EA990" s="17"/>
      <c r="EB990" s="17"/>
      <c r="EC990" s="17"/>
      <c r="ED990" s="17"/>
      <c r="EE990" s="17"/>
      <c r="EF990" s="17"/>
      <c r="EG990" s="17"/>
      <c r="EH990" s="17"/>
      <c r="EI990" s="17"/>
      <c r="EJ990" s="17"/>
      <c r="EK990" s="17"/>
      <c r="EL990" s="17"/>
      <c r="EM990" s="17"/>
      <c r="EN990" s="17"/>
      <c r="EO990" s="17"/>
      <c r="EP990" s="17"/>
      <c r="EQ990" s="17"/>
      <c r="ER990" s="17"/>
      <c r="ES990" s="17"/>
      <c r="ET990" s="17"/>
      <c r="EU990" s="17"/>
      <c r="EV990" s="17"/>
      <c r="EW990" s="17"/>
      <c r="EX990" s="17"/>
      <c r="EY990" s="17"/>
      <c r="EZ990" s="17"/>
      <c r="FA990" s="17"/>
      <c r="FB990" s="17"/>
      <c r="FC990" s="17"/>
      <c r="FD990" s="17"/>
      <c r="FE990" s="17"/>
      <c r="FF990" s="17"/>
      <c r="FG990" s="17"/>
      <c r="FH990" s="17"/>
      <c r="FI990" s="17"/>
      <c r="FJ990" s="17"/>
      <c r="FK990" s="17"/>
      <c r="FL990" s="17"/>
      <c r="FM990" s="17"/>
      <c r="FN990" s="17"/>
      <c r="FO990" s="17"/>
      <c r="FP990" s="17"/>
      <c r="FQ990" s="17"/>
      <c r="FR990" s="17"/>
      <c r="FS990" s="17"/>
      <c r="FT990" s="17"/>
      <c r="FU990" s="17"/>
      <c r="FV990" s="17"/>
      <c r="FW990" s="17"/>
      <c r="FX990" s="17"/>
      <c r="FY990" s="17"/>
      <c r="FZ990" s="17"/>
      <c r="GA990" s="17"/>
      <c r="GB990" s="17"/>
      <c r="GC990" s="17"/>
      <c r="GD990" s="17"/>
      <c r="GE990" s="17"/>
      <c r="GF990" s="17"/>
      <c r="GG990" s="17"/>
      <c r="GH990" s="17"/>
      <c r="GI990" s="17"/>
    </row>
    <row r="991" spans="1:258" ht="21.95" customHeight="1" x14ac:dyDescent="0.25">
      <c r="A991" s="18" t="s">
        <v>1485</v>
      </c>
      <c r="B991" s="31" t="s">
        <v>814</v>
      </c>
      <c r="C991" s="12">
        <f t="shared" si="522"/>
        <v>3355350.0000000005</v>
      </c>
      <c r="D991" s="20">
        <f t="shared" si="521"/>
        <v>0</v>
      </c>
      <c r="E991" s="20">
        <v>0</v>
      </c>
      <c r="F991" s="20">
        <v>0</v>
      </c>
      <c r="G991" s="20">
        <v>0</v>
      </c>
      <c r="H991" s="20">
        <v>0</v>
      </c>
      <c r="I991" s="20">
        <v>0</v>
      </c>
      <c r="J991" s="20">
        <v>0</v>
      </c>
      <c r="K991" s="21">
        <v>0</v>
      </c>
      <c r="L991" s="20">
        <v>0</v>
      </c>
      <c r="M991" s="8">
        <v>573.70000000000005</v>
      </c>
      <c r="N991" s="20">
        <f t="shared" si="528"/>
        <v>3155350.0000000005</v>
      </c>
      <c r="O991" s="20">
        <v>0</v>
      </c>
      <c r="P991" s="20">
        <v>0</v>
      </c>
      <c r="Q991" s="20">
        <v>0</v>
      </c>
      <c r="R991" s="20">
        <f t="shared" si="519"/>
        <v>0</v>
      </c>
      <c r="S991" s="20">
        <v>0</v>
      </c>
      <c r="T991" s="8">
        <v>0</v>
      </c>
      <c r="U991" s="20">
        <v>200000</v>
      </c>
      <c r="V991" s="1">
        <f t="shared" si="520"/>
        <v>5500</v>
      </c>
    </row>
    <row r="992" spans="1:258" ht="21.95" customHeight="1" x14ac:dyDescent="0.25">
      <c r="A992" s="18" t="s">
        <v>1486</v>
      </c>
      <c r="B992" s="25" t="s">
        <v>740</v>
      </c>
      <c r="C992" s="12">
        <f t="shared" si="522"/>
        <v>7966536</v>
      </c>
      <c r="D992" s="20">
        <f t="shared" si="521"/>
        <v>3600936</v>
      </c>
      <c r="E992" s="20">
        <f>350*1500.39</f>
        <v>525136.5</v>
      </c>
      <c r="F992" s="20">
        <f>800*1500.39</f>
        <v>1200312</v>
      </c>
      <c r="G992" s="20">
        <f>350*1500.39</f>
        <v>525136.5</v>
      </c>
      <c r="H992" s="20">
        <f>500*1500.39</f>
        <v>750195</v>
      </c>
      <c r="I992" s="20">
        <f>400*1500.39</f>
        <v>600156</v>
      </c>
      <c r="J992" s="20">
        <v>0</v>
      </c>
      <c r="K992" s="21">
        <v>0</v>
      </c>
      <c r="L992" s="20">
        <v>0</v>
      </c>
      <c r="M992" s="20">
        <v>576</v>
      </c>
      <c r="N992" s="20">
        <f t="shared" si="528"/>
        <v>3168000</v>
      </c>
      <c r="O992" s="20">
        <v>438</v>
      </c>
      <c r="P992" s="20">
        <v>525600</v>
      </c>
      <c r="Q992" s="20">
        <v>0</v>
      </c>
      <c r="R992" s="20">
        <f t="shared" si="519"/>
        <v>0</v>
      </c>
      <c r="S992" s="20">
        <v>472000</v>
      </c>
      <c r="T992" s="8">
        <v>0</v>
      </c>
      <c r="U992" s="20">
        <v>200000</v>
      </c>
      <c r="V992" s="1">
        <f t="shared" si="520"/>
        <v>5500</v>
      </c>
    </row>
    <row r="993" spans="1:258" ht="21.95" customHeight="1" x14ac:dyDescent="0.25">
      <c r="A993" s="18" t="s">
        <v>1487</v>
      </c>
      <c r="B993" s="25" t="s">
        <v>815</v>
      </c>
      <c r="C993" s="12">
        <f t="shared" si="522"/>
        <v>6131200.0000000009</v>
      </c>
      <c r="D993" s="20">
        <f t="shared" si="521"/>
        <v>0</v>
      </c>
      <c r="E993" s="20">
        <v>0</v>
      </c>
      <c r="F993" s="20">
        <v>0</v>
      </c>
      <c r="G993" s="20">
        <v>0</v>
      </c>
      <c r="H993" s="20">
        <v>0</v>
      </c>
      <c r="I993" s="20">
        <v>0</v>
      </c>
      <c r="J993" s="20">
        <v>0</v>
      </c>
      <c r="K993" s="9">
        <v>0</v>
      </c>
      <c r="L993" s="8">
        <v>0</v>
      </c>
      <c r="M993" s="8">
        <v>1078.4000000000001</v>
      </c>
      <c r="N993" s="20">
        <f t="shared" si="528"/>
        <v>5931200.0000000009</v>
      </c>
      <c r="O993" s="20">
        <v>0</v>
      </c>
      <c r="P993" s="20">
        <v>0</v>
      </c>
      <c r="Q993" s="20">
        <v>0</v>
      </c>
      <c r="R993" s="20">
        <f t="shared" si="519"/>
        <v>0</v>
      </c>
      <c r="S993" s="20">
        <v>0</v>
      </c>
      <c r="T993" s="8">
        <v>0</v>
      </c>
      <c r="U993" s="20">
        <v>200000</v>
      </c>
      <c r="V993" s="1">
        <f t="shared" si="520"/>
        <v>5500</v>
      </c>
    </row>
    <row r="994" spans="1:258" s="17" customFormat="1" ht="21.95" customHeight="1" x14ac:dyDescent="0.25">
      <c r="A994" s="18" t="s">
        <v>1488</v>
      </c>
      <c r="B994" s="25" t="s">
        <v>816</v>
      </c>
      <c r="C994" s="12">
        <f t="shared" si="522"/>
        <v>6173000</v>
      </c>
      <c r="D994" s="20">
        <f t="shared" si="521"/>
        <v>0</v>
      </c>
      <c r="E994" s="20">
        <v>0</v>
      </c>
      <c r="F994" s="20">
        <v>0</v>
      </c>
      <c r="G994" s="20">
        <v>0</v>
      </c>
      <c r="H994" s="20">
        <v>0</v>
      </c>
      <c r="I994" s="20">
        <v>0</v>
      </c>
      <c r="J994" s="20">
        <v>0</v>
      </c>
      <c r="K994" s="21">
        <v>0</v>
      </c>
      <c r="L994" s="20">
        <v>0</v>
      </c>
      <c r="M994" s="8">
        <v>1086</v>
      </c>
      <c r="N994" s="20">
        <f t="shared" si="528"/>
        <v>5973000</v>
      </c>
      <c r="O994" s="20">
        <v>0</v>
      </c>
      <c r="P994" s="20">
        <v>0</v>
      </c>
      <c r="Q994" s="20">
        <v>0</v>
      </c>
      <c r="R994" s="20">
        <f t="shared" si="519"/>
        <v>0</v>
      </c>
      <c r="S994" s="20">
        <v>0</v>
      </c>
      <c r="T994" s="8">
        <v>0</v>
      </c>
      <c r="U994" s="20">
        <v>200000</v>
      </c>
      <c r="V994" s="1">
        <f t="shared" si="520"/>
        <v>5500</v>
      </c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  <c r="FE994" s="2"/>
      <c r="FF994" s="2"/>
      <c r="FG994" s="2"/>
      <c r="FH994" s="2"/>
      <c r="FI994" s="2"/>
      <c r="FJ994" s="2"/>
      <c r="FK994" s="2"/>
      <c r="FL994" s="2"/>
      <c r="FM994" s="2"/>
      <c r="FN994" s="2"/>
      <c r="FO994" s="2"/>
      <c r="FP994" s="2"/>
      <c r="FQ994" s="2"/>
      <c r="FR994" s="2"/>
      <c r="FS994" s="2"/>
      <c r="FT994" s="2"/>
      <c r="FU994" s="2"/>
      <c r="FV994" s="2"/>
      <c r="FW994" s="2"/>
      <c r="FX994" s="2"/>
      <c r="FY994" s="2"/>
      <c r="FZ994" s="2"/>
      <c r="GA994" s="2"/>
      <c r="GB994" s="2"/>
      <c r="GC994" s="2"/>
      <c r="GD994" s="2"/>
      <c r="GE994" s="2"/>
      <c r="GF994" s="2"/>
      <c r="GG994" s="2"/>
      <c r="GH994" s="2"/>
      <c r="GI994" s="2"/>
      <c r="GJ994" s="2"/>
      <c r="GK994" s="2"/>
      <c r="GL994" s="2"/>
      <c r="GM994" s="2"/>
      <c r="GN994" s="2"/>
      <c r="GO994" s="2"/>
      <c r="GP994" s="2"/>
      <c r="GQ994" s="2"/>
      <c r="GR994" s="2"/>
      <c r="GS994" s="2"/>
      <c r="GT994" s="2"/>
      <c r="GU994" s="2"/>
      <c r="GV994" s="2"/>
      <c r="GW994" s="2"/>
      <c r="GX994" s="2"/>
      <c r="GY994" s="2"/>
      <c r="GZ994" s="2"/>
      <c r="HA994" s="2"/>
      <c r="HB994" s="2"/>
      <c r="HC994" s="2"/>
      <c r="HD994" s="2"/>
      <c r="HE994" s="2"/>
      <c r="HF994" s="2"/>
      <c r="HG994" s="2"/>
      <c r="HH994" s="2"/>
      <c r="HI994" s="2"/>
      <c r="HJ994" s="2"/>
      <c r="HK994" s="2"/>
      <c r="HL994" s="2"/>
      <c r="HM994" s="2"/>
      <c r="HN994" s="2"/>
      <c r="HO994" s="2"/>
      <c r="HP994" s="2"/>
      <c r="HQ994" s="2"/>
      <c r="HR994" s="2"/>
      <c r="HS994" s="2"/>
      <c r="HT994" s="2"/>
      <c r="HU994" s="2"/>
      <c r="HV994" s="2"/>
      <c r="HW994" s="2"/>
      <c r="HX994" s="2"/>
      <c r="HY994" s="2"/>
      <c r="HZ994" s="2"/>
      <c r="IA994" s="2"/>
      <c r="IB994" s="2"/>
      <c r="IC994" s="2"/>
      <c r="ID994" s="2"/>
      <c r="IE994" s="2"/>
      <c r="IF994" s="2"/>
      <c r="IG994" s="2"/>
      <c r="IH994" s="2"/>
      <c r="II994" s="2"/>
      <c r="IJ994" s="2"/>
      <c r="IK994" s="2"/>
      <c r="IL994" s="2"/>
      <c r="IM994" s="2"/>
      <c r="IN994" s="2"/>
      <c r="IO994" s="2"/>
      <c r="IP994" s="2"/>
      <c r="IQ994" s="2"/>
      <c r="IR994" s="2"/>
      <c r="IS994" s="2"/>
      <c r="IT994" s="2"/>
      <c r="IU994" s="2"/>
      <c r="IV994" s="2"/>
      <c r="IW994" s="2"/>
      <c r="IX994" s="2"/>
    </row>
    <row r="995" spans="1:258" ht="21.95" customHeight="1" x14ac:dyDescent="0.25">
      <c r="A995" s="18" t="s">
        <v>1489</v>
      </c>
      <c r="B995" s="25" t="s">
        <v>741</v>
      </c>
      <c r="C995" s="12">
        <f t="shared" si="522"/>
        <v>3098500</v>
      </c>
      <c r="D995" s="20">
        <f t="shared" si="521"/>
        <v>0</v>
      </c>
      <c r="E995" s="20">
        <v>0</v>
      </c>
      <c r="F995" s="20">
        <v>0</v>
      </c>
      <c r="G995" s="20">
        <v>0</v>
      </c>
      <c r="H995" s="20">
        <v>0</v>
      </c>
      <c r="I995" s="20">
        <v>0</v>
      </c>
      <c r="J995" s="20">
        <v>0</v>
      </c>
      <c r="K995" s="21">
        <v>0</v>
      </c>
      <c r="L995" s="20">
        <v>0</v>
      </c>
      <c r="M995" s="8">
        <v>527</v>
      </c>
      <c r="N995" s="20">
        <f t="shared" si="528"/>
        <v>2898500</v>
      </c>
      <c r="O995" s="20">
        <v>0</v>
      </c>
      <c r="P995" s="20">
        <v>0</v>
      </c>
      <c r="Q995" s="20">
        <v>0</v>
      </c>
      <c r="R995" s="20">
        <f t="shared" si="519"/>
        <v>0</v>
      </c>
      <c r="S995" s="20">
        <v>0</v>
      </c>
      <c r="T995" s="8">
        <v>0</v>
      </c>
      <c r="U995" s="20">
        <v>200000</v>
      </c>
      <c r="V995" s="1">
        <f t="shared" si="520"/>
        <v>5500</v>
      </c>
    </row>
    <row r="996" spans="1:258" ht="21.95" customHeight="1" x14ac:dyDescent="0.25">
      <c r="A996" s="18" t="s">
        <v>1490</v>
      </c>
      <c r="B996" s="25" t="s">
        <v>833</v>
      </c>
      <c r="C996" s="12">
        <f t="shared" si="522"/>
        <v>4844000</v>
      </c>
      <c r="D996" s="20">
        <f t="shared" si="521"/>
        <v>0</v>
      </c>
      <c r="E996" s="20">
        <v>0</v>
      </c>
      <c r="F996" s="20">
        <v>0</v>
      </c>
      <c r="G996" s="20">
        <v>0</v>
      </c>
      <c r="H996" s="20">
        <v>0</v>
      </c>
      <c r="I996" s="20">
        <v>0</v>
      </c>
      <c r="J996" s="20">
        <v>0</v>
      </c>
      <c r="K996" s="21">
        <v>0</v>
      </c>
      <c r="L996" s="20">
        <v>0</v>
      </c>
      <c r="M996" s="8">
        <v>0</v>
      </c>
      <c r="N996" s="8">
        <v>0</v>
      </c>
      <c r="O996" s="20">
        <v>0</v>
      </c>
      <c r="P996" s="20">
        <v>0</v>
      </c>
      <c r="Q996" s="20">
        <v>1548</v>
      </c>
      <c r="R996" s="20">
        <f t="shared" si="519"/>
        <v>4644000</v>
      </c>
      <c r="S996" s="20">
        <v>0</v>
      </c>
      <c r="T996" s="8">
        <v>0</v>
      </c>
      <c r="U996" s="20">
        <v>200000</v>
      </c>
      <c r="V996" s="1" t="e">
        <f t="shared" si="520"/>
        <v>#DIV/0!</v>
      </c>
    </row>
    <row r="997" spans="1:258" ht="21.95" customHeight="1" x14ac:dyDescent="0.25">
      <c r="A997" s="18" t="s">
        <v>1491</v>
      </c>
      <c r="B997" s="25" t="s">
        <v>742</v>
      </c>
      <c r="C997" s="12">
        <f t="shared" si="522"/>
        <v>89757760</v>
      </c>
      <c r="D997" s="20">
        <f t="shared" si="521"/>
        <v>38087760</v>
      </c>
      <c r="E997" s="20">
        <f>350*15869.9</f>
        <v>5554465</v>
      </c>
      <c r="F997" s="20">
        <f>800*15869.9</f>
        <v>12695920</v>
      </c>
      <c r="G997" s="20">
        <f>350*15869.9</f>
        <v>5554465</v>
      </c>
      <c r="H997" s="20">
        <f>500*15869.9</f>
        <v>7934950</v>
      </c>
      <c r="I997" s="20">
        <f>400*15869.9</f>
        <v>6347960</v>
      </c>
      <c r="J997" s="20">
        <v>0</v>
      </c>
      <c r="K997" s="21">
        <v>0</v>
      </c>
      <c r="L997" s="20">
        <v>0</v>
      </c>
      <c r="M997" s="8">
        <v>5060</v>
      </c>
      <c r="N997" s="20">
        <f t="shared" ref="N997:N998" si="529">M997*5500</f>
        <v>27830000</v>
      </c>
      <c r="O997" s="20">
        <v>0</v>
      </c>
      <c r="P997" s="20">
        <v>0</v>
      </c>
      <c r="Q997" s="20">
        <v>7880</v>
      </c>
      <c r="R997" s="20">
        <f t="shared" si="519"/>
        <v>23640000</v>
      </c>
      <c r="S997" s="20">
        <v>0</v>
      </c>
      <c r="T997" s="8">
        <v>0</v>
      </c>
      <c r="U997" s="20">
        <v>200000</v>
      </c>
      <c r="V997" s="1">
        <f t="shared" si="520"/>
        <v>5500</v>
      </c>
    </row>
    <row r="998" spans="1:258" ht="21.95" customHeight="1" x14ac:dyDescent="0.25">
      <c r="A998" s="18" t="s">
        <v>1492</v>
      </c>
      <c r="B998" s="25" t="s">
        <v>817</v>
      </c>
      <c r="C998" s="12">
        <f t="shared" si="522"/>
        <v>1367100</v>
      </c>
      <c r="D998" s="20">
        <f t="shared" si="521"/>
        <v>0</v>
      </c>
      <c r="E998" s="20">
        <v>0</v>
      </c>
      <c r="F998" s="20">
        <v>0</v>
      </c>
      <c r="G998" s="20">
        <v>0</v>
      </c>
      <c r="H998" s="20">
        <v>0</v>
      </c>
      <c r="I998" s="20">
        <v>0</v>
      </c>
      <c r="J998" s="20">
        <v>0</v>
      </c>
      <c r="K998" s="21">
        <v>0</v>
      </c>
      <c r="L998" s="20">
        <v>0</v>
      </c>
      <c r="M998" s="8">
        <v>212.2</v>
      </c>
      <c r="N998" s="20">
        <f t="shared" si="529"/>
        <v>1167100</v>
      </c>
      <c r="O998" s="20">
        <v>0</v>
      </c>
      <c r="P998" s="20">
        <v>0</v>
      </c>
      <c r="Q998" s="20">
        <v>0</v>
      </c>
      <c r="R998" s="20">
        <f t="shared" si="519"/>
        <v>0</v>
      </c>
      <c r="S998" s="20">
        <v>0</v>
      </c>
      <c r="T998" s="8">
        <v>0</v>
      </c>
      <c r="U998" s="20">
        <v>200000</v>
      </c>
      <c r="V998" s="1">
        <f t="shared" si="520"/>
        <v>5500</v>
      </c>
    </row>
    <row r="999" spans="1:258" ht="21.95" customHeight="1" x14ac:dyDescent="0.25">
      <c r="A999" s="18" t="s">
        <v>1493</v>
      </c>
      <c r="B999" s="31" t="s">
        <v>743</v>
      </c>
      <c r="C999" s="12">
        <f t="shared" si="522"/>
        <v>1954500</v>
      </c>
      <c r="D999" s="20">
        <f t="shared" si="521"/>
        <v>0</v>
      </c>
      <c r="E999" s="20">
        <v>0</v>
      </c>
      <c r="F999" s="20">
        <v>0</v>
      </c>
      <c r="G999" s="20">
        <v>0</v>
      </c>
      <c r="H999" s="20">
        <v>0</v>
      </c>
      <c r="I999" s="20">
        <v>0</v>
      </c>
      <c r="J999" s="20">
        <v>0</v>
      </c>
      <c r="K999" s="21">
        <v>0</v>
      </c>
      <c r="L999" s="20">
        <v>0</v>
      </c>
      <c r="M999" s="8">
        <v>319</v>
      </c>
      <c r="N999" s="20">
        <f t="shared" ref="N999" si="530">M999*5500</f>
        <v>1754500</v>
      </c>
      <c r="O999" s="20">
        <v>0</v>
      </c>
      <c r="P999" s="20">
        <v>0</v>
      </c>
      <c r="Q999" s="20">
        <v>0</v>
      </c>
      <c r="R999" s="20">
        <f t="shared" si="519"/>
        <v>0</v>
      </c>
      <c r="S999" s="20">
        <v>0</v>
      </c>
      <c r="T999" s="8">
        <v>0</v>
      </c>
      <c r="U999" s="20">
        <v>200000</v>
      </c>
      <c r="V999" s="1">
        <f t="shared" si="520"/>
        <v>5500</v>
      </c>
    </row>
    <row r="1000" spans="1:258" s="17" customFormat="1" ht="21.95" customHeight="1" x14ac:dyDescent="0.25">
      <c r="A1000" s="18" t="s">
        <v>1494</v>
      </c>
      <c r="B1000" s="25" t="s">
        <v>818</v>
      </c>
      <c r="C1000" s="12">
        <f t="shared" si="522"/>
        <v>3738560</v>
      </c>
      <c r="D1000" s="20">
        <f t="shared" si="521"/>
        <v>0</v>
      </c>
      <c r="E1000" s="20">
        <v>0</v>
      </c>
      <c r="F1000" s="20">
        <v>0</v>
      </c>
      <c r="G1000" s="20">
        <v>0</v>
      </c>
      <c r="H1000" s="20">
        <v>0</v>
      </c>
      <c r="I1000" s="20">
        <v>0</v>
      </c>
      <c r="J1000" s="20">
        <v>0</v>
      </c>
      <c r="K1000" s="21">
        <v>0</v>
      </c>
      <c r="L1000" s="20">
        <v>0</v>
      </c>
      <c r="M1000" s="8">
        <v>960</v>
      </c>
      <c r="N1000" s="20">
        <f>M1000*3686</f>
        <v>3538560</v>
      </c>
      <c r="O1000" s="20">
        <v>0</v>
      </c>
      <c r="P1000" s="20">
        <v>0</v>
      </c>
      <c r="Q1000" s="20">
        <v>0</v>
      </c>
      <c r="R1000" s="20">
        <f t="shared" si="519"/>
        <v>0</v>
      </c>
      <c r="S1000" s="20">
        <v>0</v>
      </c>
      <c r="T1000" s="8">
        <v>0</v>
      </c>
      <c r="U1000" s="20">
        <v>200000</v>
      </c>
      <c r="V1000" s="1">
        <f t="shared" si="520"/>
        <v>3686</v>
      </c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  <c r="FE1000" s="2"/>
      <c r="FF1000" s="2"/>
      <c r="FG1000" s="2"/>
      <c r="FH1000" s="2"/>
      <c r="FI1000" s="2"/>
      <c r="FJ1000" s="2"/>
      <c r="FK1000" s="2"/>
      <c r="FL1000" s="2"/>
      <c r="FM1000" s="2"/>
      <c r="FN1000" s="2"/>
      <c r="FO1000" s="2"/>
      <c r="FP1000" s="2"/>
      <c r="FQ1000" s="2"/>
      <c r="FR1000" s="2"/>
      <c r="FS1000" s="2"/>
      <c r="FT1000" s="2"/>
      <c r="FU1000" s="2"/>
      <c r="FV1000" s="2"/>
      <c r="FW1000" s="2"/>
      <c r="FX1000" s="2"/>
      <c r="FY1000" s="2"/>
      <c r="FZ1000" s="2"/>
      <c r="GA1000" s="2"/>
      <c r="GB1000" s="2"/>
      <c r="GC1000" s="2"/>
      <c r="GD1000" s="2"/>
      <c r="GE1000" s="2"/>
      <c r="GF1000" s="2"/>
      <c r="GG1000" s="2"/>
      <c r="GH1000" s="2"/>
      <c r="GI1000" s="2"/>
      <c r="GJ1000" s="2"/>
      <c r="GK1000" s="2"/>
      <c r="GL1000" s="2"/>
      <c r="GM1000" s="2"/>
      <c r="GN1000" s="2"/>
      <c r="GO1000" s="2"/>
      <c r="GP1000" s="2"/>
      <c r="GQ1000" s="2"/>
      <c r="GR1000" s="2"/>
      <c r="GS1000" s="2"/>
      <c r="GT1000" s="2"/>
      <c r="GU1000" s="2"/>
      <c r="GV1000" s="2"/>
      <c r="GW1000" s="2"/>
      <c r="GX1000" s="2"/>
      <c r="GY1000" s="2"/>
      <c r="GZ1000" s="2"/>
      <c r="HA1000" s="2"/>
      <c r="HB1000" s="2"/>
      <c r="HC1000" s="2"/>
      <c r="HD1000" s="2"/>
      <c r="HE1000" s="2"/>
      <c r="HF1000" s="2"/>
      <c r="HG1000" s="2"/>
      <c r="HH1000" s="2"/>
      <c r="HI1000" s="2"/>
      <c r="HJ1000" s="2"/>
      <c r="HK1000" s="2"/>
      <c r="HL1000" s="2"/>
      <c r="HM1000" s="2"/>
      <c r="HN1000" s="2"/>
      <c r="HO1000" s="2"/>
      <c r="HP1000" s="2"/>
      <c r="HQ1000" s="2"/>
      <c r="HR1000" s="2"/>
      <c r="HS1000" s="2"/>
      <c r="HT1000" s="2"/>
      <c r="HU1000" s="2"/>
      <c r="HV1000" s="2"/>
      <c r="HW1000" s="2"/>
      <c r="HX1000" s="2"/>
      <c r="HY1000" s="2"/>
      <c r="HZ1000" s="2"/>
      <c r="IA1000" s="2"/>
      <c r="IB1000" s="2"/>
      <c r="IC1000" s="2"/>
      <c r="ID1000" s="2"/>
      <c r="IE1000" s="2"/>
      <c r="IF1000" s="2"/>
      <c r="IG1000" s="2"/>
      <c r="IH1000" s="2"/>
      <c r="II1000" s="2"/>
      <c r="IJ1000" s="2"/>
      <c r="IK1000" s="2"/>
      <c r="IL1000" s="2"/>
      <c r="IM1000" s="2"/>
      <c r="IN1000" s="2"/>
      <c r="IO1000" s="2"/>
      <c r="IP1000" s="2"/>
      <c r="IQ1000" s="2"/>
      <c r="IR1000" s="2"/>
      <c r="IS1000" s="2"/>
      <c r="IT1000" s="2"/>
      <c r="IU1000" s="2"/>
      <c r="IV1000" s="2"/>
      <c r="IW1000" s="2"/>
      <c r="IX1000" s="2"/>
    </row>
    <row r="1001" spans="1:258" ht="21.95" customHeight="1" x14ac:dyDescent="0.25">
      <c r="A1001" s="18" t="s">
        <v>1495</v>
      </c>
      <c r="B1001" s="25" t="s">
        <v>744</v>
      </c>
      <c r="C1001" s="12">
        <f t="shared" si="522"/>
        <v>2376790</v>
      </c>
      <c r="D1001" s="20">
        <f t="shared" si="521"/>
        <v>0</v>
      </c>
      <c r="E1001" s="20">
        <v>0</v>
      </c>
      <c r="F1001" s="20">
        <v>0</v>
      </c>
      <c r="G1001" s="20">
        <v>0</v>
      </c>
      <c r="H1001" s="20">
        <v>0</v>
      </c>
      <c r="I1001" s="20">
        <v>0</v>
      </c>
      <c r="J1001" s="20">
        <v>0</v>
      </c>
      <c r="K1001" s="21">
        <v>0</v>
      </c>
      <c r="L1001" s="20">
        <v>0</v>
      </c>
      <c r="M1001" s="20">
        <v>395.78</v>
      </c>
      <c r="N1001" s="20">
        <f t="shared" ref="N1001:N1003" si="531">M1001*5500</f>
        <v>2176790</v>
      </c>
      <c r="O1001" s="20">
        <v>0</v>
      </c>
      <c r="P1001" s="20">
        <v>0</v>
      </c>
      <c r="Q1001" s="20">
        <v>0</v>
      </c>
      <c r="R1001" s="20">
        <f t="shared" si="519"/>
        <v>0</v>
      </c>
      <c r="S1001" s="20">
        <v>0</v>
      </c>
      <c r="T1001" s="8">
        <v>0</v>
      </c>
      <c r="U1001" s="20">
        <v>200000</v>
      </c>
      <c r="V1001" s="1">
        <f t="shared" si="520"/>
        <v>5500</v>
      </c>
    </row>
    <row r="1002" spans="1:258" ht="21.95" customHeight="1" x14ac:dyDescent="0.25">
      <c r="A1002" s="18" t="s">
        <v>1496</v>
      </c>
      <c r="B1002" s="25" t="s">
        <v>819</v>
      </c>
      <c r="C1002" s="12">
        <f t="shared" si="522"/>
        <v>2295500</v>
      </c>
      <c r="D1002" s="20">
        <f t="shared" si="521"/>
        <v>0</v>
      </c>
      <c r="E1002" s="20">
        <v>0</v>
      </c>
      <c r="F1002" s="20">
        <v>0</v>
      </c>
      <c r="G1002" s="20">
        <v>0</v>
      </c>
      <c r="H1002" s="20">
        <v>0</v>
      </c>
      <c r="I1002" s="20">
        <v>0</v>
      </c>
      <c r="J1002" s="20">
        <v>0</v>
      </c>
      <c r="K1002" s="21">
        <v>0</v>
      </c>
      <c r="L1002" s="20">
        <v>0</v>
      </c>
      <c r="M1002" s="8">
        <v>381</v>
      </c>
      <c r="N1002" s="20">
        <f t="shared" si="531"/>
        <v>2095500</v>
      </c>
      <c r="O1002" s="20">
        <v>0</v>
      </c>
      <c r="P1002" s="20">
        <v>0</v>
      </c>
      <c r="Q1002" s="20">
        <v>0</v>
      </c>
      <c r="R1002" s="20">
        <f t="shared" si="519"/>
        <v>0</v>
      </c>
      <c r="S1002" s="20">
        <v>0</v>
      </c>
      <c r="T1002" s="8">
        <v>0</v>
      </c>
      <c r="U1002" s="20">
        <v>200000</v>
      </c>
      <c r="V1002" s="1">
        <f t="shared" si="520"/>
        <v>5500</v>
      </c>
    </row>
    <row r="1003" spans="1:258" s="38" customFormat="1" ht="21.95" customHeight="1" x14ac:dyDescent="0.25">
      <c r="A1003" s="18" t="s">
        <v>1497</v>
      </c>
      <c r="B1003" s="25" t="s">
        <v>745</v>
      </c>
      <c r="C1003" s="12">
        <f t="shared" si="522"/>
        <v>1619000</v>
      </c>
      <c r="D1003" s="20">
        <f t="shared" si="521"/>
        <v>0</v>
      </c>
      <c r="E1003" s="20">
        <v>0</v>
      </c>
      <c r="F1003" s="20">
        <v>0</v>
      </c>
      <c r="G1003" s="20">
        <v>0</v>
      </c>
      <c r="H1003" s="20">
        <v>0</v>
      </c>
      <c r="I1003" s="20">
        <v>0</v>
      </c>
      <c r="J1003" s="20">
        <v>0</v>
      </c>
      <c r="K1003" s="21">
        <v>0</v>
      </c>
      <c r="L1003" s="20">
        <v>0</v>
      </c>
      <c r="M1003" s="8">
        <v>258</v>
      </c>
      <c r="N1003" s="20">
        <f t="shared" si="531"/>
        <v>1419000</v>
      </c>
      <c r="O1003" s="20">
        <v>0</v>
      </c>
      <c r="P1003" s="20">
        <v>0</v>
      </c>
      <c r="Q1003" s="20">
        <v>0</v>
      </c>
      <c r="R1003" s="20">
        <f t="shared" si="519"/>
        <v>0</v>
      </c>
      <c r="S1003" s="20">
        <v>0</v>
      </c>
      <c r="T1003" s="8">
        <v>0</v>
      </c>
      <c r="U1003" s="20">
        <v>200000</v>
      </c>
      <c r="V1003" s="1">
        <f t="shared" si="520"/>
        <v>5500</v>
      </c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  <c r="FE1003" s="2"/>
      <c r="FF1003" s="2"/>
      <c r="FG1003" s="2"/>
      <c r="FH1003" s="2"/>
      <c r="FI1003" s="2"/>
      <c r="FJ1003" s="2"/>
      <c r="FK1003" s="2"/>
      <c r="FL1003" s="2"/>
      <c r="FM1003" s="2"/>
      <c r="FN1003" s="2"/>
      <c r="FO1003" s="2"/>
      <c r="FP1003" s="2"/>
      <c r="FQ1003" s="2"/>
      <c r="FR1003" s="2"/>
      <c r="FS1003" s="2"/>
      <c r="FT1003" s="2"/>
      <c r="FU1003" s="2"/>
      <c r="FV1003" s="2"/>
      <c r="FW1003" s="2"/>
      <c r="FX1003" s="2"/>
      <c r="FY1003" s="2"/>
      <c r="FZ1003" s="2"/>
      <c r="GA1003" s="2"/>
      <c r="GB1003" s="2"/>
      <c r="GC1003" s="2"/>
      <c r="GD1003" s="2"/>
      <c r="GE1003" s="2"/>
      <c r="GF1003" s="2"/>
      <c r="GG1003" s="2"/>
      <c r="GH1003" s="2"/>
      <c r="GI1003" s="2"/>
      <c r="GJ1003" s="2"/>
      <c r="GK1003" s="2"/>
      <c r="GL1003" s="2"/>
      <c r="GM1003" s="2"/>
      <c r="GN1003" s="2"/>
      <c r="GO1003" s="2"/>
      <c r="GP1003" s="2"/>
      <c r="GQ1003" s="2"/>
      <c r="GR1003" s="2"/>
      <c r="GS1003" s="2"/>
      <c r="GT1003" s="2"/>
      <c r="GU1003" s="2"/>
      <c r="GV1003" s="2"/>
      <c r="GW1003" s="2"/>
      <c r="GX1003" s="2"/>
      <c r="GY1003" s="2"/>
      <c r="GZ1003" s="2"/>
      <c r="HA1003" s="2"/>
      <c r="HB1003" s="2"/>
      <c r="HC1003" s="2"/>
      <c r="HD1003" s="2"/>
      <c r="HE1003" s="2"/>
      <c r="HF1003" s="2"/>
      <c r="HG1003" s="2"/>
      <c r="HH1003" s="2"/>
      <c r="HI1003" s="2"/>
      <c r="HJ1003" s="2"/>
      <c r="HK1003" s="2"/>
      <c r="HL1003" s="2"/>
      <c r="HM1003" s="2"/>
      <c r="HN1003" s="2"/>
      <c r="HO1003" s="2"/>
      <c r="HP1003" s="2"/>
      <c r="HQ1003" s="2"/>
      <c r="HR1003" s="2"/>
      <c r="HS1003" s="2"/>
      <c r="HT1003" s="2"/>
      <c r="HU1003" s="2"/>
      <c r="HV1003" s="2"/>
      <c r="HW1003" s="2"/>
      <c r="HX1003" s="2"/>
      <c r="HY1003" s="2"/>
      <c r="HZ1003" s="2"/>
      <c r="IA1003" s="2"/>
      <c r="IB1003" s="2"/>
      <c r="IC1003" s="2"/>
      <c r="ID1003" s="2"/>
      <c r="IE1003" s="2"/>
      <c r="IF1003" s="2"/>
      <c r="IG1003" s="2"/>
      <c r="IH1003" s="2"/>
      <c r="II1003" s="2"/>
      <c r="IJ1003" s="2"/>
      <c r="IK1003" s="2"/>
      <c r="IL1003" s="2"/>
      <c r="IM1003" s="2"/>
      <c r="IN1003" s="2"/>
      <c r="IO1003" s="2"/>
      <c r="IP1003" s="2"/>
      <c r="IQ1003" s="2"/>
      <c r="IR1003" s="2"/>
      <c r="IS1003" s="2"/>
      <c r="IT1003" s="2"/>
      <c r="IU1003" s="2"/>
      <c r="IV1003" s="2"/>
      <c r="IW1003" s="2"/>
      <c r="IX1003" s="2"/>
    </row>
    <row r="1004" spans="1:258" ht="21.95" customHeight="1" x14ac:dyDescent="0.25">
      <c r="A1004" s="18" t="s">
        <v>1498</v>
      </c>
      <c r="B1004" s="25" t="s">
        <v>746</v>
      </c>
      <c r="C1004" s="12">
        <f t="shared" si="522"/>
        <v>3060070</v>
      </c>
      <c r="D1004" s="20">
        <f t="shared" si="521"/>
        <v>677520</v>
      </c>
      <c r="E1004" s="20">
        <f>350*282.3</f>
        <v>98805</v>
      </c>
      <c r="F1004" s="20">
        <f>800*282.3</f>
        <v>225840</v>
      </c>
      <c r="G1004" s="20">
        <f>350*282.3</f>
        <v>98805</v>
      </c>
      <c r="H1004" s="20">
        <f>500*282.3</f>
        <v>141150</v>
      </c>
      <c r="I1004" s="20">
        <f>400*282.3</f>
        <v>112920</v>
      </c>
      <c r="J1004" s="20">
        <v>0</v>
      </c>
      <c r="K1004" s="21">
        <v>0</v>
      </c>
      <c r="L1004" s="20">
        <v>0</v>
      </c>
      <c r="M1004" s="8">
        <v>202.1</v>
      </c>
      <c r="N1004" s="20">
        <f t="shared" ref="N1004" si="532">M1004*5500</f>
        <v>1111550</v>
      </c>
      <c r="O1004" s="20">
        <v>0</v>
      </c>
      <c r="P1004" s="20">
        <v>0</v>
      </c>
      <c r="Q1004" s="20">
        <v>357</v>
      </c>
      <c r="R1004" s="20">
        <f t="shared" si="519"/>
        <v>1071000</v>
      </c>
      <c r="S1004" s="20">
        <v>0</v>
      </c>
      <c r="T1004" s="8">
        <v>0</v>
      </c>
      <c r="U1004" s="20">
        <v>200000</v>
      </c>
      <c r="V1004" s="1">
        <f t="shared" si="520"/>
        <v>5500</v>
      </c>
    </row>
    <row r="1005" spans="1:258" ht="21.95" customHeight="1" x14ac:dyDescent="0.25">
      <c r="A1005" s="18" t="s">
        <v>1499</v>
      </c>
      <c r="B1005" s="31" t="s">
        <v>820</v>
      </c>
      <c r="C1005" s="12">
        <f t="shared" si="522"/>
        <v>5370000</v>
      </c>
      <c r="D1005" s="20">
        <f t="shared" si="521"/>
        <v>0</v>
      </c>
      <c r="E1005" s="20">
        <v>0</v>
      </c>
      <c r="F1005" s="20">
        <v>0</v>
      </c>
      <c r="G1005" s="20">
        <v>0</v>
      </c>
      <c r="H1005" s="20">
        <v>0</v>
      </c>
      <c r="I1005" s="20">
        <v>0</v>
      </c>
      <c r="J1005" s="20">
        <v>0</v>
      </c>
      <c r="K1005" s="21">
        <v>0</v>
      </c>
      <c r="L1005" s="20">
        <v>0</v>
      </c>
      <c r="M1005" s="8">
        <v>940</v>
      </c>
      <c r="N1005" s="20">
        <f t="shared" ref="N1005:N1012" si="533">M1005*5500</f>
        <v>5170000</v>
      </c>
      <c r="O1005" s="20">
        <v>0</v>
      </c>
      <c r="P1005" s="20">
        <v>0</v>
      </c>
      <c r="Q1005" s="20">
        <v>0</v>
      </c>
      <c r="R1005" s="20">
        <f t="shared" si="519"/>
        <v>0</v>
      </c>
      <c r="S1005" s="20">
        <v>0</v>
      </c>
      <c r="T1005" s="8">
        <v>0</v>
      </c>
      <c r="U1005" s="20">
        <v>200000</v>
      </c>
      <c r="V1005" s="1">
        <f t="shared" si="520"/>
        <v>5500</v>
      </c>
    </row>
    <row r="1006" spans="1:258" ht="21.95" customHeight="1" x14ac:dyDescent="0.25">
      <c r="A1006" s="18" t="s">
        <v>1500</v>
      </c>
      <c r="B1006" s="31" t="s">
        <v>821</v>
      </c>
      <c r="C1006" s="12">
        <f t="shared" si="522"/>
        <v>5331500</v>
      </c>
      <c r="D1006" s="20">
        <f t="shared" si="521"/>
        <v>0</v>
      </c>
      <c r="E1006" s="20">
        <v>0</v>
      </c>
      <c r="F1006" s="20">
        <v>0</v>
      </c>
      <c r="G1006" s="20">
        <v>0</v>
      </c>
      <c r="H1006" s="20">
        <v>0</v>
      </c>
      <c r="I1006" s="20">
        <v>0</v>
      </c>
      <c r="J1006" s="20">
        <v>0</v>
      </c>
      <c r="K1006" s="21">
        <v>0</v>
      </c>
      <c r="L1006" s="20">
        <v>0</v>
      </c>
      <c r="M1006" s="8">
        <v>933</v>
      </c>
      <c r="N1006" s="20">
        <f t="shared" si="533"/>
        <v>5131500</v>
      </c>
      <c r="O1006" s="20">
        <v>0</v>
      </c>
      <c r="P1006" s="20">
        <v>0</v>
      </c>
      <c r="Q1006" s="20">
        <v>0</v>
      </c>
      <c r="R1006" s="20">
        <f t="shared" si="519"/>
        <v>0</v>
      </c>
      <c r="S1006" s="20">
        <v>0</v>
      </c>
      <c r="T1006" s="8">
        <v>0</v>
      </c>
      <c r="U1006" s="20">
        <v>200000</v>
      </c>
      <c r="V1006" s="1">
        <f t="shared" si="520"/>
        <v>5500</v>
      </c>
    </row>
    <row r="1007" spans="1:258" ht="21.95" customHeight="1" x14ac:dyDescent="0.25">
      <c r="A1007" s="18" t="s">
        <v>1501</v>
      </c>
      <c r="B1007" s="25" t="s">
        <v>822</v>
      </c>
      <c r="C1007" s="12">
        <f t="shared" si="522"/>
        <v>3665000</v>
      </c>
      <c r="D1007" s="20">
        <f t="shared" si="521"/>
        <v>0</v>
      </c>
      <c r="E1007" s="20">
        <v>0</v>
      </c>
      <c r="F1007" s="20">
        <v>0</v>
      </c>
      <c r="G1007" s="20">
        <v>0</v>
      </c>
      <c r="H1007" s="20">
        <v>0</v>
      </c>
      <c r="I1007" s="20">
        <v>0</v>
      </c>
      <c r="J1007" s="20">
        <v>0</v>
      </c>
      <c r="K1007" s="21">
        <v>0</v>
      </c>
      <c r="L1007" s="20">
        <v>0</v>
      </c>
      <c r="M1007" s="8">
        <v>630</v>
      </c>
      <c r="N1007" s="20">
        <f t="shared" si="533"/>
        <v>3465000</v>
      </c>
      <c r="O1007" s="20">
        <v>0</v>
      </c>
      <c r="P1007" s="20">
        <v>0</v>
      </c>
      <c r="Q1007" s="20">
        <v>0</v>
      </c>
      <c r="R1007" s="20">
        <f t="shared" si="519"/>
        <v>0</v>
      </c>
      <c r="S1007" s="20">
        <v>0</v>
      </c>
      <c r="T1007" s="8">
        <v>0</v>
      </c>
      <c r="U1007" s="20">
        <v>200000</v>
      </c>
      <c r="V1007" s="1">
        <f t="shared" si="520"/>
        <v>5500</v>
      </c>
    </row>
    <row r="1008" spans="1:258" ht="21.95" customHeight="1" x14ac:dyDescent="0.25">
      <c r="A1008" s="18" t="s">
        <v>1502</v>
      </c>
      <c r="B1008" s="25" t="s">
        <v>823</v>
      </c>
      <c r="C1008" s="12">
        <f t="shared" si="522"/>
        <v>1861000</v>
      </c>
      <c r="D1008" s="20">
        <f t="shared" si="521"/>
        <v>0</v>
      </c>
      <c r="E1008" s="20">
        <v>0</v>
      </c>
      <c r="F1008" s="20">
        <v>0</v>
      </c>
      <c r="G1008" s="20">
        <v>0</v>
      </c>
      <c r="H1008" s="20">
        <v>0</v>
      </c>
      <c r="I1008" s="20">
        <v>0</v>
      </c>
      <c r="J1008" s="20">
        <v>0</v>
      </c>
      <c r="K1008" s="21">
        <v>0</v>
      </c>
      <c r="L1008" s="20">
        <v>0</v>
      </c>
      <c r="M1008" s="8">
        <v>302</v>
      </c>
      <c r="N1008" s="20">
        <f t="shared" si="533"/>
        <v>1661000</v>
      </c>
      <c r="O1008" s="20">
        <v>0</v>
      </c>
      <c r="P1008" s="20">
        <v>0</v>
      </c>
      <c r="Q1008" s="20">
        <v>0</v>
      </c>
      <c r="R1008" s="20">
        <f t="shared" si="519"/>
        <v>0</v>
      </c>
      <c r="S1008" s="20">
        <v>0</v>
      </c>
      <c r="T1008" s="8">
        <v>0</v>
      </c>
      <c r="U1008" s="20">
        <v>200000</v>
      </c>
      <c r="V1008" s="1">
        <f t="shared" si="520"/>
        <v>5500</v>
      </c>
    </row>
    <row r="1009" spans="1:258" ht="21.95" customHeight="1" x14ac:dyDescent="0.25">
      <c r="A1009" s="18" t="s">
        <v>1503</v>
      </c>
      <c r="B1009" s="25" t="s">
        <v>747</v>
      </c>
      <c r="C1009" s="12">
        <f t="shared" si="522"/>
        <v>1455650</v>
      </c>
      <c r="D1009" s="20">
        <f t="shared" si="521"/>
        <v>0</v>
      </c>
      <c r="E1009" s="20">
        <v>0</v>
      </c>
      <c r="F1009" s="20">
        <v>0</v>
      </c>
      <c r="G1009" s="20">
        <v>0</v>
      </c>
      <c r="H1009" s="20">
        <v>0</v>
      </c>
      <c r="I1009" s="20">
        <v>0</v>
      </c>
      <c r="J1009" s="20">
        <v>0</v>
      </c>
      <c r="K1009" s="21">
        <v>0</v>
      </c>
      <c r="L1009" s="20">
        <v>0</v>
      </c>
      <c r="M1009" s="8">
        <v>228.3</v>
      </c>
      <c r="N1009" s="20">
        <f t="shared" si="533"/>
        <v>1255650</v>
      </c>
      <c r="O1009" s="20">
        <v>0</v>
      </c>
      <c r="P1009" s="20">
        <v>0</v>
      </c>
      <c r="Q1009" s="20">
        <v>0</v>
      </c>
      <c r="R1009" s="20">
        <f t="shared" si="519"/>
        <v>0</v>
      </c>
      <c r="S1009" s="20">
        <v>0</v>
      </c>
      <c r="T1009" s="8">
        <v>0</v>
      </c>
      <c r="U1009" s="20">
        <v>200000</v>
      </c>
      <c r="V1009" s="1">
        <f t="shared" si="520"/>
        <v>5500</v>
      </c>
    </row>
    <row r="1010" spans="1:258" ht="21.95" customHeight="1" x14ac:dyDescent="0.25">
      <c r="A1010" s="18" t="s">
        <v>1504</v>
      </c>
      <c r="B1010" s="25" t="s">
        <v>824</v>
      </c>
      <c r="C1010" s="12">
        <f t="shared" si="522"/>
        <v>1459500</v>
      </c>
      <c r="D1010" s="20">
        <f t="shared" si="521"/>
        <v>0</v>
      </c>
      <c r="E1010" s="20">
        <v>0</v>
      </c>
      <c r="F1010" s="20">
        <v>0</v>
      </c>
      <c r="G1010" s="20">
        <v>0</v>
      </c>
      <c r="H1010" s="20">
        <v>0</v>
      </c>
      <c r="I1010" s="20">
        <v>0</v>
      </c>
      <c r="J1010" s="20">
        <v>0</v>
      </c>
      <c r="K1010" s="21">
        <v>0</v>
      </c>
      <c r="L1010" s="20">
        <v>0</v>
      </c>
      <c r="M1010" s="8">
        <v>229</v>
      </c>
      <c r="N1010" s="20">
        <f t="shared" si="533"/>
        <v>1259500</v>
      </c>
      <c r="O1010" s="20">
        <v>0</v>
      </c>
      <c r="P1010" s="20">
        <v>0</v>
      </c>
      <c r="Q1010" s="20">
        <v>0</v>
      </c>
      <c r="R1010" s="20">
        <f t="shared" si="519"/>
        <v>0</v>
      </c>
      <c r="S1010" s="20">
        <v>0</v>
      </c>
      <c r="T1010" s="8">
        <v>0</v>
      </c>
      <c r="U1010" s="20">
        <v>200000</v>
      </c>
      <c r="V1010" s="1">
        <f t="shared" si="520"/>
        <v>5500</v>
      </c>
    </row>
    <row r="1011" spans="1:258" ht="21.95" customHeight="1" x14ac:dyDescent="0.25">
      <c r="A1011" s="18" t="s">
        <v>1505</v>
      </c>
      <c r="B1011" s="25" t="s">
        <v>825</v>
      </c>
      <c r="C1011" s="12">
        <f t="shared" si="522"/>
        <v>1789500</v>
      </c>
      <c r="D1011" s="20">
        <f t="shared" si="521"/>
        <v>0</v>
      </c>
      <c r="E1011" s="20">
        <v>0</v>
      </c>
      <c r="F1011" s="20">
        <v>0</v>
      </c>
      <c r="G1011" s="20">
        <v>0</v>
      </c>
      <c r="H1011" s="20">
        <v>0</v>
      </c>
      <c r="I1011" s="20">
        <v>0</v>
      </c>
      <c r="J1011" s="20">
        <v>0</v>
      </c>
      <c r="K1011" s="21">
        <v>0</v>
      </c>
      <c r="L1011" s="20">
        <v>0</v>
      </c>
      <c r="M1011" s="8">
        <v>289</v>
      </c>
      <c r="N1011" s="20">
        <f t="shared" si="533"/>
        <v>1589500</v>
      </c>
      <c r="O1011" s="20">
        <v>0</v>
      </c>
      <c r="P1011" s="20">
        <v>0</v>
      </c>
      <c r="Q1011" s="20">
        <v>0</v>
      </c>
      <c r="R1011" s="20">
        <f t="shared" si="519"/>
        <v>0</v>
      </c>
      <c r="S1011" s="20">
        <v>0</v>
      </c>
      <c r="T1011" s="8">
        <v>0</v>
      </c>
      <c r="U1011" s="20">
        <v>200000</v>
      </c>
      <c r="V1011" s="1">
        <f t="shared" si="520"/>
        <v>5500</v>
      </c>
    </row>
    <row r="1012" spans="1:258" ht="21.95" customHeight="1" x14ac:dyDescent="0.25">
      <c r="A1012" s="18" t="s">
        <v>1506</v>
      </c>
      <c r="B1012" s="25" t="s">
        <v>748</v>
      </c>
      <c r="C1012" s="12">
        <f t="shared" si="522"/>
        <v>2257000</v>
      </c>
      <c r="D1012" s="20">
        <f t="shared" si="521"/>
        <v>0</v>
      </c>
      <c r="E1012" s="20">
        <v>0</v>
      </c>
      <c r="F1012" s="20">
        <v>0</v>
      </c>
      <c r="G1012" s="20">
        <v>0</v>
      </c>
      <c r="H1012" s="20">
        <v>0</v>
      </c>
      <c r="I1012" s="20">
        <v>0</v>
      </c>
      <c r="J1012" s="20">
        <v>0</v>
      </c>
      <c r="K1012" s="21">
        <v>0</v>
      </c>
      <c r="L1012" s="20">
        <v>0</v>
      </c>
      <c r="M1012" s="20">
        <v>374</v>
      </c>
      <c r="N1012" s="20">
        <f t="shared" si="533"/>
        <v>2057000</v>
      </c>
      <c r="O1012" s="20">
        <v>0</v>
      </c>
      <c r="P1012" s="20">
        <v>0</v>
      </c>
      <c r="Q1012" s="20">
        <v>0</v>
      </c>
      <c r="R1012" s="20">
        <f t="shared" ref="R1012:R1053" si="534">Q1012*3000</f>
        <v>0</v>
      </c>
      <c r="S1012" s="20">
        <v>0</v>
      </c>
      <c r="T1012" s="8">
        <v>0</v>
      </c>
      <c r="U1012" s="20">
        <v>200000</v>
      </c>
      <c r="V1012" s="1">
        <f t="shared" ref="V1012:V1053" si="535">N1012/M1012</f>
        <v>5500</v>
      </c>
    </row>
    <row r="1013" spans="1:258" ht="21.95" customHeight="1" x14ac:dyDescent="0.25">
      <c r="A1013" s="18" t="s">
        <v>1507</v>
      </c>
      <c r="B1013" s="25" t="s">
        <v>749</v>
      </c>
      <c r="C1013" s="12">
        <f t="shared" si="522"/>
        <v>3637500</v>
      </c>
      <c r="D1013" s="20">
        <f t="shared" ref="D1013:D1053" si="536">SUM(E1013:J1013)</f>
        <v>0</v>
      </c>
      <c r="E1013" s="20">
        <v>0</v>
      </c>
      <c r="F1013" s="20">
        <v>0</v>
      </c>
      <c r="G1013" s="20">
        <v>0</v>
      </c>
      <c r="H1013" s="20">
        <v>0</v>
      </c>
      <c r="I1013" s="20">
        <v>0</v>
      </c>
      <c r="J1013" s="20">
        <v>0</v>
      </c>
      <c r="K1013" s="21">
        <v>0</v>
      </c>
      <c r="L1013" s="20">
        <v>0</v>
      </c>
      <c r="M1013" s="8">
        <v>625</v>
      </c>
      <c r="N1013" s="20">
        <f t="shared" ref="N1013:N1023" si="537">M1013*5500</f>
        <v>3437500</v>
      </c>
      <c r="O1013" s="20">
        <v>0</v>
      </c>
      <c r="P1013" s="20">
        <v>0</v>
      </c>
      <c r="Q1013" s="20">
        <v>0</v>
      </c>
      <c r="R1013" s="20">
        <f t="shared" si="534"/>
        <v>0</v>
      </c>
      <c r="S1013" s="20">
        <v>0</v>
      </c>
      <c r="T1013" s="8">
        <v>0</v>
      </c>
      <c r="U1013" s="20">
        <v>200000</v>
      </c>
      <c r="V1013" s="1">
        <f t="shared" si="535"/>
        <v>5500</v>
      </c>
    </row>
    <row r="1014" spans="1:258" ht="21.95" customHeight="1" x14ac:dyDescent="0.25">
      <c r="A1014" s="18" t="s">
        <v>1508</v>
      </c>
      <c r="B1014" s="25" t="s">
        <v>750</v>
      </c>
      <c r="C1014" s="12">
        <f t="shared" si="522"/>
        <v>2059000</v>
      </c>
      <c r="D1014" s="20">
        <f t="shared" si="536"/>
        <v>0</v>
      </c>
      <c r="E1014" s="20">
        <v>0</v>
      </c>
      <c r="F1014" s="20">
        <v>0</v>
      </c>
      <c r="G1014" s="20">
        <v>0</v>
      </c>
      <c r="H1014" s="20">
        <v>0</v>
      </c>
      <c r="I1014" s="20">
        <v>0</v>
      </c>
      <c r="J1014" s="20">
        <v>0</v>
      </c>
      <c r="K1014" s="21">
        <v>0</v>
      </c>
      <c r="L1014" s="20">
        <v>0</v>
      </c>
      <c r="M1014" s="20">
        <v>338</v>
      </c>
      <c r="N1014" s="20">
        <f t="shared" si="537"/>
        <v>1859000</v>
      </c>
      <c r="O1014" s="20">
        <v>0</v>
      </c>
      <c r="P1014" s="20">
        <v>0</v>
      </c>
      <c r="Q1014" s="20">
        <v>0</v>
      </c>
      <c r="R1014" s="20">
        <f t="shared" si="534"/>
        <v>0</v>
      </c>
      <c r="S1014" s="20">
        <v>0</v>
      </c>
      <c r="T1014" s="8">
        <v>0</v>
      </c>
      <c r="U1014" s="20">
        <v>200000</v>
      </c>
      <c r="V1014" s="1">
        <f t="shared" si="535"/>
        <v>5500</v>
      </c>
    </row>
    <row r="1015" spans="1:258" ht="21.95" customHeight="1" x14ac:dyDescent="0.25">
      <c r="A1015" s="18" t="s">
        <v>1509</v>
      </c>
      <c r="B1015" s="25" t="s">
        <v>751</v>
      </c>
      <c r="C1015" s="12">
        <f t="shared" si="522"/>
        <v>1658600</v>
      </c>
      <c r="D1015" s="20">
        <f t="shared" si="536"/>
        <v>0</v>
      </c>
      <c r="E1015" s="20">
        <v>0</v>
      </c>
      <c r="F1015" s="20">
        <v>0</v>
      </c>
      <c r="G1015" s="20">
        <v>0</v>
      </c>
      <c r="H1015" s="20">
        <v>0</v>
      </c>
      <c r="I1015" s="20">
        <v>0</v>
      </c>
      <c r="J1015" s="20">
        <v>0</v>
      </c>
      <c r="K1015" s="21">
        <v>0</v>
      </c>
      <c r="L1015" s="20">
        <v>0</v>
      </c>
      <c r="M1015" s="8">
        <v>265.2</v>
      </c>
      <c r="N1015" s="20">
        <f t="shared" si="537"/>
        <v>1458600</v>
      </c>
      <c r="O1015" s="20">
        <v>0</v>
      </c>
      <c r="P1015" s="20">
        <v>0</v>
      </c>
      <c r="Q1015" s="20">
        <v>0</v>
      </c>
      <c r="R1015" s="20">
        <f t="shared" si="534"/>
        <v>0</v>
      </c>
      <c r="S1015" s="20">
        <v>0</v>
      </c>
      <c r="T1015" s="8">
        <v>0</v>
      </c>
      <c r="U1015" s="20">
        <v>200000</v>
      </c>
      <c r="V1015" s="1">
        <f t="shared" si="535"/>
        <v>5500</v>
      </c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  <c r="CD1015" s="1"/>
      <c r="CE1015" s="1"/>
      <c r="CF1015" s="1"/>
      <c r="CG1015" s="1"/>
      <c r="CH1015" s="1"/>
      <c r="CI1015" s="1"/>
      <c r="CJ1015" s="1"/>
      <c r="CK1015" s="1"/>
      <c r="CL1015" s="1"/>
      <c r="CM1015" s="1"/>
      <c r="CN1015" s="1"/>
      <c r="CO1015" s="1"/>
      <c r="CP1015" s="1"/>
      <c r="CQ1015" s="1"/>
      <c r="CR1015" s="1"/>
      <c r="CS1015" s="1"/>
      <c r="CT1015" s="1"/>
      <c r="CU1015" s="1"/>
      <c r="CV1015" s="1"/>
      <c r="CW1015" s="1"/>
      <c r="CX1015" s="1"/>
      <c r="CY1015" s="1"/>
      <c r="CZ1015" s="1"/>
      <c r="DA1015" s="1"/>
      <c r="DB1015" s="1"/>
      <c r="DC1015" s="1"/>
      <c r="DD1015" s="1"/>
      <c r="DE1015" s="1"/>
      <c r="DF1015" s="1"/>
      <c r="DG1015" s="1"/>
      <c r="DH1015" s="1"/>
      <c r="DI1015" s="1"/>
      <c r="DJ1015" s="1"/>
      <c r="DK1015" s="1"/>
      <c r="DL1015" s="1"/>
      <c r="DM1015" s="1"/>
      <c r="DN1015" s="1"/>
      <c r="DO1015" s="1"/>
      <c r="DP1015" s="1"/>
      <c r="DQ1015" s="1"/>
      <c r="DR1015" s="1"/>
      <c r="DS1015" s="1"/>
      <c r="DT1015" s="1"/>
      <c r="DU1015" s="1"/>
      <c r="DV1015" s="1"/>
      <c r="DW1015" s="1"/>
      <c r="DX1015" s="1"/>
      <c r="DY1015" s="1"/>
      <c r="DZ1015" s="1"/>
      <c r="EA1015" s="1"/>
      <c r="EB1015" s="1"/>
      <c r="EC1015" s="1"/>
      <c r="ED1015" s="1"/>
      <c r="EE1015" s="1"/>
      <c r="EF1015" s="1"/>
      <c r="EG1015" s="1"/>
      <c r="EH1015" s="1"/>
      <c r="EI1015" s="1"/>
      <c r="EJ1015" s="1"/>
      <c r="EK1015" s="1"/>
      <c r="EL1015" s="1"/>
      <c r="EM1015" s="1"/>
      <c r="EN1015" s="1"/>
      <c r="EO1015" s="1"/>
      <c r="EP1015" s="1"/>
      <c r="EQ1015" s="1"/>
      <c r="ER1015" s="1"/>
      <c r="ES1015" s="1"/>
      <c r="ET1015" s="1"/>
      <c r="EU1015" s="1"/>
      <c r="EV1015" s="1"/>
      <c r="EW1015" s="1"/>
      <c r="EX1015" s="1"/>
      <c r="EY1015" s="1"/>
      <c r="EZ1015" s="1"/>
      <c r="FA1015" s="1"/>
      <c r="FB1015" s="1"/>
      <c r="FC1015" s="1"/>
      <c r="FD1015" s="1"/>
      <c r="FE1015" s="1"/>
      <c r="FF1015" s="1"/>
      <c r="FG1015" s="1"/>
      <c r="FH1015" s="1"/>
      <c r="FI1015" s="1"/>
      <c r="FJ1015" s="1"/>
      <c r="FK1015" s="1"/>
      <c r="FL1015" s="1"/>
      <c r="FM1015" s="1"/>
      <c r="FN1015" s="1"/>
      <c r="FO1015" s="1"/>
      <c r="FP1015" s="1"/>
      <c r="FQ1015" s="1"/>
      <c r="FR1015" s="1"/>
      <c r="FS1015" s="1"/>
      <c r="FT1015" s="1"/>
      <c r="FU1015" s="1"/>
      <c r="FV1015" s="1"/>
      <c r="FW1015" s="1"/>
      <c r="FX1015" s="1"/>
      <c r="FY1015" s="1"/>
      <c r="FZ1015" s="1"/>
      <c r="GA1015" s="1"/>
      <c r="GB1015" s="1"/>
      <c r="GC1015" s="1"/>
      <c r="GD1015" s="1"/>
      <c r="GE1015" s="1"/>
      <c r="GF1015" s="1"/>
      <c r="GG1015" s="1"/>
      <c r="GH1015" s="1"/>
      <c r="GI1015" s="1"/>
      <c r="GJ1015" s="1"/>
      <c r="GK1015" s="1"/>
      <c r="GL1015" s="1"/>
      <c r="GM1015" s="1"/>
      <c r="GN1015" s="1"/>
      <c r="GO1015" s="1"/>
      <c r="GP1015" s="1"/>
      <c r="GQ1015" s="1"/>
      <c r="GR1015" s="1"/>
      <c r="GS1015" s="1"/>
      <c r="GT1015" s="1"/>
      <c r="GU1015" s="1"/>
      <c r="GV1015" s="1"/>
      <c r="GW1015" s="1"/>
      <c r="GX1015" s="1"/>
      <c r="GY1015" s="1"/>
      <c r="GZ1015" s="1"/>
      <c r="HA1015" s="1"/>
      <c r="HB1015" s="1"/>
      <c r="HC1015" s="1"/>
      <c r="HD1015" s="1"/>
      <c r="HE1015" s="1"/>
      <c r="HF1015" s="1"/>
      <c r="HG1015" s="1"/>
      <c r="HH1015" s="1"/>
      <c r="HI1015" s="1"/>
      <c r="HJ1015" s="1"/>
      <c r="HK1015" s="1"/>
      <c r="HL1015" s="1"/>
      <c r="HM1015" s="1"/>
      <c r="HN1015" s="1"/>
      <c r="HO1015" s="1"/>
      <c r="HP1015" s="1"/>
      <c r="HQ1015" s="1"/>
      <c r="HR1015" s="1"/>
      <c r="HS1015" s="1"/>
      <c r="HT1015" s="1"/>
      <c r="HU1015" s="1"/>
      <c r="HV1015" s="1"/>
      <c r="HW1015" s="1"/>
      <c r="HX1015" s="1"/>
      <c r="HY1015" s="1"/>
      <c r="HZ1015" s="1"/>
      <c r="IA1015" s="1"/>
      <c r="IB1015" s="1"/>
      <c r="IC1015" s="1"/>
      <c r="ID1015" s="1"/>
      <c r="IE1015" s="1"/>
      <c r="IF1015" s="1"/>
      <c r="IG1015" s="1"/>
      <c r="IH1015" s="1"/>
      <c r="II1015" s="1"/>
      <c r="IJ1015" s="1"/>
      <c r="IK1015" s="1"/>
      <c r="IL1015" s="1"/>
      <c r="IM1015" s="1"/>
      <c r="IN1015" s="1"/>
      <c r="IO1015" s="1"/>
      <c r="IP1015" s="1"/>
      <c r="IQ1015" s="1"/>
      <c r="IR1015" s="1"/>
      <c r="IS1015" s="1"/>
      <c r="IT1015" s="1"/>
      <c r="IU1015" s="1"/>
      <c r="IV1015" s="1"/>
      <c r="IW1015" s="1"/>
      <c r="IX1015" s="1"/>
    </row>
    <row r="1016" spans="1:258" ht="21.95" customHeight="1" x14ac:dyDescent="0.25">
      <c r="A1016" s="18" t="s">
        <v>1510</v>
      </c>
      <c r="B1016" s="25" t="s">
        <v>752</v>
      </c>
      <c r="C1016" s="12">
        <f t="shared" ref="C1016:C1076" si="538">D1016+L1016+N1016+P1016+R1016+S1016+T1016+U1016</f>
        <v>1656400</v>
      </c>
      <c r="D1016" s="20">
        <f t="shared" si="536"/>
        <v>0</v>
      </c>
      <c r="E1016" s="20">
        <v>0</v>
      </c>
      <c r="F1016" s="20">
        <v>0</v>
      </c>
      <c r="G1016" s="20">
        <v>0</v>
      </c>
      <c r="H1016" s="20">
        <v>0</v>
      </c>
      <c r="I1016" s="20">
        <v>0</v>
      </c>
      <c r="J1016" s="20">
        <v>0</v>
      </c>
      <c r="K1016" s="21">
        <v>0</v>
      </c>
      <c r="L1016" s="20">
        <v>0</v>
      </c>
      <c r="M1016" s="8">
        <v>264.8</v>
      </c>
      <c r="N1016" s="20">
        <f t="shared" si="537"/>
        <v>1456400</v>
      </c>
      <c r="O1016" s="20">
        <v>0</v>
      </c>
      <c r="P1016" s="20">
        <v>0</v>
      </c>
      <c r="Q1016" s="20">
        <v>0</v>
      </c>
      <c r="R1016" s="20">
        <f t="shared" si="534"/>
        <v>0</v>
      </c>
      <c r="S1016" s="20">
        <v>0</v>
      </c>
      <c r="T1016" s="8">
        <v>0</v>
      </c>
      <c r="U1016" s="20">
        <v>200000</v>
      </c>
      <c r="V1016" s="1">
        <f t="shared" si="535"/>
        <v>5500</v>
      </c>
    </row>
    <row r="1017" spans="1:258" ht="21.95" customHeight="1" x14ac:dyDescent="0.25">
      <c r="A1017" s="18" t="s">
        <v>1511</v>
      </c>
      <c r="B1017" s="25" t="s">
        <v>826</v>
      </c>
      <c r="C1017" s="12">
        <f t="shared" si="538"/>
        <v>3131500</v>
      </c>
      <c r="D1017" s="20">
        <f t="shared" si="536"/>
        <v>0</v>
      </c>
      <c r="E1017" s="20">
        <v>0</v>
      </c>
      <c r="F1017" s="20">
        <v>0</v>
      </c>
      <c r="G1017" s="20">
        <v>0</v>
      </c>
      <c r="H1017" s="20">
        <v>0</v>
      </c>
      <c r="I1017" s="20">
        <v>0</v>
      </c>
      <c r="J1017" s="20">
        <v>0</v>
      </c>
      <c r="K1017" s="21">
        <v>0</v>
      </c>
      <c r="L1017" s="20">
        <v>0</v>
      </c>
      <c r="M1017" s="8">
        <v>533</v>
      </c>
      <c r="N1017" s="20">
        <f t="shared" si="537"/>
        <v>2931500</v>
      </c>
      <c r="O1017" s="20">
        <v>0</v>
      </c>
      <c r="P1017" s="20">
        <v>0</v>
      </c>
      <c r="Q1017" s="20">
        <v>0</v>
      </c>
      <c r="R1017" s="20">
        <f t="shared" si="534"/>
        <v>0</v>
      </c>
      <c r="S1017" s="20">
        <v>0</v>
      </c>
      <c r="T1017" s="8">
        <v>0</v>
      </c>
      <c r="U1017" s="20">
        <v>200000</v>
      </c>
      <c r="V1017" s="1">
        <f t="shared" si="535"/>
        <v>5500</v>
      </c>
    </row>
    <row r="1018" spans="1:258" ht="21.95" customHeight="1" x14ac:dyDescent="0.25">
      <c r="A1018" s="18" t="s">
        <v>1512</v>
      </c>
      <c r="B1018" s="25" t="s">
        <v>753</v>
      </c>
      <c r="C1018" s="12">
        <f t="shared" si="538"/>
        <v>7750400</v>
      </c>
      <c r="D1018" s="20">
        <f t="shared" si="536"/>
        <v>0</v>
      </c>
      <c r="E1018" s="20">
        <v>0</v>
      </c>
      <c r="F1018" s="20">
        <v>0</v>
      </c>
      <c r="G1018" s="20">
        <v>0</v>
      </c>
      <c r="H1018" s="20">
        <v>0</v>
      </c>
      <c r="I1018" s="20">
        <v>0</v>
      </c>
      <c r="J1018" s="20">
        <v>0</v>
      </c>
      <c r="K1018" s="21">
        <v>0</v>
      </c>
      <c r="L1018" s="20">
        <v>0</v>
      </c>
      <c r="M1018" s="8">
        <v>1372.8</v>
      </c>
      <c r="N1018" s="20">
        <f t="shared" si="537"/>
        <v>7550400</v>
      </c>
      <c r="O1018" s="20">
        <v>0</v>
      </c>
      <c r="P1018" s="20">
        <v>0</v>
      </c>
      <c r="Q1018" s="20">
        <v>0</v>
      </c>
      <c r="R1018" s="20">
        <f t="shared" si="534"/>
        <v>0</v>
      </c>
      <c r="S1018" s="20">
        <v>0</v>
      </c>
      <c r="T1018" s="8">
        <v>0</v>
      </c>
      <c r="U1018" s="20">
        <v>200000</v>
      </c>
      <c r="V1018" s="1">
        <f t="shared" si="535"/>
        <v>5500</v>
      </c>
    </row>
    <row r="1019" spans="1:258" ht="21.95" customHeight="1" x14ac:dyDescent="0.25">
      <c r="A1019" s="18" t="s">
        <v>1513</v>
      </c>
      <c r="B1019" s="25" t="s">
        <v>827</v>
      </c>
      <c r="C1019" s="12">
        <f t="shared" si="538"/>
        <v>2037000</v>
      </c>
      <c r="D1019" s="20">
        <f t="shared" si="536"/>
        <v>0</v>
      </c>
      <c r="E1019" s="20">
        <v>0</v>
      </c>
      <c r="F1019" s="20">
        <v>0</v>
      </c>
      <c r="G1019" s="20">
        <v>0</v>
      </c>
      <c r="H1019" s="20">
        <v>0</v>
      </c>
      <c r="I1019" s="20">
        <v>0</v>
      </c>
      <c r="J1019" s="20">
        <v>0</v>
      </c>
      <c r="K1019" s="21">
        <v>0</v>
      </c>
      <c r="L1019" s="20">
        <v>0</v>
      </c>
      <c r="M1019" s="20">
        <v>334</v>
      </c>
      <c r="N1019" s="20">
        <f t="shared" si="537"/>
        <v>1837000</v>
      </c>
      <c r="O1019" s="20">
        <v>0</v>
      </c>
      <c r="P1019" s="20">
        <v>0</v>
      </c>
      <c r="Q1019" s="20">
        <v>0</v>
      </c>
      <c r="R1019" s="20">
        <f t="shared" si="534"/>
        <v>0</v>
      </c>
      <c r="S1019" s="20">
        <v>0</v>
      </c>
      <c r="T1019" s="8">
        <v>0</v>
      </c>
      <c r="U1019" s="20">
        <v>200000</v>
      </c>
      <c r="V1019" s="1">
        <f t="shared" si="535"/>
        <v>5500</v>
      </c>
    </row>
    <row r="1020" spans="1:258" ht="21.95" customHeight="1" x14ac:dyDescent="0.25">
      <c r="A1020" s="18" t="s">
        <v>1514</v>
      </c>
      <c r="B1020" s="31" t="s">
        <v>754</v>
      </c>
      <c r="C1020" s="12">
        <f t="shared" si="538"/>
        <v>8241000</v>
      </c>
      <c r="D1020" s="20">
        <f t="shared" si="536"/>
        <v>0</v>
      </c>
      <c r="E1020" s="20">
        <v>0</v>
      </c>
      <c r="F1020" s="20">
        <v>0</v>
      </c>
      <c r="G1020" s="20">
        <v>0</v>
      </c>
      <c r="H1020" s="20">
        <v>0</v>
      </c>
      <c r="I1020" s="20">
        <v>0</v>
      </c>
      <c r="J1020" s="20">
        <v>0</v>
      </c>
      <c r="K1020" s="21">
        <v>0</v>
      </c>
      <c r="L1020" s="20">
        <v>0</v>
      </c>
      <c r="M1020" s="20">
        <v>1462</v>
      </c>
      <c r="N1020" s="20">
        <f t="shared" si="537"/>
        <v>8041000</v>
      </c>
      <c r="O1020" s="20">
        <v>0</v>
      </c>
      <c r="P1020" s="20">
        <v>0</v>
      </c>
      <c r="Q1020" s="20">
        <v>0</v>
      </c>
      <c r="R1020" s="20">
        <f t="shared" si="534"/>
        <v>0</v>
      </c>
      <c r="S1020" s="20">
        <v>0</v>
      </c>
      <c r="T1020" s="8">
        <v>0</v>
      </c>
      <c r="U1020" s="20">
        <v>200000</v>
      </c>
      <c r="V1020" s="1">
        <f t="shared" si="535"/>
        <v>5500</v>
      </c>
    </row>
    <row r="1021" spans="1:258" ht="21.95" customHeight="1" x14ac:dyDescent="0.25">
      <c r="A1021" s="18" t="s">
        <v>1515</v>
      </c>
      <c r="B1021" s="31" t="s">
        <v>755</v>
      </c>
      <c r="C1021" s="12">
        <f t="shared" si="538"/>
        <v>5898000</v>
      </c>
      <c r="D1021" s="20">
        <f t="shared" si="536"/>
        <v>0</v>
      </c>
      <c r="E1021" s="20">
        <v>0</v>
      </c>
      <c r="F1021" s="20">
        <v>0</v>
      </c>
      <c r="G1021" s="20">
        <v>0</v>
      </c>
      <c r="H1021" s="20">
        <v>0</v>
      </c>
      <c r="I1021" s="20">
        <v>0</v>
      </c>
      <c r="J1021" s="20">
        <v>0</v>
      </c>
      <c r="K1021" s="21">
        <v>0</v>
      </c>
      <c r="L1021" s="20">
        <v>0</v>
      </c>
      <c r="M1021" s="20">
        <v>1036</v>
      </c>
      <c r="N1021" s="20">
        <f t="shared" si="537"/>
        <v>5698000</v>
      </c>
      <c r="O1021" s="20">
        <v>0</v>
      </c>
      <c r="P1021" s="20">
        <v>0</v>
      </c>
      <c r="Q1021" s="20">
        <v>0</v>
      </c>
      <c r="R1021" s="20">
        <f t="shared" si="534"/>
        <v>0</v>
      </c>
      <c r="S1021" s="20">
        <v>0</v>
      </c>
      <c r="T1021" s="8">
        <v>0</v>
      </c>
      <c r="U1021" s="20">
        <v>200000</v>
      </c>
      <c r="V1021" s="1">
        <f t="shared" si="535"/>
        <v>5500</v>
      </c>
    </row>
    <row r="1022" spans="1:258" ht="21.95" customHeight="1" x14ac:dyDescent="0.25">
      <c r="A1022" s="18" t="s">
        <v>1516</v>
      </c>
      <c r="B1022" s="31" t="s">
        <v>756</v>
      </c>
      <c r="C1022" s="12">
        <f t="shared" si="538"/>
        <v>5942000</v>
      </c>
      <c r="D1022" s="20">
        <f t="shared" si="536"/>
        <v>0</v>
      </c>
      <c r="E1022" s="20">
        <v>0</v>
      </c>
      <c r="F1022" s="20">
        <v>0</v>
      </c>
      <c r="G1022" s="20">
        <v>0</v>
      </c>
      <c r="H1022" s="20">
        <v>0</v>
      </c>
      <c r="I1022" s="20">
        <v>0</v>
      </c>
      <c r="J1022" s="20">
        <v>0</v>
      </c>
      <c r="K1022" s="21">
        <v>0</v>
      </c>
      <c r="L1022" s="20">
        <v>0</v>
      </c>
      <c r="M1022" s="20">
        <v>1044</v>
      </c>
      <c r="N1022" s="20">
        <f t="shared" si="537"/>
        <v>5742000</v>
      </c>
      <c r="O1022" s="20">
        <v>0</v>
      </c>
      <c r="P1022" s="20">
        <v>0</v>
      </c>
      <c r="Q1022" s="20">
        <v>0</v>
      </c>
      <c r="R1022" s="20">
        <f t="shared" si="534"/>
        <v>0</v>
      </c>
      <c r="S1022" s="20">
        <v>0</v>
      </c>
      <c r="T1022" s="8">
        <v>0</v>
      </c>
      <c r="U1022" s="20">
        <v>200000</v>
      </c>
      <c r="V1022" s="1">
        <f t="shared" si="535"/>
        <v>5500</v>
      </c>
    </row>
    <row r="1023" spans="1:258" ht="21.95" customHeight="1" x14ac:dyDescent="0.25">
      <c r="A1023" s="18" t="s">
        <v>1517</v>
      </c>
      <c r="B1023" s="31" t="s">
        <v>757</v>
      </c>
      <c r="C1023" s="12">
        <f t="shared" si="538"/>
        <v>5903500</v>
      </c>
      <c r="D1023" s="20">
        <f t="shared" si="536"/>
        <v>0</v>
      </c>
      <c r="E1023" s="20">
        <v>0</v>
      </c>
      <c r="F1023" s="20">
        <v>0</v>
      </c>
      <c r="G1023" s="20">
        <v>0</v>
      </c>
      <c r="H1023" s="20">
        <v>0</v>
      </c>
      <c r="I1023" s="20">
        <v>0</v>
      </c>
      <c r="J1023" s="20">
        <v>0</v>
      </c>
      <c r="K1023" s="21">
        <v>0</v>
      </c>
      <c r="L1023" s="20">
        <v>0</v>
      </c>
      <c r="M1023" s="20">
        <v>1037</v>
      </c>
      <c r="N1023" s="20">
        <f t="shared" si="537"/>
        <v>5703500</v>
      </c>
      <c r="O1023" s="20">
        <v>0</v>
      </c>
      <c r="P1023" s="20">
        <v>0</v>
      </c>
      <c r="Q1023" s="20">
        <v>0</v>
      </c>
      <c r="R1023" s="20">
        <f t="shared" si="534"/>
        <v>0</v>
      </c>
      <c r="S1023" s="20">
        <v>0</v>
      </c>
      <c r="T1023" s="8">
        <v>0</v>
      </c>
      <c r="U1023" s="20">
        <v>200000</v>
      </c>
      <c r="V1023" s="1">
        <f t="shared" si="535"/>
        <v>5500</v>
      </c>
      <c r="W1023" s="17"/>
      <c r="X1023" s="17"/>
      <c r="Y1023" s="17"/>
      <c r="Z1023" s="17"/>
      <c r="AA1023" s="17"/>
      <c r="AB1023" s="17"/>
      <c r="AC1023" s="17"/>
      <c r="AD1023" s="17"/>
      <c r="AE1023" s="17"/>
      <c r="AF1023" s="17"/>
      <c r="AG1023" s="17"/>
      <c r="AH1023" s="17"/>
      <c r="AI1023" s="17"/>
      <c r="AJ1023" s="17"/>
      <c r="AK1023" s="17"/>
      <c r="AL1023" s="17"/>
      <c r="AM1023" s="17"/>
      <c r="AN1023" s="17"/>
      <c r="AO1023" s="17"/>
      <c r="AP1023" s="17"/>
      <c r="AQ1023" s="17"/>
      <c r="AR1023" s="17"/>
      <c r="AS1023" s="17"/>
      <c r="AT1023" s="17"/>
      <c r="AU1023" s="17"/>
      <c r="AV1023" s="17"/>
      <c r="AW1023" s="17"/>
      <c r="AX1023" s="17"/>
      <c r="AY1023" s="17"/>
      <c r="AZ1023" s="17"/>
      <c r="BA1023" s="17"/>
      <c r="BB1023" s="17"/>
      <c r="BC1023" s="17"/>
      <c r="BD1023" s="17"/>
      <c r="BE1023" s="17"/>
      <c r="BF1023" s="17"/>
      <c r="BG1023" s="17"/>
      <c r="BH1023" s="17"/>
      <c r="BI1023" s="17"/>
      <c r="BJ1023" s="17"/>
      <c r="BK1023" s="17"/>
      <c r="BL1023" s="17"/>
      <c r="BM1023" s="17"/>
      <c r="BN1023" s="17"/>
      <c r="BO1023" s="17"/>
      <c r="BP1023" s="17"/>
      <c r="BQ1023" s="17"/>
      <c r="BR1023" s="17"/>
      <c r="BS1023" s="17"/>
      <c r="BT1023" s="17"/>
      <c r="BU1023" s="17"/>
      <c r="BV1023" s="17"/>
      <c r="BW1023" s="17"/>
      <c r="BX1023" s="17"/>
      <c r="BY1023" s="17"/>
      <c r="BZ1023" s="17"/>
      <c r="CA1023" s="17"/>
      <c r="CB1023" s="17"/>
      <c r="CC1023" s="17"/>
      <c r="CD1023" s="17"/>
      <c r="CE1023" s="17"/>
      <c r="CF1023" s="17"/>
      <c r="CG1023" s="17"/>
      <c r="CH1023" s="17"/>
      <c r="CI1023" s="17"/>
      <c r="CJ1023" s="17"/>
      <c r="CK1023" s="17"/>
      <c r="CL1023" s="17"/>
      <c r="CM1023" s="17"/>
      <c r="CN1023" s="17"/>
      <c r="CO1023" s="17"/>
      <c r="CP1023" s="17"/>
      <c r="CQ1023" s="17"/>
      <c r="CR1023" s="17"/>
      <c r="CS1023" s="17"/>
      <c r="CT1023" s="17"/>
      <c r="CU1023" s="17"/>
      <c r="CV1023" s="17"/>
      <c r="CW1023" s="17"/>
      <c r="CX1023" s="17"/>
      <c r="CY1023" s="17"/>
      <c r="CZ1023" s="17"/>
      <c r="DA1023" s="17"/>
      <c r="DB1023" s="17"/>
      <c r="DC1023" s="17"/>
      <c r="DD1023" s="17"/>
      <c r="DE1023" s="17"/>
      <c r="DF1023" s="17"/>
      <c r="DG1023" s="17"/>
      <c r="DH1023" s="17"/>
      <c r="DI1023" s="17"/>
      <c r="DJ1023" s="17"/>
      <c r="DK1023" s="17"/>
      <c r="DL1023" s="17"/>
      <c r="DM1023" s="17"/>
      <c r="DN1023" s="17"/>
      <c r="DO1023" s="17"/>
      <c r="DP1023" s="17"/>
      <c r="DQ1023" s="17"/>
      <c r="DR1023" s="17"/>
      <c r="DS1023" s="17"/>
      <c r="DT1023" s="17"/>
      <c r="DU1023" s="17"/>
      <c r="DV1023" s="17"/>
      <c r="DW1023" s="17"/>
      <c r="DX1023" s="17"/>
      <c r="DY1023" s="17"/>
      <c r="DZ1023" s="17"/>
      <c r="EA1023" s="17"/>
      <c r="EB1023" s="17"/>
      <c r="EC1023" s="17"/>
      <c r="ED1023" s="17"/>
      <c r="EE1023" s="17"/>
      <c r="EF1023" s="17"/>
      <c r="EG1023" s="17"/>
      <c r="EH1023" s="17"/>
      <c r="EI1023" s="17"/>
      <c r="EJ1023" s="17"/>
      <c r="EK1023" s="17"/>
      <c r="EL1023" s="17"/>
      <c r="EM1023" s="17"/>
      <c r="EN1023" s="17"/>
      <c r="EO1023" s="17"/>
      <c r="EP1023" s="17"/>
      <c r="EQ1023" s="17"/>
      <c r="ER1023" s="17"/>
      <c r="ES1023" s="17"/>
      <c r="ET1023" s="17"/>
      <c r="EU1023" s="17"/>
      <c r="EV1023" s="17"/>
      <c r="EW1023" s="17"/>
      <c r="EX1023" s="17"/>
      <c r="EY1023" s="17"/>
      <c r="EZ1023" s="17"/>
      <c r="FA1023" s="17"/>
      <c r="FB1023" s="17"/>
      <c r="FC1023" s="17"/>
      <c r="FD1023" s="17"/>
      <c r="FE1023" s="17"/>
      <c r="FF1023" s="17"/>
      <c r="FG1023" s="17"/>
      <c r="FH1023" s="17"/>
      <c r="FI1023" s="17"/>
      <c r="FJ1023" s="17"/>
      <c r="FK1023" s="17"/>
      <c r="FL1023" s="17"/>
      <c r="FM1023" s="17"/>
      <c r="FN1023" s="17"/>
      <c r="FO1023" s="17"/>
      <c r="FP1023" s="17"/>
      <c r="FQ1023" s="17"/>
      <c r="FR1023" s="17"/>
      <c r="FS1023" s="17"/>
      <c r="FT1023" s="17"/>
      <c r="FU1023" s="17"/>
      <c r="FV1023" s="17"/>
      <c r="FW1023" s="17"/>
      <c r="FX1023" s="17"/>
      <c r="FY1023" s="17"/>
      <c r="FZ1023" s="17"/>
      <c r="GA1023" s="17"/>
      <c r="GB1023" s="17"/>
      <c r="GC1023" s="17"/>
      <c r="GD1023" s="17"/>
      <c r="GE1023" s="17"/>
      <c r="GF1023" s="17"/>
      <c r="GG1023" s="17"/>
      <c r="GH1023" s="17"/>
      <c r="GI1023" s="17"/>
      <c r="GJ1023" s="17"/>
      <c r="GK1023" s="17"/>
      <c r="GL1023" s="17"/>
      <c r="GM1023" s="17"/>
      <c r="GN1023" s="17"/>
      <c r="GO1023" s="17"/>
      <c r="GP1023" s="17"/>
      <c r="GQ1023" s="17"/>
      <c r="GR1023" s="17"/>
      <c r="GS1023" s="17"/>
      <c r="GT1023" s="17"/>
      <c r="GU1023" s="17"/>
      <c r="GV1023" s="17"/>
      <c r="GW1023" s="17"/>
      <c r="GX1023" s="17"/>
      <c r="GY1023" s="17"/>
      <c r="GZ1023" s="17"/>
      <c r="HA1023" s="17"/>
      <c r="HB1023" s="17"/>
      <c r="HC1023" s="17"/>
      <c r="HD1023" s="17"/>
      <c r="HE1023" s="17"/>
      <c r="HF1023" s="17"/>
      <c r="HG1023" s="17"/>
      <c r="HH1023" s="17"/>
      <c r="HI1023" s="17"/>
      <c r="HJ1023" s="17"/>
      <c r="HK1023" s="17"/>
      <c r="HL1023" s="17"/>
      <c r="HM1023" s="17"/>
      <c r="HN1023" s="17"/>
      <c r="HO1023" s="17"/>
      <c r="HP1023" s="17"/>
      <c r="HQ1023" s="17"/>
      <c r="HR1023" s="17"/>
      <c r="HS1023" s="17"/>
      <c r="HT1023" s="17"/>
      <c r="HU1023" s="17"/>
      <c r="HV1023" s="17"/>
      <c r="HW1023" s="17"/>
      <c r="HX1023" s="17"/>
      <c r="HY1023" s="17"/>
      <c r="HZ1023" s="17"/>
      <c r="IA1023" s="17"/>
      <c r="IB1023" s="17"/>
      <c r="IC1023" s="17"/>
      <c r="ID1023" s="17"/>
      <c r="IE1023" s="17"/>
      <c r="IF1023" s="17"/>
      <c r="IG1023" s="17"/>
      <c r="IH1023" s="17"/>
      <c r="II1023" s="17"/>
      <c r="IJ1023" s="17"/>
      <c r="IK1023" s="17"/>
      <c r="IL1023" s="17"/>
      <c r="IM1023" s="17"/>
      <c r="IN1023" s="17"/>
      <c r="IO1023" s="17"/>
      <c r="IP1023" s="17"/>
      <c r="IQ1023" s="17"/>
      <c r="IR1023" s="17"/>
      <c r="IS1023" s="17"/>
      <c r="IT1023" s="17"/>
      <c r="IU1023" s="17"/>
      <c r="IV1023" s="17"/>
      <c r="IW1023" s="17"/>
      <c r="IX1023" s="17"/>
    </row>
    <row r="1024" spans="1:258" ht="21.95" customHeight="1" x14ac:dyDescent="0.25">
      <c r="A1024" s="18" t="s">
        <v>1518</v>
      </c>
      <c r="B1024" s="25" t="s">
        <v>758</v>
      </c>
      <c r="C1024" s="12">
        <f t="shared" si="538"/>
        <v>2825384</v>
      </c>
      <c r="D1024" s="20">
        <f t="shared" si="536"/>
        <v>2625384</v>
      </c>
      <c r="E1024" s="20">
        <f>350*1093.91</f>
        <v>382868.5</v>
      </c>
      <c r="F1024" s="20">
        <f>800*1093.91</f>
        <v>875128.00000000012</v>
      </c>
      <c r="G1024" s="20">
        <f>350*1093.91</f>
        <v>382868.5</v>
      </c>
      <c r="H1024" s="20">
        <f>500*1093.91</f>
        <v>546955</v>
      </c>
      <c r="I1024" s="20">
        <f>400*1093.91</f>
        <v>437564.00000000006</v>
      </c>
      <c r="J1024" s="20">
        <v>0</v>
      </c>
      <c r="K1024" s="21">
        <v>0</v>
      </c>
      <c r="L1024" s="20">
        <v>0</v>
      </c>
      <c r="M1024" s="8">
        <v>0</v>
      </c>
      <c r="N1024" s="8">
        <v>0</v>
      </c>
      <c r="O1024" s="20">
        <v>0</v>
      </c>
      <c r="P1024" s="20">
        <v>0</v>
      </c>
      <c r="Q1024" s="20">
        <v>0</v>
      </c>
      <c r="R1024" s="20">
        <f t="shared" si="534"/>
        <v>0</v>
      </c>
      <c r="S1024" s="20">
        <v>0</v>
      </c>
      <c r="T1024" s="8">
        <v>0</v>
      </c>
      <c r="U1024" s="20">
        <v>200000</v>
      </c>
      <c r="V1024" s="1" t="e">
        <f t="shared" si="535"/>
        <v>#DIV/0!</v>
      </c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  <c r="CN1024" s="1"/>
      <c r="CO1024" s="1"/>
      <c r="CP1024" s="1"/>
      <c r="CQ1024" s="1"/>
      <c r="CR1024" s="1"/>
      <c r="CS1024" s="1"/>
      <c r="CT1024" s="1"/>
      <c r="CU1024" s="1"/>
      <c r="CV1024" s="1"/>
      <c r="CW1024" s="1"/>
      <c r="CX1024" s="1"/>
      <c r="CY1024" s="1"/>
      <c r="CZ1024" s="1"/>
      <c r="DA1024" s="1"/>
      <c r="DB1024" s="1"/>
      <c r="DC1024" s="1"/>
      <c r="DD1024" s="1"/>
      <c r="DE1024" s="1"/>
      <c r="DF1024" s="1"/>
      <c r="DG1024" s="1"/>
      <c r="DH1024" s="1"/>
      <c r="DI1024" s="1"/>
      <c r="DJ1024" s="1"/>
      <c r="DK1024" s="1"/>
      <c r="DL1024" s="1"/>
      <c r="DM1024" s="1"/>
      <c r="DN1024" s="1"/>
      <c r="DO1024" s="1"/>
      <c r="DP1024" s="1"/>
      <c r="DQ1024" s="1"/>
      <c r="DR1024" s="1"/>
      <c r="DS1024" s="1"/>
      <c r="DT1024" s="1"/>
      <c r="DU1024" s="1"/>
      <c r="DV1024" s="1"/>
      <c r="DW1024" s="1"/>
      <c r="DX1024" s="1"/>
      <c r="DY1024" s="1"/>
      <c r="DZ1024" s="1"/>
      <c r="EA1024" s="1"/>
      <c r="EB1024" s="1"/>
      <c r="EC1024" s="1"/>
      <c r="ED1024" s="1"/>
      <c r="EE1024" s="1"/>
      <c r="EF1024" s="1"/>
      <c r="EG1024" s="1"/>
      <c r="EH1024" s="1"/>
      <c r="EI1024" s="1"/>
      <c r="EJ1024" s="1"/>
      <c r="EK1024" s="1"/>
      <c r="EL1024" s="1"/>
      <c r="EM1024" s="1"/>
      <c r="EN1024" s="1"/>
      <c r="EO1024" s="1"/>
      <c r="EP1024" s="1"/>
      <c r="EQ1024" s="1"/>
      <c r="ER1024" s="1"/>
      <c r="ES1024" s="1"/>
      <c r="ET1024" s="1"/>
      <c r="EU1024" s="1"/>
      <c r="EV1024" s="1"/>
      <c r="EW1024" s="1"/>
      <c r="EX1024" s="1"/>
      <c r="EY1024" s="1"/>
      <c r="EZ1024" s="1"/>
      <c r="FA1024" s="1"/>
      <c r="FB1024" s="1"/>
      <c r="FC1024" s="1"/>
      <c r="FD1024" s="1"/>
      <c r="FE1024" s="1"/>
      <c r="FF1024" s="1"/>
      <c r="FG1024" s="1"/>
      <c r="FH1024" s="1"/>
      <c r="FI1024" s="1"/>
      <c r="FJ1024" s="1"/>
      <c r="FK1024" s="1"/>
      <c r="FL1024" s="1"/>
      <c r="FM1024" s="1"/>
      <c r="FN1024" s="1"/>
      <c r="FO1024" s="1"/>
      <c r="FP1024" s="1"/>
      <c r="FQ1024" s="1"/>
      <c r="FR1024" s="1"/>
      <c r="FS1024" s="1"/>
      <c r="FT1024" s="1"/>
      <c r="FU1024" s="1"/>
      <c r="FV1024" s="1"/>
      <c r="FW1024" s="1"/>
      <c r="FX1024" s="1"/>
      <c r="FY1024" s="1"/>
      <c r="FZ1024" s="1"/>
      <c r="GA1024" s="1"/>
      <c r="GB1024" s="1"/>
      <c r="GC1024" s="1"/>
      <c r="GD1024" s="1"/>
      <c r="GE1024" s="1"/>
      <c r="GF1024" s="1"/>
      <c r="GG1024" s="1"/>
      <c r="GH1024" s="1"/>
      <c r="GI1024" s="1"/>
      <c r="GJ1024" s="1"/>
      <c r="GK1024" s="1"/>
      <c r="GL1024" s="1"/>
      <c r="GM1024" s="1"/>
      <c r="GN1024" s="1"/>
      <c r="GO1024" s="1"/>
      <c r="GP1024" s="1"/>
      <c r="GQ1024" s="1"/>
      <c r="GR1024" s="1"/>
      <c r="GS1024" s="1"/>
      <c r="GT1024" s="1"/>
      <c r="GU1024" s="1"/>
      <c r="GV1024" s="1"/>
      <c r="GW1024" s="1"/>
      <c r="GX1024" s="1"/>
      <c r="GY1024" s="1"/>
      <c r="GZ1024" s="1"/>
      <c r="HA1024" s="1"/>
      <c r="HB1024" s="1"/>
      <c r="HC1024" s="1"/>
      <c r="HD1024" s="1"/>
      <c r="HE1024" s="1"/>
      <c r="HF1024" s="1"/>
      <c r="HG1024" s="1"/>
      <c r="HH1024" s="1"/>
      <c r="HI1024" s="1"/>
      <c r="HJ1024" s="1"/>
      <c r="HK1024" s="1"/>
      <c r="HL1024" s="1"/>
      <c r="HM1024" s="1"/>
      <c r="HN1024" s="1"/>
      <c r="HO1024" s="1"/>
      <c r="HP1024" s="1"/>
      <c r="HQ1024" s="1"/>
      <c r="HR1024" s="1"/>
      <c r="HS1024" s="1"/>
      <c r="HT1024" s="1"/>
      <c r="HU1024" s="1"/>
      <c r="HV1024" s="1"/>
      <c r="HW1024" s="1"/>
      <c r="HX1024" s="1"/>
      <c r="HY1024" s="1"/>
      <c r="HZ1024" s="1"/>
      <c r="IA1024" s="1"/>
      <c r="IB1024" s="1"/>
      <c r="IC1024" s="1"/>
      <c r="ID1024" s="1"/>
      <c r="IE1024" s="1"/>
      <c r="IF1024" s="1"/>
      <c r="IG1024" s="1"/>
      <c r="IH1024" s="1"/>
      <c r="II1024" s="1"/>
      <c r="IJ1024" s="1"/>
      <c r="IK1024" s="1"/>
      <c r="IL1024" s="1"/>
      <c r="IM1024" s="1"/>
      <c r="IN1024" s="1"/>
      <c r="IO1024" s="1"/>
      <c r="IP1024" s="1"/>
      <c r="IQ1024" s="1"/>
      <c r="IR1024" s="1"/>
      <c r="IS1024" s="1"/>
      <c r="IT1024" s="1"/>
      <c r="IU1024" s="1"/>
      <c r="IV1024" s="1"/>
      <c r="IW1024" s="1"/>
      <c r="IX1024" s="1"/>
    </row>
    <row r="1025" spans="1:258" ht="21.95" customHeight="1" x14ac:dyDescent="0.25">
      <c r="A1025" s="18" t="s">
        <v>1519</v>
      </c>
      <c r="B1025" s="25" t="s">
        <v>759</v>
      </c>
      <c r="C1025" s="12">
        <f t="shared" si="538"/>
        <v>2938450</v>
      </c>
      <c r="D1025" s="20">
        <f t="shared" si="536"/>
        <v>0</v>
      </c>
      <c r="E1025" s="20">
        <v>0</v>
      </c>
      <c r="F1025" s="20">
        <v>0</v>
      </c>
      <c r="G1025" s="20">
        <v>0</v>
      </c>
      <c r="H1025" s="20">
        <v>0</v>
      </c>
      <c r="I1025" s="20">
        <v>0</v>
      </c>
      <c r="J1025" s="20">
        <v>0</v>
      </c>
      <c r="K1025" s="21">
        <v>0</v>
      </c>
      <c r="L1025" s="20">
        <v>0</v>
      </c>
      <c r="M1025" s="20">
        <v>497.9</v>
      </c>
      <c r="N1025" s="20">
        <f t="shared" ref="N1025:N1028" si="539">M1025*5500</f>
        <v>2738450</v>
      </c>
      <c r="O1025" s="20">
        <v>0</v>
      </c>
      <c r="P1025" s="20">
        <v>0</v>
      </c>
      <c r="Q1025" s="20">
        <v>0</v>
      </c>
      <c r="R1025" s="20">
        <f t="shared" si="534"/>
        <v>0</v>
      </c>
      <c r="S1025" s="20">
        <v>0</v>
      </c>
      <c r="T1025" s="8">
        <v>0</v>
      </c>
      <c r="U1025" s="20">
        <v>200000</v>
      </c>
      <c r="V1025" s="1">
        <f t="shared" si="535"/>
        <v>5500</v>
      </c>
      <c r="W1025" s="17"/>
      <c r="X1025" s="17"/>
      <c r="Y1025" s="17"/>
      <c r="Z1025" s="17"/>
      <c r="AA1025" s="17"/>
      <c r="AB1025" s="17"/>
      <c r="AC1025" s="17"/>
      <c r="AD1025" s="17"/>
      <c r="AE1025" s="17"/>
      <c r="AF1025" s="17"/>
      <c r="AG1025" s="17"/>
      <c r="AH1025" s="17"/>
      <c r="AI1025" s="17"/>
      <c r="AJ1025" s="17"/>
      <c r="AK1025" s="17"/>
      <c r="AL1025" s="17"/>
      <c r="AM1025" s="17"/>
      <c r="AN1025" s="17"/>
      <c r="AO1025" s="17"/>
      <c r="AP1025" s="17"/>
      <c r="AQ1025" s="17"/>
      <c r="AR1025" s="17"/>
      <c r="AS1025" s="17"/>
      <c r="AT1025" s="17"/>
      <c r="AU1025" s="17"/>
      <c r="AV1025" s="17"/>
      <c r="AW1025" s="17"/>
      <c r="AX1025" s="17"/>
      <c r="AY1025" s="17"/>
      <c r="AZ1025" s="17"/>
      <c r="BA1025" s="17"/>
      <c r="BB1025" s="17"/>
      <c r="BC1025" s="17"/>
      <c r="BD1025" s="17"/>
      <c r="BE1025" s="17"/>
      <c r="BF1025" s="17"/>
      <c r="BG1025" s="17"/>
      <c r="BH1025" s="17"/>
      <c r="BI1025" s="17"/>
      <c r="BJ1025" s="17"/>
      <c r="BK1025" s="17"/>
      <c r="BL1025" s="17"/>
      <c r="BM1025" s="17"/>
      <c r="BN1025" s="17"/>
      <c r="BO1025" s="17"/>
      <c r="BP1025" s="17"/>
      <c r="BQ1025" s="17"/>
      <c r="BR1025" s="17"/>
      <c r="BS1025" s="17"/>
      <c r="BT1025" s="17"/>
      <c r="BU1025" s="17"/>
      <c r="BV1025" s="17"/>
      <c r="BW1025" s="17"/>
      <c r="BX1025" s="17"/>
      <c r="BY1025" s="17"/>
      <c r="BZ1025" s="17"/>
      <c r="CA1025" s="17"/>
      <c r="CB1025" s="17"/>
      <c r="CC1025" s="17"/>
      <c r="CD1025" s="17"/>
      <c r="CE1025" s="17"/>
      <c r="CF1025" s="17"/>
      <c r="CG1025" s="17"/>
      <c r="CH1025" s="17"/>
      <c r="CI1025" s="17"/>
      <c r="CJ1025" s="17"/>
      <c r="CK1025" s="17"/>
      <c r="CL1025" s="17"/>
      <c r="CM1025" s="17"/>
      <c r="CN1025" s="17"/>
      <c r="CO1025" s="17"/>
      <c r="CP1025" s="17"/>
      <c r="CQ1025" s="17"/>
      <c r="CR1025" s="17"/>
      <c r="CS1025" s="17"/>
      <c r="CT1025" s="17"/>
      <c r="CU1025" s="17"/>
      <c r="CV1025" s="17"/>
      <c r="CW1025" s="17"/>
      <c r="CX1025" s="17"/>
      <c r="CY1025" s="17"/>
      <c r="CZ1025" s="17"/>
      <c r="DA1025" s="17"/>
      <c r="DB1025" s="17"/>
      <c r="DC1025" s="17"/>
      <c r="DD1025" s="17"/>
      <c r="DE1025" s="17"/>
      <c r="DF1025" s="17"/>
      <c r="DG1025" s="17"/>
      <c r="DH1025" s="17"/>
      <c r="DI1025" s="17"/>
      <c r="DJ1025" s="17"/>
      <c r="DK1025" s="17"/>
      <c r="DL1025" s="17"/>
      <c r="DM1025" s="17"/>
      <c r="DN1025" s="17"/>
      <c r="DO1025" s="17"/>
      <c r="DP1025" s="17"/>
      <c r="DQ1025" s="17"/>
      <c r="DR1025" s="17"/>
      <c r="DS1025" s="17"/>
      <c r="DT1025" s="17"/>
      <c r="DU1025" s="17"/>
      <c r="DV1025" s="17"/>
      <c r="DW1025" s="17"/>
      <c r="DX1025" s="17"/>
      <c r="DY1025" s="17"/>
      <c r="DZ1025" s="17"/>
      <c r="EA1025" s="17"/>
      <c r="EB1025" s="17"/>
      <c r="EC1025" s="17"/>
      <c r="ED1025" s="17"/>
      <c r="EE1025" s="17"/>
      <c r="EF1025" s="17"/>
      <c r="EG1025" s="17"/>
      <c r="EH1025" s="17"/>
      <c r="EI1025" s="17"/>
      <c r="EJ1025" s="17"/>
      <c r="EK1025" s="17"/>
      <c r="EL1025" s="17"/>
      <c r="EM1025" s="17"/>
      <c r="EN1025" s="17"/>
      <c r="EO1025" s="17"/>
      <c r="EP1025" s="17"/>
      <c r="EQ1025" s="17"/>
      <c r="ER1025" s="17"/>
      <c r="ES1025" s="17"/>
      <c r="ET1025" s="17"/>
      <c r="EU1025" s="17"/>
      <c r="EV1025" s="17"/>
      <c r="EW1025" s="17"/>
      <c r="EX1025" s="17"/>
      <c r="EY1025" s="17"/>
      <c r="EZ1025" s="17"/>
      <c r="FA1025" s="17"/>
      <c r="FB1025" s="17"/>
      <c r="FC1025" s="17"/>
      <c r="FD1025" s="17"/>
      <c r="FE1025" s="17"/>
      <c r="FF1025" s="17"/>
      <c r="FG1025" s="17"/>
      <c r="FH1025" s="17"/>
      <c r="FI1025" s="17"/>
      <c r="FJ1025" s="17"/>
      <c r="FK1025" s="17"/>
      <c r="FL1025" s="17"/>
      <c r="FM1025" s="17"/>
      <c r="FN1025" s="17"/>
      <c r="FO1025" s="17"/>
      <c r="FP1025" s="17"/>
      <c r="FQ1025" s="17"/>
      <c r="FR1025" s="17"/>
      <c r="FS1025" s="17"/>
      <c r="FT1025" s="17"/>
      <c r="FU1025" s="17"/>
      <c r="FV1025" s="17"/>
      <c r="FW1025" s="17"/>
      <c r="FX1025" s="17"/>
      <c r="FY1025" s="17"/>
      <c r="FZ1025" s="17"/>
      <c r="GA1025" s="17"/>
      <c r="GB1025" s="17"/>
      <c r="GC1025" s="17"/>
      <c r="GD1025" s="17"/>
      <c r="GE1025" s="17"/>
      <c r="GF1025" s="17"/>
      <c r="GG1025" s="17"/>
      <c r="GH1025" s="17"/>
      <c r="GI1025" s="17"/>
      <c r="GJ1025" s="17"/>
      <c r="GK1025" s="17"/>
      <c r="GL1025" s="17"/>
      <c r="GM1025" s="17"/>
      <c r="GN1025" s="17"/>
      <c r="GO1025" s="17"/>
      <c r="GP1025" s="17"/>
      <c r="GQ1025" s="17"/>
      <c r="GR1025" s="17"/>
      <c r="GS1025" s="17"/>
      <c r="GT1025" s="17"/>
      <c r="GU1025" s="17"/>
      <c r="GV1025" s="17"/>
      <c r="GW1025" s="17"/>
      <c r="GX1025" s="17"/>
      <c r="GY1025" s="17"/>
      <c r="GZ1025" s="17"/>
      <c r="HA1025" s="17"/>
      <c r="HB1025" s="17"/>
      <c r="HC1025" s="17"/>
      <c r="HD1025" s="17"/>
      <c r="HE1025" s="17"/>
      <c r="HF1025" s="17"/>
      <c r="HG1025" s="17"/>
      <c r="HH1025" s="17"/>
      <c r="HI1025" s="17"/>
      <c r="HJ1025" s="17"/>
      <c r="HK1025" s="17"/>
      <c r="HL1025" s="17"/>
      <c r="HM1025" s="17"/>
      <c r="HN1025" s="17"/>
      <c r="HO1025" s="17"/>
      <c r="HP1025" s="17"/>
      <c r="HQ1025" s="17"/>
      <c r="HR1025" s="17"/>
      <c r="HS1025" s="17"/>
      <c r="HT1025" s="17"/>
      <c r="HU1025" s="17"/>
      <c r="HV1025" s="17"/>
      <c r="HW1025" s="17"/>
      <c r="HX1025" s="17"/>
      <c r="HY1025" s="17"/>
      <c r="HZ1025" s="17"/>
      <c r="IA1025" s="17"/>
      <c r="IB1025" s="17"/>
      <c r="IC1025" s="17"/>
      <c r="ID1025" s="17"/>
      <c r="IE1025" s="17"/>
      <c r="IF1025" s="17"/>
      <c r="IG1025" s="17"/>
      <c r="IH1025" s="17"/>
      <c r="II1025" s="17"/>
      <c r="IJ1025" s="17"/>
      <c r="IK1025" s="17"/>
      <c r="IL1025" s="17"/>
      <c r="IM1025" s="17"/>
      <c r="IN1025" s="17"/>
      <c r="IO1025" s="17"/>
      <c r="IP1025" s="17"/>
      <c r="IQ1025" s="17"/>
      <c r="IR1025" s="17"/>
      <c r="IS1025" s="17"/>
      <c r="IT1025" s="17"/>
      <c r="IU1025" s="17"/>
      <c r="IV1025" s="17"/>
      <c r="IW1025" s="17"/>
      <c r="IX1025" s="17"/>
    </row>
    <row r="1026" spans="1:258" ht="21.95" customHeight="1" x14ac:dyDescent="0.25">
      <c r="A1026" s="18" t="s">
        <v>1520</v>
      </c>
      <c r="B1026" s="25" t="s">
        <v>760</v>
      </c>
      <c r="C1026" s="12">
        <f t="shared" si="538"/>
        <v>1674000</v>
      </c>
      <c r="D1026" s="20">
        <f t="shared" si="536"/>
        <v>0</v>
      </c>
      <c r="E1026" s="20">
        <v>0</v>
      </c>
      <c r="F1026" s="20">
        <v>0</v>
      </c>
      <c r="G1026" s="20">
        <v>0</v>
      </c>
      <c r="H1026" s="20">
        <v>0</v>
      </c>
      <c r="I1026" s="20">
        <v>0</v>
      </c>
      <c r="J1026" s="20">
        <v>0</v>
      </c>
      <c r="K1026" s="21">
        <v>0</v>
      </c>
      <c r="L1026" s="20">
        <v>0</v>
      </c>
      <c r="M1026" s="20">
        <v>268</v>
      </c>
      <c r="N1026" s="20">
        <f t="shared" si="539"/>
        <v>1474000</v>
      </c>
      <c r="O1026" s="20">
        <v>0</v>
      </c>
      <c r="P1026" s="20">
        <v>0</v>
      </c>
      <c r="Q1026" s="20">
        <v>0</v>
      </c>
      <c r="R1026" s="20">
        <f t="shared" si="534"/>
        <v>0</v>
      </c>
      <c r="S1026" s="20">
        <v>0</v>
      </c>
      <c r="T1026" s="8">
        <v>0</v>
      </c>
      <c r="U1026" s="20">
        <v>200000</v>
      </c>
      <c r="V1026" s="1">
        <f t="shared" si="535"/>
        <v>5500</v>
      </c>
      <c r="W1026" s="17"/>
      <c r="X1026" s="17"/>
      <c r="Y1026" s="17"/>
      <c r="Z1026" s="17"/>
      <c r="AA1026" s="17"/>
      <c r="AB1026" s="17"/>
      <c r="AC1026" s="17"/>
      <c r="AD1026" s="17"/>
      <c r="AE1026" s="17"/>
      <c r="AF1026" s="17"/>
      <c r="AG1026" s="17"/>
      <c r="AH1026" s="17"/>
      <c r="AI1026" s="17"/>
      <c r="AJ1026" s="17"/>
      <c r="AK1026" s="17"/>
      <c r="AL1026" s="17"/>
      <c r="AM1026" s="17"/>
      <c r="AN1026" s="17"/>
      <c r="AO1026" s="17"/>
      <c r="AP1026" s="17"/>
      <c r="AQ1026" s="17"/>
      <c r="AR1026" s="17"/>
      <c r="AS1026" s="17"/>
      <c r="AT1026" s="17"/>
      <c r="AU1026" s="17"/>
      <c r="AV1026" s="17"/>
      <c r="AW1026" s="17"/>
      <c r="AX1026" s="17"/>
      <c r="AY1026" s="17"/>
      <c r="AZ1026" s="17"/>
      <c r="BA1026" s="17"/>
      <c r="BB1026" s="17"/>
      <c r="BC1026" s="17"/>
      <c r="BD1026" s="17"/>
      <c r="BE1026" s="17"/>
      <c r="BF1026" s="17"/>
      <c r="BG1026" s="17"/>
      <c r="BH1026" s="17"/>
      <c r="BI1026" s="17"/>
      <c r="BJ1026" s="17"/>
      <c r="BK1026" s="17"/>
      <c r="BL1026" s="17"/>
      <c r="BM1026" s="17"/>
      <c r="BN1026" s="17"/>
      <c r="BO1026" s="17"/>
      <c r="BP1026" s="17"/>
      <c r="BQ1026" s="17"/>
      <c r="BR1026" s="17"/>
      <c r="BS1026" s="17"/>
      <c r="BT1026" s="17"/>
      <c r="BU1026" s="17"/>
      <c r="BV1026" s="17"/>
      <c r="BW1026" s="17"/>
      <c r="BX1026" s="17"/>
      <c r="BY1026" s="17"/>
      <c r="BZ1026" s="17"/>
      <c r="CA1026" s="17"/>
      <c r="CB1026" s="17"/>
      <c r="CC1026" s="17"/>
      <c r="CD1026" s="17"/>
      <c r="CE1026" s="17"/>
      <c r="CF1026" s="17"/>
      <c r="CG1026" s="17"/>
      <c r="CH1026" s="17"/>
      <c r="CI1026" s="17"/>
      <c r="CJ1026" s="17"/>
      <c r="CK1026" s="17"/>
      <c r="CL1026" s="17"/>
      <c r="CM1026" s="17"/>
      <c r="CN1026" s="17"/>
      <c r="CO1026" s="17"/>
      <c r="CP1026" s="17"/>
      <c r="CQ1026" s="17"/>
      <c r="CR1026" s="17"/>
      <c r="CS1026" s="17"/>
      <c r="CT1026" s="17"/>
      <c r="CU1026" s="17"/>
      <c r="CV1026" s="17"/>
      <c r="CW1026" s="17"/>
      <c r="CX1026" s="17"/>
      <c r="CY1026" s="17"/>
      <c r="CZ1026" s="17"/>
      <c r="DA1026" s="17"/>
      <c r="DB1026" s="17"/>
      <c r="DC1026" s="17"/>
      <c r="DD1026" s="17"/>
      <c r="DE1026" s="17"/>
      <c r="DF1026" s="17"/>
      <c r="DG1026" s="17"/>
      <c r="DH1026" s="17"/>
      <c r="DI1026" s="17"/>
      <c r="DJ1026" s="17"/>
      <c r="DK1026" s="17"/>
      <c r="DL1026" s="17"/>
      <c r="DM1026" s="17"/>
      <c r="DN1026" s="17"/>
      <c r="DO1026" s="17"/>
      <c r="DP1026" s="17"/>
      <c r="DQ1026" s="17"/>
      <c r="DR1026" s="17"/>
      <c r="DS1026" s="17"/>
      <c r="DT1026" s="17"/>
      <c r="DU1026" s="17"/>
      <c r="DV1026" s="17"/>
      <c r="DW1026" s="17"/>
      <c r="DX1026" s="17"/>
      <c r="DY1026" s="17"/>
      <c r="DZ1026" s="17"/>
      <c r="EA1026" s="17"/>
      <c r="EB1026" s="17"/>
      <c r="EC1026" s="17"/>
      <c r="ED1026" s="17"/>
      <c r="EE1026" s="17"/>
      <c r="EF1026" s="17"/>
      <c r="EG1026" s="17"/>
      <c r="EH1026" s="17"/>
      <c r="EI1026" s="17"/>
      <c r="EJ1026" s="17"/>
      <c r="EK1026" s="17"/>
      <c r="EL1026" s="17"/>
      <c r="EM1026" s="17"/>
      <c r="EN1026" s="17"/>
      <c r="EO1026" s="17"/>
      <c r="EP1026" s="17"/>
      <c r="EQ1026" s="17"/>
      <c r="ER1026" s="17"/>
      <c r="ES1026" s="17"/>
      <c r="ET1026" s="17"/>
      <c r="EU1026" s="17"/>
      <c r="EV1026" s="17"/>
      <c r="EW1026" s="17"/>
      <c r="EX1026" s="17"/>
      <c r="EY1026" s="17"/>
      <c r="EZ1026" s="17"/>
      <c r="FA1026" s="17"/>
      <c r="FB1026" s="17"/>
      <c r="FC1026" s="17"/>
      <c r="FD1026" s="17"/>
      <c r="FE1026" s="17"/>
      <c r="FF1026" s="17"/>
      <c r="FG1026" s="17"/>
      <c r="FH1026" s="17"/>
      <c r="FI1026" s="17"/>
      <c r="FJ1026" s="17"/>
      <c r="FK1026" s="17"/>
      <c r="FL1026" s="17"/>
      <c r="FM1026" s="17"/>
      <c r="FN1026" s="17"/>
      <c r="FO1026" s="17"/>
      <c r="FP1026" s="17"/>
      <c r="FQ1026" s="17"/>
      <c r="FR1026" s="17"/>
      <c r="FS1026" s="17"/>
      <c r="FT1026" s="17"/>
      <c r="FU1026" s="17"/>
      <c r="FV1026" s="17"/>
      <c r="FW1026" s="17"/>
      <c r="FX1026" s="17"/>
      <c r="FY1026" s="17"/>
      <c r="FZ1026" s="17"/>
      <c r="GA1026" s="17"/>
      <c r="GB1026" s="17"/>
      <c r="GC1026" s="17"/>
      <c r="GD1026" s="17"/>
      <c r="GE1026" s="17"/>
      <c r="GF1026" s="17"/>
      <c r="GG1026" s="17"/>
      <c r="GH1026" s="17"/>
      <c r="GI1026" s="17"/>
      <c r="GJ1026" s="17"/>
      <c r="GK1026" s="17"/>
      <c r="GL1026" s="17"/>
      <c r="GM1026" s="17"/>
      <c r="GN1026" s="17"/>
      <c r="GO1026" s="17"/>
      <c r="GP1026" s="17"/>
      <c r="GQ1026" s="17"/>
      <c r="GR1026" s="17"/>
      <c r="GS1026" s="17"/>
      <c r="GT1026" s="17"/>
      <c r="GU1026" s="17"/>
      <c r="GV1026" s="17"/>
      <c r="GW1026" s="17"/>
      <c r="GX1026" s="17"/>
      <c r="GY1026" s="17"/>
      <c r="GZ1026" s="17"/>
      <c r="HA1026" s="17"/>
      <c r="HB1026" s="17"/>
      <c r="HC1026" s="17"/>
      <c r="HD1026" s="17"/>
      <c r="HE1026" s="17"/>
      <c r="HF1026" s="17"/>
      <c r="HG1026" s="17"/>
      <c r="HH1026" s="17"/>
      <c r="HI1026" s="17"/>
      <c r="HJ1026" s="17"/>
      <c r="HK1026" s="17"/>
      <c r="HL1026" s="17"/>
      <c r="HM1026" s="17"/>
      <c r="HN1026" s="17"/>
      <c r="HO1026" s="17"/>
      <c r="HP1026" s="17"/>
      <c r="HQ1026" s="17"/>
      <c r="HR1026" s="17"/>
      <c r="HS1026" s="17"/>
      <c r="HT1026" s="17"/>
      <c r="HU1026" s="17"/>
      <c r="HV1026" s="17"/>
      <c r="HW1026" s="17"/>
      <c r="HX1026" s="17"/>
      <c r="HY1026" s="17"/>
      <c r="HZ1026" s="17"/>
      <c r="IA1026" s="17"/>
      <c r="IB1026" s="17"/>
      <c r="IC1026" s="17"/>
      <c r="ID1026" s="17"/>
      <c r="IE1026" s="17"/>
      <c r="IF1026" s="17"/>
      <c r="IG1026" s="17"/>
      <c r="IH1026" s="17"/>
      <c r="II1026" s="17"/>
      <c r="IJ1026" s="17"/>
      <c r="IK1026" s="17"/>
      <c r="IL1026" s="17"/>
      <c r="IM1026" s="17"/>
      <c r="IN1026" s="17"/>
      <c r="IO1026" s="17"/>
      <c r="IP1026" s="17"/>
      <c r="IQ1026" s="17"/>
      <c r="IR1026" s="17"/>
      <c r="IS1026" s="17"/>
      <c r="IT1026" s="17"/>
      <c r="IU1026" s="17"/>
      <c r="IV1026" s="17"/>
      <c r="IW1026" s="17"/>
      <c r="IX1026" s="17"/>
    </row>
    <row r="1027" spans="1:258" ht="21.95" customHeight="1" x14ac:dyDescent="0.25">
      <c r="A1027" s="18" t="s">
        <v>1521</v>
      </c>
      <c r="B1027" s="25" t="s">
        <v>761</v>
      </c>
      <c r="C1027" s="12">
        <f t="shared" si="538"/>
        <v>1756500</v>
      </c>
      <c r="D1027" s="20">
        <f t="shared" si="536"/>
        <v>0</v>
      </c>
      <c r="E1027" s="20">
        <v>0</v>
      </c>
      <c r="F1027" s="20">
        <v>0</v>
      </c>
      <c r="G1027" s="20">
        <v>0</v>
      </c>
      <c r="H1027" s="20">
        <v>0</v>
      </c>
      <c r="I1027" s="20">
        <v>0</v>
      </c>
      <c r="J1027" s="20">
        <v>0</v>
      </c>
      <c r="K1027" s="21">
        <v>0</v>
      </c>
      <c r="L1027" s="20">
        <v>0</v>
      </c>
      <c r="M1027" s="8">
        <v>283</v>
      </c>
      <c r="N1027" s="20">
        <f t="shared" si="539"/>
        <v>1556500</v>
      </c>
      <c r="O1027" s="20">
        <v>0</v>
      </c>
      <c r="P1027" s="20">
        <v>0</v>
      </c>
      <c r="Q1027" s="20">
        <v>0</v>
      </c>
      <c r="R1027" s="20">
        <f t="shared" si="534"/>
        <v>0</v>
      </c>
      <c r="S1027" s="20">
        <v>0</v>
      </c>
      <c r="T1027" s="8">
        <v>0</v>
      </c>
      <c r="U1027" s="20">
        <v>200000</v>
      </c>
      <c r="V1027" s="1">
        <f t="shared" si="535"/>
        <v>5500</v>
      </c>
    </row>
    <row r="1028" spans="1:258" ht="21.95" customHeight="1" x14ac:dyDescent="0.25">
      <c r="A1028" s="18" t="s">
        <v>1522</v>
      </c>
      <c r="B1028" s="25" t="s">
        <v>762</v>
      </c>
      <c r="C1028" s="12">
        <f t="shared" si="538"/>
        <v>1652000</v>
      </c>
      <c r="D1028" s="20">
        <f t="shared" si="536"/>
        <v>0</v>
      </c>
      <c r="E1028" s="20">
        <v>0</v>
      </c>
      <c r="F1028" s="20">
        <v>0</v>
      </c>
      <c r="G1028" s="20">
        <v>0</v>
      </c>
      <c r="H1028" s="20">
        <v>0</v>
      </c>
      <c r="I1028" s="20">
        <v>0</v>
      </c>
      <c r="J1028" s="20">
        <v>0</v>
      </c>
      <c r="K1028" s="21">
        <v>0</v>
      </c>
      <c r="L1028" s="20">
        <v>0</v>
      </c>
      <c r="M1028" s="8">
        <v>264</v>
      </c>
      <c r="N1028" s="20">
        <f t="shared" si="539"/>
        <v>1452000</v>
      </c>
      <c r="O1028" s="20">
        <v>0</v>
      </c>
      <c r="P1028" s="20">
        <v>0</v>
      </c>
      <c r="Q1028" s="20">
        <v>0</v>
      </c>
      <c r="R1028" s="20">
        <f t="shared" si="534"/>
        <v>0</v>
      </c>
      <c r="S1028" s="20">
        <v>0</v>
      </c>
      <c r="T1028" s="8">
        <v>0</v>
      </c>
      <c r="U1028" s="20">
        <v>200000</v>
      </c>
      <c r="V1028" s="1">
        <f t="shared" si="535"/>
        <v>5500</v>
      </c>
    </row>
    <row r="1029" spans="1:258" ht="21.95" customHeight="1" x14ac:dyDescent="0.25">
      <c r="A1029" s="18" t="s">
        <v>1523</v>
      </c>
      <c r="B1029" s="25" t="s">
        <v>763</v>
      </c>
      <c r="C1029" s="12">
        <f t="shared" si="538"/>
        <v>1370000</v>
      </c>
      <c r="D1029" s="20">
        <f t="shared" si="536"/>
        <v>0</v>
      </c>
      <c r="E1029" s="20">
        <v>0</v>
      </c>
      <c r="F1029" s="20">
        <v>0</v>
      </c>
      <c r="G1029" s="20">
        <v>0</v>
      </c>
      <c r="H1029" s="20">
        <v>0</v>
      </c>
      <c r="I1029" s="20">
        <v>0</v>
      </c>
      <c r="J1029" s="20">
        <v>0</v>
      </c>
      <c r="K1029" s="9">
        <v>0</v>
      </c>
      <c r="L1029" s="8">
        <v>0</v>
      </c>
      <c r="M1029" s="8">
        <v>0</v>
      </c>
      <c r="N1029" s="8">
        <v>0</v>
      </c>
      <c r="O1029" s="8">
        <v>0</v>
      </c>
      <c r="P1029" s="8">
        <v>0</v>
      </c>
      <c r="Q1029" s="8">
        <v>390</v>
      </c>
      <c r="R1029" s="20">
        <f t="shared" si="534"/>
        <v>1170000</v>
      </c>
      <c r="S1029" s="8">
        <v>0</v>
      </c>
      <c r="T1029" s="8">
        <v>0</v>
      </c>
      <c r="U1029" s="8">
        <v>200000</v>
      </c>
      <c r="V1029" s="1" t="e">
        <f t="shared" si="535"/>
        <v>#DIV/0!</v>
      </c>
    </row>
    <row r="1030" spans="1:258" ht="21.95" customHeight="1" x14ac:dyDescent="0.25">
      <c r="A1030" s="18" t="s">
        <v>1524</v>
      </c>
      <c r="B1030" s="25" t="s">
        <v>764</v>
      </c>
      <c r="C1030" s="12">
        <f t="shared" si="538"/>
        <v>1280000</v>
      </c>
      <c r="D1030" s="20">
        <f t="shared" si="536"/>
        <v>0</v>
      </c>
      <c r="E1030" s="20">
        <v>0</v>
      </c>
      <c r="F1030" s="20">
        <v>0</v>
      </c>
      <c r="G1030" s="20">
        <v>0</v>
      </c>
      <c r="H1030" s="20">
        <v>0</v>
      </c>
      <c r="I1030" s="20">
        <v>0</v>
      </c>
      <c r="J1030" s="20">
        <v>0</v>
      </c>
      <c r="K1030" s="21">
        <v>0</v>
      </c>
      <c r="L1030" s="20">
        <v>0</v>
      </c>
      <c r="M1030" s="8">
        <v>0</v>
      </c>
      <c r="N1030" s="8">
        <v>0</v>
      </c>
      <c r="O1030" s="20">
        <v>0</v>
      </c>
      <c r="P1030" s="20">
        <v>0</v>
      </c>
      <c r="Q1030" s="20">
        <v>360</v>
      </c>
      <c r="R1030" s="20">
        <f t="shared" si="534"/>
        <v>1080000</v>
      </c>
      <c r="S1030" s="20">
        <v>0</v>
      </c>
      <c r="T1030" s="8">
        <v>0</v>
      </c>
      <c r="U1030" s="20">
        <v>200000</v>
      </c>
      <c r="V1030" s="1" t="e">
        <f t="shared" si="535"/>
        <v>#DIV/0!</v>
      </c>
      <c r="W1030" s="47"/>
      <c r="X1030" s="47"/>
      <c r="Y1030" s="47"/>
      <c r="Z1030" s="47"/>
      <c r="AA1030" s="47"/>
      <c r="AB1030" s="47"/>
      <c r="AC1030" s="47"/>
      <c r="AD1030" s="47"/>
      <c r="AE1030" s="47"/>
      <c r="AF1030" s="47"/>
      <c r="AG1030" s="47"/>
      <c r="AH1030" s="47"/>
      <c r="AI1030" s="47"/>
      <c r="AJ1030" s="47"/>
      <c r="AK1030" s="47"/>
      <c r="AL1030" s="47"/>
      <c r="AM1030" s="47"/>
      <c r="AN1030" s="47"/>
      <c r="AO1030" s="47"/>
      <c r="AP1030" s="47"/>
      <c r="AQ1030" s="47"/>
      <c r="AR1030" s="47"/>
      <c r="AS1030" s="47"/>
      <c r="AT1030" s="47"/>
      <c r="AU1030" s="47"/>
      <c r="AV1030" s="47"/>
      <c r="AW1030" s="47"/>
      <c r="AX1030" s="47"/>
      <c r="AY1030" s="47"/>
      <c r="AZ1030" s="47"/>
      <c r="BA1030" s="47"/>
      <c r="BB1030" s="47"/>
      <c r="BC1030" s="47"/>
      <c r="BD1030" s="47"/>
      <c r="BE1030" s="47"/>
      <c r="BF1030" s="47"/>
      <c r="BG1030" s="47"/>
      <c r="BH1030" s="47"/>
      <c r="BI1030" s="47"/>
      <c r="BJ1030" s="47"/>
      <c r="BK1030" s="47"/>
      <c r="BL1030" s="47"/>
      <c r="BM1030" s="47"/>
      <c r="BN1030" s="47"/>
      <c r="BO1030" s="47"/>
      <c r="BP1030" s="47"/>
      <c r="BQ1030" s="47"/>
      <c r="BR1030" s="47"/>
      <c r="BS1030" s="47"/>
      <c r="BT1030" s="47"/>
      <c r="BU1030" s="47"/>
      <c r="BV1030" s="47"/>
      <c r="BW1030" s="47"/>
      <c r="BX1030" s="47"/>
      <c r="BY1030" s="47"/>
      <c r="BZ1030" s="47"/>
      <c r="CA1030" s="47"/>
      <c r="CB1030" s="47"/>
      <c r="CC1030" s="47"/>
      <c r="CD1030" s="47"/>
      <c r="CE1030" s="47"/>
      <c r="CF1030" s="47"/>
      <c r="CG1030" s="47"/>
      <c r="CH1030" s="47"/>
      <c r="CI1030" s="47"/>
      <c r="CJ1030" s="47"/>
      <c r="CK1030" s="47"/>
      <c r="CL1030" s="47"/>
      <c r="CM1030" s="47"/>
      <c r="CN1030" s="47"/>
      <c r="CO1030" s="47"/>
      <c r="CP1030" s="47"/>
      <c r="CQ1030" s="47"/>
      <c r="CR1030" s="47"/>
      <c r="CS1030" s="47"/>
      <c r="CT1030" s="47"/>
      <c r="CU1030" s="47"/>
      <c r="CV1030" s="47"/>
      <c r="CW1030" s="47"/>
      <c r="CX1030" s="47"/>
      <c r="CY1030" s="47"/>
      <c r="CZ1030" s="47"/>
      <c r="DA1030" s="47"/>
      <c r="DB1030" s="47"/>
      <c r="DC1030" s="47"/>
      <c r="DD1030" s="47"/>
      <c r="DE1030" s="47"/>
      <c r="DF1030" s="47"/>
      <c r="DG1030" s="47"/>
      <c r="DH1030" s="47"/>
      <c r="DI1030" s="47"/>
      <c r="DJ1030" s="47"/>
      <c r="DK1030" s="47"/>
      <c r="DL1030" s="47"/>
      <c r="DM1030" s="47"/>
      <c r="DN1030" s="47"/>
      <c r="DO1030" s="47"/>
      <c r="DP1030" s="47"/>
      <c r="DQ1030" s="47"/>
      <c r="DR1030" s="47"/>
      <c r="DS1030" s="47"/>
      <c r="DT1030" s="47"/>
      <c r="DU1030" s="47"/>
      <c r="DV1030" s="47"/>
      <c r="DW1030" s="47"/>
      <c r="DX1030" s="47"/>
      <c r="DY1030" s="47"/>
      <c r="DZ1030" s="47"/>
      <c r="EA1030" s="47"/>
      <c r="EB1030" s="47"/>
      <c r="EC1030" s="47"/>
      <c r="ED1030" s="47"/>
      <c r="EE1030" s="47"/>
      <c r="EF1030" s="47"/>
      <c r="EG1030" s="47"/>
      <c r="EH1030" s="47"/>
      <c r="EI1030" s="47"/>
      <c r="EJ1030" s="47"/>
      <c r="EK1030" s="47"/>
      <c r="EL1030" s="47"/>
      <c r="EM1030" s="47"/>
      <c r="EN1030" s="47"/>
      <c r="EO1030" s="47"/>
      <c r="EP1030" s="47"/>
      <c r="EQ1030" s="47"/>
      <c r="ER1030" s="47"/>
      <c r="ES1030" s="47"/>
      <c r="ET1030" s="47"/>
      <c r="EU1030" s="47"/>
      <c r="EV1030" s="47"/>
      <c r="EW1030" s="47"/>
      <c r="EX1030" s="47"/>
      <c r="EY1030" s="47"/>
      <c r="EZ1030" s="47"/>
      <c r="FA1030" s="47"/>
      <c r="FB1030" s="47"/>
      <c r="FC1030" s="47"/>
      <c r="FD1030" s="47"/>
      <c r="FE1030" s="47"/>
      <c r="FF1030" s="47"/>
      <c r="FG1030" s="47"/>
      <c r="FH1030" s="47"/>
      <c r="FI1030" s="47"/>
      <c r="FJ1030" s="47"/>
      <c r="FK1030" s="47"/>
      <c r="FL1030" s="47"/>
      <c r="FM1030" s="47"/>
      <c r="FN1030" s="47"/>
      <c r="FO1030" s="47"/>
      <c r="FP1030" s="47"/>
      <c r="FQ1030" s="47"/>
      <c r="FR1030" s="47"/>
      <c r="FS1030" s="47"/>
      <c r="FT1030" s="47"/>
      <c r="FU1030" s="47"/>
      <c r="FV1030" s="47"/>
      <c r="FW1030" s="47"/>
      <c r="FX1030" s="47"/>
      <c r="FY1030" s="47"/>
      <c r="FZ1030" s="47"/>
      <c r="GA1030" s="47"/>
      <c r="GB1030" s="47"/>
      <c r="GC1030" s="47"/>
      <c r="GD1030" s="47"/>
      <c r="GE1030" s="47"/>
      <c r="GF1030" s="47"/>
      <c r="GG1030" s="47"/>
      <c r="GH1030" s="47"/>
      <c r="GI1030" s="47"/>
      <c r="GJ1030" s="47"/>
      <c r="GK1030" s="47"/>
      <c r="GL1030" s="47"/>
      <c r="GM1030" s="47"/>
      <c r="GN1030" s="47"/>
      <c r="GO1030" s="47"/>
      <c r="GP1030" s="47"/>
      <c r="GQ1030" s="47"/>
      <c r="GR1030" s="47"/>
      <c r="GS1030" s="47"/>
      <c r="GT1030" s="47"/>
      <c r="GU1030" s="47"/>
      <c r="GV1030" s="47"/>
      <c r="GW1030" s="47"/>
      <c r="GX1030" s="47"/>
      <c r="GY1030" s="47"/>
      <c r="GZ1030" s="47"/>
      <c r="HA1030" s="47"/>
      <c r="HB1030" s="47"/>
      <c r="HC1030" s="47"/>
      <c r="HD1030" s="47"/>
      <c r="HE1030" s="47"/>
      <c r="HF1030" s="47"/>
      <c r="HG1030" s="47"/>
      <c r="HH1030" s="47"/>
      <c r="HI1030" s="47"/>
      <c r="HJ1030" s="47"/>
      <c r="HK1030" s="47"/>
      <c r="HL1030" s="47"/>
      <c r="HM1030" s="47"/>
      <c r="HN1030" s="47"/>
      <c r="HO1030" s="47"/>
      <c r="HP1030" s="47"/>
      <c r="HQ1030" s="47"/>
      <c r="HR1030" s="47"/>
      <c r="HS1030" s="47"/>
      <c r="HT1030" s="47"/>
      <c r="HU1030" s="47"/>
      <c r="HV1030" s="47"/>
      <c r="HW1030" s="47"/>
      <c r="HX1030" s="47"/>
      <c r="HY1030" s="47"/>
      <c r="HZ1030" s="47"/>
      <c r="IA1030" s="47"/>
      <c r="IB1030" s="47"/>
      <c r="IC1030" s="47"/>
      <c r="ID1030" s="47"/>
      <c r="IE1030" s="47"/>
      <c r="IF1030" s="47"/>
      <c r="IG1030" s="47"/>
      <c r="IH1030" s="47"/>
      <c r="II1030" s="47"/>
      <c r="IJ1030" s="47"/>
      <c r="IK1030" s="47"/>
      <c r="IL1030" s="47"/>
      <c r="IM1030" s="47"/>
      <c r="IN1030" s="47"/>
      <c r="IO1030" s="47"/>
      <c r="IP1030" s="47"/>
      <c r="IQ1030" s="47"/>
      <c r="IR1030" s="47"/>
      <c r="IS1030" s="47"/>
      <c r="IT1030" s="47"/>
      <c r="IU1030" s="47"/>
      <c r="IV1030" s="47"/>
      <c r="IW1030" s="47"/>
      <c r="IX1030" s="47"/>
    </row>
    <row r="1031" spans="1:258" ht="21.95" customHeight="1" x14ac:dyDescent="0.25">
      <c r="A1031" s="18" t="s">
        <v>1525</v>
      </c>
      <c r="B1031" s="25" t="s">
        <v>765</v>
      </c>
      <c r="C1031" s="12">
        <f t="shared" si="538"/>
        <v>2191550</v>
      </c>
      <c r="D1031" s="20">
        <f t="shared" si="536"/>
        <v>0</v>
      </c>
      <c r="E1031" s="20">
        <v>0</v>
      </c>
      <c r="F1031" s="20">
        <v>0</v>
      </c>
      <c r="G1031" s="20">
        <v>0</v>
      </c>
      <c r="H1031" s="20">
        <v>0</v>
      </c>
      <c r="I1031" s="20">
        <v>0</v>
      </c>
      <c r="J1031" s="20">
        <v>0</v>
      </c>
      <c r="K1031" s="21">
        <v>0</v>
      </c>
      <c r="L1031" s="20">
        <v>0</v>
      </c>
      <c r="M1031" s="8">
        <v>362.1</v>
      </c>
      <c r="N1031" s="20">
        <f t="shared" ref="N1031:N1040" si="540">M1031*5500</f>
        <v>1991550.0000000002</v>
      </c>
      <c r="O1031" s="20">
        <v>0</v>
      </c>
      <c r="P1031" s="20">
        <v>0</v>
      </c>
      <c r="Q1031" s="20">
        <v>0</v>
      </c>
      <c r="R1031" s="20">
        <f t="shared" si="534"/>
        <v>0</v>
      </c>
      <c r="S1031" s="20">
        <v>0</v>
      </c>
      <c r="T1031" s="8">
        <v>0</v>
      </c>
      <c r="U1031" s="20">
        <v>200000</v>
      </c>
      <c r="V1031" s="1">
        <f t="shared" si="535"/>
        <v>5500</v>
      </c>
      <c r="W1031" s="47"/>
      <c r="X1031" s="47"/>
      <c r="Y1031" s="47"/>
      <c r="Z1031" s="47"/>
      <c r="AA1031" s="47"/>
      <c r="AB1031" s="47"/>
      <c r="AC1031" s="47"/>
      <c r="AD1031" s="47"/>
      <c r="AE1031" s="47"/>
      <c r="AF1031" s="47"/>
      <c r="AG1031" s="47"/>
      <c r="AH1031" s="47"/>
      <c r="AI1031" s="47"/>
      <c r="AJ1031" s="47"/>
      <c r="AK1031" s="47"/>
      <c r="AL1031" s="47"/>
      <c r="AM1031" s="47"/>
      <c r="AN1031" s="47"/>
      <c r="AO1031" s="47"/>
      <c r="AP1031" s="47"/>
      <c r="AQ1031" s="47"/>
      <c r="AR1031" s="47"/>
      <c r="AS1031" s="47"/>
      <c r="AT1031" s="47"/>
      <c r="AU1031" s="47"/>
      <c r="AV1031" s="47"/>
      <c r="AW1031" s="47"/>
      <c r="AX1031" s="47"/>
      <c r="AY1031" s="47"/>
      <c r="AZ1031" s="47"/>
      <c r="BA1031" s="47"/>
      <c r="BB1031" s="47"/>
      <c r="BC1031" s="47"/>
      <c r="BD1031" s="47"/>
      <c r="BE1031" s="47"/>
      <c r="BF1031" s="47"/>
      <c r="BG1031" s="47"/>
      <c r="BH1031" s="47"/>
      <c r="BI1031" s="47"/>
      <c r="BJ1031" s="47"/>
      <c r="BK1031" s="47"/>
      <c r="BL1031" s="47"/>
      <c r="BM1031" s="47"/>
      <c r="BN1031" s="47"/>
      <c r="BO1031" s="47"/>
      <c r="BP1031" s="47"/>
      <c r="BQ1031" s="47"/>
      <c r="BR1031" s="47"/>
      <c r="BS1031" s="47"/>
      <c r="BT1031" s="47"/>
      <c r="BU1031" s="47"/>
      <c r="BV1031" s="47"/>
      <c r="BW1031" s="47"/>
      <c r="BX1031" s="47"/>
      <c r="BY1031" s="47"/>
      <c r="BZ1031" s="47"/>
      <c r="CA1031" s="47"/>
      <c r="CB1031" s="47"/>
      <c r="CC1031" s="47"/>
      <c r="CD1031" s="47"/>
      <c r="CE1031" s="47"/>
      <c r="CF1031" s="47"/>
      <c r="CG1031" s="47"/>
      <c r="CH1031" s="47"/>
      <c r="CI1031" s="47"/>
      <c r="CJ1031" s="47"/>
      <c r="CK1031" s="47"/>
      <c r="CL1031" s="47"/>
      <c r="CM1031" s="47"/>
      <c r="CN1031" s="47"/>
      <c r="CO1031" s="47"/>
      <c r="CP1031" s="47"/>
      <c r="CQ1031" s="47"/>
      <c r="CR1031" s="47"/>
      <c r="CS1031" s="47"/>
      <c r="CT1031" s="47"/>
      <c r="CU1031" s="47"/>
      <c r="CV1031" s="47"/>
      <c r="CW1031" s="47"/>
      <c r="CX1031" s="47"/>
      <c r="CY1031" s="47"/>
      <c r="CZ1031" s="47"/>
      <c r="DA1031" s="47"/>
      <c r="DB1031" s="47"/>
      <c r="DC1031" s="47"/>
      <c r="DD1031" s="47"/>
      <c r="DE1031" s="47"/>
      <c r="DF1031" s="47"/>
      <c r="DG1031" s="47"/>
      <c r="DH1031" s="47"/>
      <c r="DI1031" s="47"/>
      <c r="DJ1031" s="47"/>
      <c r="DK1031" s="47"/>
      <c r="DL1031" s="47"/>
      <c r="DM1031" s="47"/>
      <c r="DN1031" s="47"/>
      <c r="DO1031" s="47"/>
      <c r="DP1031" s="47"/>
      <c r="DQ1031" s="47"/>
      <c r="DR1031" s="47"/>
      <c r="DS1031" s="47"/>
      <c r="DT1031" s="47"/>
      <c r="DU1031" s="47"/>
      <c r="DV1031" s="47"/>
      <c r="DW1031" s="47"/>
      <c r="DX1031" s="47"/>
      <c r="DY1031" s="47"/>
      <c r="DZ1031" s="47"/>
      <c r="EA1031" s="47"/>
      <c r="EB1031" s="47"/>
      <c r="EC1031" s="47"/>
      <c r="ED1031" s="47"/>
      <c r="EE1031" s="47"/>
      <c r="EF1031" s="47"/>
      <c r="EG1031" s="47"/>
      <c r="EH1031" s="47"/>
      <c r="EI1031" s="47"/>
      <c r="EJ1031" s="47"/>
      <c r="EK1031" s="47"/>
      <c r="EL1031" s="47"/>
      <c r="EM1031" s="47"/>
      <c r="EN1031" s="47"/>
      <c r="EO1031" s="47"/>
      <c r="EP1031" s="47"/>
      <c r="EQ1031" s="47"/>
      <c r="ER1031" s="47"/>
      <c r="ES1031" s="47"/>
      <c r="ET1031" s="47"/>
      <c r="EU1031" s="47"/>
      <c r="EV1031" s="47"/>
      <c r="EW1031" s="47"/>
      <c r="EX1031" s="47"/>
      <c r="EY1031" s="47"/>
      <c r="EZ1031" s="47"/>
      <c r="FA1031" s="47"/>
      <c r="FB1031" s="47"/>
      <c r="FC1031" s="47"/>
      <c r="FD1031" s="47"/>
      <c r="FE1031" s="47"/>
      <c r="FF1031" s="47"/>
      <c r="FG1031" s="47"/>
      <c r="FH1031" s="47"/>
      <c r="FI1031" s="47"/>
      <c r="FJ1031" s="47"/>
      <c r="FK1031" s="47"/>
      <c r="FL1031" s="47"/>
      <c r="FM1031" s="47"/>
      <c r="FN1031" s="47"/>
      <c r="FO1031" s="47"/>
      <c r="FP1031" s="47"/>
      <c r="FQ1031" s="47"/>
      <c r="FR1031" s="47"/>
      <c r="FS1031" s="47"/>
      <c r="FT1031" s="47"/>
      <c r="FU1031" s="47"/>
      <c r="FV1031" s="47"/>
      <c r="FW1031" s="47"/>
      <c r="FX1031" s="47"/>
      <c r="FY1031" s="47"/>
      <c r="FZ1031" s="47"/>
      <c r="GA1031" s="47"/>
      <c r="GB1031" s="47"/>
      <c r="GC1031" s="47"/>
      <c r="GD1031" s="47"/>
      <c r="GE1031" s="47"/>
      <c r="GF1031" s="47"/>
      <c r="GG1031" s="47"/>
      <c r="GH1031" s="47"/>
      <c r="GI1031" s="47"/>
      <c r="GJ1031" s="47"/>
      <c r="GK1031" s="47"/>
      <c r="GL1031" s="47"/>
      <c r="GM1031" s="47"/>
      <c r="GN1031" s="47"/>
      <c r="GO1031" s="47"/>
      <c r="GP1031" s="47"/>
      <c r="GQ1031" s="47"/>
      <c r="GR1031" s="47"/>
      <c r="GS1031" s="47"/>
      <c r="GT1031" s="47"/>
      <c r="GU1031" s="47"/>
      <c r="GV1031" s="47"/>
      <c r="GW1031" s="47"/>
      <c r="GX1031" s="47"/>
      <c r="GY1031" s="47"/>
      <c r="GZ1031" s="47"/>
      <c r="HA1031" s="47"/>
      <c r="HB1031" s="47"/>
      <c r="HC1031" s="47"/>
      <c r="HD1031" s="47"/>
      <c r="HE1031" s="47"/>
      <c r="HF1031" s="47"/>
      <c r="HG1031" s="47"/>
      <c r="HH1031" s="47"/>
      <c r="HI1031" s="47"/>
      <c r="HJ1031" s="47"/>
      <c r="HK1031" s="47"/>
      <c r="HL1031" s="47"/>
      <c r="HM1031" s="47"/>
      <c r="HN1031" s="47"/>
      <c r="HO1031" s="47"/>
      <c r="HP1031" s="47"/>
      <c r="HQ1031" s="47"/>
      <c r="HR1031" s="47"/>
      <c r="HS1031" s="47"/>
      <c r="HT1031" s="47"/>
      <c r="HU1031" s="47"/>
      <c r="HV1031" s="47"/>
      <c r="HW1031" s="47"/>
      <c r="HX1031" s="47"/>
      <c r="HY1031" s="47"/>
      <c r="HZ1031" s="47"/>
      <c r="IA1031" s="47"/>
      <c r="IB1031" s="47"/>
      <c r="IC1031" s="47"/>
      <c r="ID1031" s="47"/>
      <c r="IE1031" s="47"/>
      <c r="IF1031" s="47"/>
      <c r="IG1031" s="47"/>
      <c r="IH1031" s="47"/>
      <c r="II1031" s="47"/>
      <c r="IJ1031" s="47"/>
      <c r="IK1031" s="47"/>
      <c r="IL1031" s="47"/>
      <c r="IM1031" s="47"/>
      <c r="IN1031" s="47"/>
      <c r="IO1031" s="47"/>
      <c r="IP1031" s="47"/>
      <c r="IQ1031" s="47"/>
      <c r="IR1031" s="47"/>
      <c r="IS1031" s="47"/>
      <c r="IT1031" s="47"/>
      <c r="IU1031" s="47"/>
      <c r="IV1031" s="47"/>
      <c r="IW1031" s="47"/>
      <c r="IX1031" s="47"/>
    </row>
    <row r="1032" spans="1:258" ht="21.95" customHeight="1" x14ac:dyDescent="0.25">
      <c r="A1032" s="18" t="s">
        <v>1526</v>
      </c>
      <c r="B1032" s="25" t="s">
        <v>766</v>
      </c>
      <c r="C1032" s="12">
        <f t="shared" si="538"/>
        <v>1555750</v>
      </c>
      <c r="D1032" s="20">
        <f t="shared" si="536"/>
        <v>0</v>
      </c>
      <c r="E1032" s="20">
        <v>0</v>
      </c>
      <c r="F1032" s="20">
        <v>0</v>
      </c>
      <c r="G1032" s="20">
        <v>0</v>
      </c>
      <c r="H1032" s="20">
        <v>0</v>
      </c>
      <c r="I1032" s="20">
        <v>0</v>
      </c>
      <c r="J1032" s="20">
        <v>0</v>
      </c>
      <c r="K1032" s="21">
        <v>0</v>
      </c>
      <c r="L1032" s="20">
        <v>0</v>
      </c>
      <c r="M1032" s="8">
        <v>246.5</v>
      </c>
      <c r="N1032" s="20">
        <f t="shared" si="540"/>
        <v>1355750</v>
      </c>
      <c r="O1032" s="20">
        <v>0</v>
      </c>
      <c r="P1032" s="20">
        <v>0</v>
      </c>
      <c r="Q1032" s="20">
        <v>0</v>
      </c>
      <c r="R1032" s="20">
        <f t="shared" si="534"/>
        <v>0</v>
      </c>
      <c r="S1032" s="20">
        <v>0</v>
      </c>
      <c r="T1032" s="8">
        <v>0</v>
      </c>
      <c r="U1032" s="20">
        <v>200000</v>
      </c>
      <c r="V1032" s="1">
        <f t="shared" si="535"/>
        <v>5500</v>
      </c>
      <c r="W1032" s="47"/>
      <c r="X1032" s="47"/>
      <c r="Y1032" s="47"/>
      <c r="Z1032" s="47"/>
      <c r="AA1032" s="47"/>
      <c r="AB1032" s="47"/>
      <c r="AC1032" s="47"/>
      <c r="AD1032" s="47"/>
      <c r="AE1032" s="47"/>
      <c r="AF1032" s="47"/>
      <c r="AG1032" s="47"/>
      <c r="AH1032" s="47"/>
      <c r="AI1032" s="47"/>
      <c r="AJ1032" s="47"/>
      <c r="AK1032" s="47"/>
      <c r="AL1032" s="47"/>
      <c r="AM1032" s="47"/>
      <c r="AN1032" s="47"/>
      <c r="AO1032" s="47"/>
      <c r="AP1032" s="47"/>
      <c r="AQ1032" s="47"/>
      <c r="AR1032" s="47"/>
      <c r="AS1032" s="47"/>
      <c r="AT1032" s="47"/>
      <c r="AU1032" s="47"/>
      <c r="AV1032" s="47"/>
      <c r="AW1032" s="47"/>
      <c r="AX1032" s="47"/>
      <c r="AY1032" s="47"/>
      <c r="AZ1032" s="47"/>
      <c r="BA1032" s="47"/>
      <c r="BB1032" s="47"/>
      <c r="BC1032" s="47"/>
      <c r="BD1032" s="47"/>
      <c r="BE1032" s="47"/>
      <c r="BF1032" s="47"/>
      <c r="BG1032" s="47"/>
      <c r="BH1032" s="47"/>
      <c r="BI1032" s="47"/>
      <c r="BJ1032" s="47"/>
      <c r="BK1032" s="47"/>
      <c r="BL1032" s="47"/>
      <c r="BM1032" s="47"/>
      <c r="BN1032" s="47"/>
      <c r="BO1032" s="47"/>
      <c r="BP1032" s="47"/>
      <c r="BQ1032" s="47"/>
      <c r="BR1032" s="47"/>
      <c r="BS1032" s="47"/>
      <c r="BT1032" s="47"/>
      <c r="BU1032" s="47"/>
      <c r="BV1032" s="47"/>
      <c r="BW1032" s="47"/>
      <c r="BX1032" s="47"/>
      <c r="BY1032" s="47"/>
      <c r="BZ1032" s="47"/>
      <c r="CA1032" s="47"/>
      <c r="CB1032" s="47"/>
      <c r="CC1032" s="47"/>
      <c r="CD1032" s="47"/>
      <c r="CE1032" s="47"/>
      <c r="CF1032" s="47"/>
      <c r="CG1032" s="47"/>
      <c r="CH1032" s="47"/>
      <c r="CI1032" s="47"/>
      <c r="CJ1032" s="47"/>
      <c r="CK1032" s="47"/>
      <c r="CL1032" s="47"/>
      <c r="CM1032" s="47"/>
      <c r="CN1032" s="47"/>
      <c r="CO1032" s="47"/>
      <c r="CP1032" s="47"/>
      <c r="CQ1032" s="47"/>
      <c r="CR1032" s="47"/>
      <c r="CS1032" s="47"/>
      <c r="CT1032" s="47"/>
      <c r="CU1032" s="47"/>
      <c r="CV1032" s="47"/>
      <c r="CW1032" s="47"/>
      <c r="CX1032" s="47"/>
      <c r="CY1032" s="47"/>
      <c r="CZ1032" s="47"/>
      <c r="DA1032" s="47"/>
      <c r="DB1032" s="47"/>
      <c r="DC1032" s="47"/>
      <c r="DD1032" s="47"/>
      <c r="DE1032" s="47"/>
      <c r="DF1032" s="47"/>
      <c r="DG1032" s="47"/>
      <c r="DH1032" s="47"/>
      <c r="DI1032" s="47"/>
      <c r="DJ1032" s="47"/>
      <c r="DK1032" s="47"/>
      <c r="DL1032" s="47"/>
      <c r="DM1032" s="47"/>
      <c r="DN1032" s="47"/>
      <c r="DO1032" s="47"/>
      <c r="DP1032" s="47"/>
      <c r="DQ1032" s="47"/>
      <c r="DR1032" s="47"/>
      <c r="DS1032" s="47"/>
      <c r="DT1032" s="47"/>
      <c r="DU1032" s="47"/>
      <c r="DV1032" s="47"/>
      <c r="DW1032" s="47"/>
      <c r="DX1032" s="47"/>
      <c r="DY1032" s="47"/>
      <c r="DZ1032" s="47"/>
      <c r="EA1032" s="47"/>
      <c r="EB1032" s="47"/>
      <c r="EC1032" s="47"/>
      <c r="ED1032" s="47"/>
      <c r="EE1032" s="47"/>
      <c r="EF1032" s="47"/>
      <c r="EG1032" s="47"/>
      <c r="EH1032" s="47"/>
      <c r="EI1032" s="47"/>
      <c r="EJ1032" s="47"/>
      <c r="EK1032" s="47"/>
      <c r="EL1032" s="47"/>
      <c r="EM1032" s="47"/>
      <c r="EN1032" s="47"/>
      <c r="EO1032" s="47"/>
      <c r="EP1032" s="47"/>
      <c r="EQ1032" s="47"/>
      <c r="ER1032" s="47"/>
      <c r="ES1032" s="47"/>
      <c r="ET1032" s="47"/>
      <c r="EU1032" s="47"/>
      <c r="EV1032" s="47"/>
      <c r="EW1032" s="47"/>
      <c r="EX1032" s="47"/>
      <c r="EY1032" s="47"/>
      <c r="EZ1032" s="47"/>
      <c r="FA1032" s="47"/>
      <c r="FB1032" s="47"/>
      <c r="FC1032" s="47"/>
      <c r="FD1032" s="47"/>
      <c r="FE1032" s="47"/>
      <c r="FF1032" s="47"/>
      <c r="FG1032" s="47"/>
      <c r="FH1032" s="47"/>
      <c r="FI1032" s="47"/>
      <c r="FJ1032" s="47"/>
      <c r="FK1032" s="47"/>
      <c r="FL1032" s="47"/>
      <c r="FM1032" s="47"/>
      <c r="FN1032" s="47"/>
      <c r="FO1032" s="47"/>
      <c r="FP1032" s="47"/>
      <c r="FQ1032" s="47"/>
      <c r="FR1032" s="47"/>
      <c r="FS1032" s="47"/>
      <c r="FT1032" s="47"/>
      <c r="FU1032" s="47"/>
      <c r="FV1032" s="47"/>
      <c r="FW1032" s="47"/>
      <c r="FX1032" s="47"/>
      <c r="FY1032" s="47"/>
      <c r="FZ1032" s="47"/>
      <c r="GA1032" s="47"/>
      <c r="GB1032" s="47"/>
      <c r="GC1032" s="47"/>
      <c r="GD1032" s="47"/>
      <c r="GE1032" s="47"/>
      <c r="GF1032" s="47"/>
      <c r="GG1032" s="47"/>
      <c r="GH1032" s="47"/>
      <c r="GI1032" s="47"/>
      <c r="GJ1032" s="47"/>
      <c r="GK1032" s="47"/>
      <c r="GL1032" s="47"/>
      <c r="GM1032" s="47"/>
      <c r="GN1032" s="47"/>
      <c r="GO1032" s="47"/>
      <c r="GP1032" s="47"/>
      <c r="GQ1032" s="47"/>
      <c r="GR1032" s="47"/>
      <c r="GS1032" s="47"/>
      <c r="GT1032" s="47"/>
      <c r="GU1032" s="47"/>
      <c r="GV1032" s="47"/>
      <c r="GW1032" s="47"/>
      <c r="GX1032" s="47"/>
      <c r="GY1032" s="47"/>
      <c r="GZ1032" s="47"/>
      <c r="HA1032" s="47"/>
      <c r="HB1032" s="47"/>
      <c r="HC1032" s="47"/>
      <c r="HD1032" s="47"/>
      <c r="HE1032" s="47"/>
      <c r="HF1032" s="47"/>
      <c r="HG1032" s="47"/>
      <c r="HH1032" s="47"/>
      <c r="HI1032" s="47"/>
      <c r="HJ1032" s="47"/>
      <c r="HK1032" s="47"/>
      <c r="HL1032" s="47"/>
      <c r="HM1032" s="47"/>
      <c r="HN1032" s="47"/>
      <c r="HO1032" s="47"/>
      <c r="HP1032" s="47"/>
      <c r="HQ1032" s="47"/>
      <c r="HR1032" s="47"/>
      <c r="HS1032" s="47"/>
      <c r="HT1032" s="47"/>
      <c r="HU1032" s="47"/>
      <c r="HV1032" s="47"/>
      <c r="HW1032" s="47"/>
      <c r="HX1032" s="47"/>
      <c r="HY1032" s="47"/>
      <c r="HZ1032" s="47"/>
      <c r="IA1032" s="47"/>
      <c r="IB1032" s="47"/>
      <c r="IC1032" s="47"/>
      <c r="ID1032" s="47"/>
      <c r="IE1032" s="47"/>
      <c r="IF1032" s="47"/>
      <c r="IG1032" s="47"/>
      <c r="IH1032" s="47"/>
      <c r="II1032" s="47"/>
      <c r="IJ1032" s="47"/>
      <c r="IK1032" s="47"/>
      <c r="IL1032" s="47"/>
      <c r="IM1032" s="47"/>
      <c r="IN1032" s="47"/>
      <c r="IO1032" s="47"/>
      <c r="IP1032" s="47"/>
      <c r="IQ1032" s="47"/>
      <c r="IR1032" s="47"/>
      <c r="IS1032" s="47"/>
      <c r="IT1032" s="47"/>
      <c r="IU1032" s="47"/>
      <c r="IV1032" s="47"/>
      <c r="IW1032" s="47"/>
      <c r="IX1032" s="47"/>
    </row>
    <row r="1033" spans="1:258" ht="21.95" customHeight="1" x14ac:dyDescent="0.25">
      <c r="A1033" s="18" t="s">
        <v>1527</v>
      </c>
      <c r="B1033" s="25" t="s">
        <v>672</v>
      </c>
      <c r="C1033" s="12">
        <f t="shared" si="538"/>
        <v>1540900</v>
      </c>
      <c r="D1033" s="20">
        <f t="shared" si="536"/>
        <v>0</v>
      </c>
      <c r="E1033" s="20">
        <v>0</v>
      </c>
      <c r="F1033" s="20">
        <v>0</v>
      </c>
      <c r="G1033" s="20">
        <v>0</v>
      </c>
      <c r="H1033" s="20">
        <v>0</v>
      </c>
      <c r="I1033" s="20">
        <v>0</v>
      </c>
      <c r="J1033" s="20">
        <v>0</v>
      </c>
      <c r="K1033" s="21">
        <v>0</v>
      </c>
      <c r="L1033" s="20">
        <v>0</v>
      </c>
      <c r="M1033" s="8">
        <v>243.8</v>
      </c>
      <c r="N1033" s="20">
        <f t="shared" si="540"/>
        <v>1340900</v>
      </c>
      <c r="O1033" s="20">
        <v>0</v>
      </c>
      <c r="P1033" s="20">
        <v>0</v>
      </c>
      <c r="Q1033" s="20">
        <v>0</v>
      </c>
      <c r="R1033" s="20">
        <f t="shared" si="534"/>
        <v>0</v>
      </c>
      <c r="S1033" s="20">
        <v>0</v>
      </c>
      <c r="T1033" s="8">
        <v>0</v>
      </c>
      <c r="U1033" s="20">
        <v>200000</v>
      </c>
      <c r="V1033" s="1">
        <f t="shared" si="535"/>
        <v>5500</v>
      </c>
    </row>
    <row r="1034" spans="1:258" ht="21.95" customHeight="1" x14ac:dyDescent="0.25">
      <c r="A1034" s="18" t="s">
        <v>1528</v>
      </c>
      <c r="B1034" s="25" t="s">
        <v>673</v>
      </c>
      <c r="C1034" s="12">
        <f t="shared" si="538"/>
        <v>1552450</v>
      </c>
      <c r="D1034" s="20">
        <f t="shared" si="536"/>
        <v>0</v>
      </c>
      <c r="E1034" s="20">
        <v>0</v>
      </c>
      <c r="F1034" s="20">
        <v>0</v>
      </c>
      <c r="G1034" s="20">
        <v>0</v>
      </c>
      <c r="H1034" s="20">
        <v>0</v>
      </c>
      <c r="I1034" s="20">
        <v>0</v>
      </c>
      <c r="J1034" s="20">
        <v>0</v>
      </c>
      <c r="K1034" s="21">
        <v>0</v>
      </c>
      <c r="L1034" s="20">
        <v>0</v>
      </c>
      <c r="M1034" s="20">
        <v>245.9</v>
      </c>
      <c r="N1034" s="20">
        <f t="shared" si="540"/>
        <v>1352450</v>
      </c>
      <c r="O1034" s="20">
        <v>0</v>
      </c>
      <c r="P1034" s="20">
        <v>0</v>
      </c>
      <c r="Q1034" s="20">
        <v>0</v>
      </c>
      <c r="R1034" s="20">
        <f t="shared" si="534"/>
        <v>0</v>
      </c>
      <c r="S1034" s="20">
        <v>0</v>
      </c>
      <c r="T1034" s="8">
        <v>0</v>
      </c>
      <c r="U1034" s="20">
        <v>200000</v>
      </c>
      <c r="V1034" s="1">
        <f t="shared" si="535"/>
        <v>5500</v>
      </c>
      <c r="W1034" s="44"/>
      <c r="X1034" s="44"/>
      <c r="Y1034" s="44"/>
      <c r="Z1034" s="44"/>
      <c r="AA1034" s="44"/>
      <c r="AB1034" s="44"/>
      <c r="AC1034" s="44"/>
      <c r="AD1034" s="44"/>
      <c r="AE1034" s="44"/>
      <c r="AF1034" s="44"/>
      <c r="AG1034" s="44"/>
      <c r="AH1034" s="44"/>
      <c r="AI1034" s="44"/>
      <c r="AJ1034" s="44"/>
      <c r="AK1034" s="44"/>
      <c r="AL1034" s="44"/>
      <c r="AM1034" s="44"/>
      <c r="AN1034" s="44"/>
      <c r="AO1034" s="44"/>
      <c r="AP1034" s="44"/>
      <c r="AQ1034" s="44"/>
      <c r="AR1034" s="44"/>
      <c r="AS1034" s="44"/>
      <c r="AT1034" s="44"/>
      <c r="AU1034" s="44"/>
      <c r="AV1034" s="44"/>
      <c r="AW1034" s="44"/>
      <c r="AX1034" s="44"/>
      <c r="AY1034" s="44"/>
      <c r="AZ1034" s="44"/>
      <c r="BA1034" s="44"/>
      <c r="BB1034" s="44"/>
      <c r="BC1034" s="44"/>
      <c r="BD1034" s="44"/>
      <c r="BE1034" s="44"/>
      <c r="BF1034" s="44"/>
      <c r="BG1034" s="44"/>
      <c r="BH1034" s="44"/>
      <c r="BI1034" s="44"/>
      <c r="BJ1034" s="44"/>
      <c r="BK1034" s="44"/>
      <c r="BL1034" s="44"/>
      <c r="BM1034" s="44"/>
      <c r="BN1034" s="44"/>
      <c r="BO1034" s="44"/>
      <c r="BP1034" s="44"/>
      <c r="BQ1034" s="44"/>
      <c r="BR1034" s="44"/>
      <c r="BS1034" s="44"/>
      <c r="BT1034" s="44"/>
      <c r="BU1034" s="44"/>
      <c r="BV1034" s="44"/>
      <c r="BW1034" s="44"/>
      <c r="BX1034" s="44"/>
      <c r="BY1034" s="44"/>
      <c r="BZ1034" s="44"/>
      <c r="CA1034" s="44"/>
      <c r="CB1034" s="44"/>
      <c r="CC1034" s="44"/>
      <c r="CD1034" s="44"/>
      <c r="CE1034" s="44"/>
      <c r="CF1034" s="44"/>
      <c r="CG1034" s="44"/>
      <c r="CH1034" s="44"/>
      <c r="CI1034" s="44"/>
      <c r="CJ1034" s="44"/>
      <c r="CK1034" s="44"/>
      <c r="CL1034" s="44"/>
      <c r="CM1034" s="44"/>
      <c r="CN1034" s="44"/>
      <c r="CO1034" s="44"/>
      <c r="CP1034" s="44"/>
      <c r="CQ1034" s="44"/>
      <c r="CR1034" s="44"/>
      <c r="CS1034" s="44"/>
      <c r="CT1034" s="44"/>
      <c r="CU1034" s="44"/>
      <c r="CV1034" s="44"/>
      <c r="CW1034" s="44"/>
      <c r="CX1034" s="44"/>
      <c r="CY1034" s="44"/>
      <c r="CZ1034" s="44"/>
      <c r="DA1034" s="44"/>
      <c r="DB1034" s="44"/>
      <c r="DC1034" s="44"/>
      <c r="DD1034" s="44"/>
      <c r="DE1034" s="44"/>
      <c r="DF1034" s="44"/>
      <c r="DG1034" s="44"/>
      <c r="DH1034" s="44"/>
      <c r="DI1034" s="44"/>
      <c r="DJ1034" s="44"/>
      <c r="DK1034" s="44"/>
      <c r="DL1034" s="44"/>
      <c r="DM1034" s="44"/>
      <c r="DN1034" s="44"/>
      <c r="DO1034" s="44"/>
      <c r="DP1034" s="44"/>
      <c r="DQ1034" s="44"/>
      <c r="DR1034" s="44"/>
      <c r="DS1034" s="44"/>
      <c r="DT1034" s="44"/>
      <c r="DU1034" s="44"/>
      <c r="DV1034" s="44"/>
      <c r="DW1034" s="44"/>
      <c r="DX1034" s="44"/>
      <c r="DY1034" s="44"/>
      <c r="DZ1034" s="44"/>
      <c r="EA1034" s="44"/>
      <c r="EB1034" s="44"/>
      <c r="EC1034" s="44"/>
      <c r="ED1034" s="44"/>
      <c r="EE1034" s="44"/>
      <c r="EF1034" s="44"/>
      <c r="EG1034" s="44"/>
      <c r="EH1034" s="44"/>
      <c r="EI1034" s="44"/>
      <c r="EJ1034" s="44"/>
      <c r="EK1034" s="44"/>
      <c r="EL1034" s="44"/>
      <c r="EM1034" s="44"/>
      <c r="EN1034" s="44"/>
      <c r="EO1034" s="44"/>
      <c r="EP1034" s="44"/>
      <c r="EQ1034" s="44"/>
      <c r="ER1034" s="44"/>
      <c r="ES1034" s="44"/>
      <c r="ET1034" s="44"/>
      <c r="EU1034" s="44"/>
      <c r="EV1034" s="44"/>
      <c r="EW1034" s="44"/>
      <c r="EX1034" s="44"/>
      <c r="EY1034" s="44"/>
      <c r="EZ1034" s="44"/>
      <c r="FA1034" s="44"/>
      <c r="FB1034" s="44"/>
      <c r="FC1034" s="44"/>
      <c r="FD1034" s="44"/>
      <c r="FE1034" s="44"/>
      <c r="FF1034" s="44"/>
      <c r="FG1034" s="44"/>
      <c r="FH1034" s="44"/>
      <c r="FI1034" s="44"/>
      <c r="FJ1034" s="44"/>
      <c r="FK1034" s="44"/>
      <c r="FL1034" s="44"/>
      <c r="FM1034" s="44"/>
      <c r="FN1034" s="44"/>
      <c r="FO1034" s="44"/>
      <c r="FP1034" s="44"/>
      <c r="FQ1034" s="44"/>
      <c r="FR1034" s="44"/>
      <c r="FS1034" s="44"/>
      <c r="FT1034" s="44"/>
      <c r="FU1034" s="44"/>
      <c r="FV1034" s="44"/>
      <c r="FW1034" s="44"/>
      <c r="FX1034" s="44"/>
      <c r="FY1034" s="44"/>
      <c r="FZ1034" s="44"/>
      <c r="GA1034" s="44"/>
      <c r="GB1034" s="44"/>
      <c r="GC1034" s="44"/>
      <c r="GD1034" s="44"/>
      <c r="GE1034" s="44"/>
      <c r="GF1034" s="44"/>
      <c r="GG1034" s="44"/>
      <c r="GH1034" s="44"/>
      <c r="GI1034" s="44"/>
      <c r="GJ1034" s="44"/>
      <c r="GK1034" s="44"/>
      <c r="GL1034" s="44"/>
      <c r="GM1034" s="44"/>
      <c r="GN1034" s="44"/>
      <c r="GO1034" s="44"/>
      <c r="GP1034" s="44"/>
      <c r="GQ1034" s="44"/>
      <c r="GR1034" s="44"/>
      <c r="GS1034" s="44"/>
      <c r="GT1034" s="44"/>
      <c r="GU1034" s="44"/>
      <c r="GV1034" s="44"/>
      <c r="GW1034" s="44"/>
      <c r="GX1034" s="44"/>
      <c r="GY1034" s="44"/>
      <c r="GZ1034" s="44"/>
      <c r="HA1034" s="44"/>
      <c r="HB1034" s="44"/>
      <c r="HC1034" s="44"/>
      <c r="HD1034" s="44"/>
      <c r="HE1034" s="44"/>
      <c r="HF1034" s="44"/>
      <c r="HG1034" s="44"/>
      <c r="HH1034" s="44"/>
      <c r="HI1034" s="44"/>
      <c r="HJ1034" s="44"/>
      <c r="HK1034" s="44"/>
      <c r="HL1034" s="44"/>
      <c r="HM1034" s="44"/>
      <c r="HN1034" s="44"/>
      <c r="HO1034" s="44"/>
      <c r="HP1034" s="44"/>
      <c r="HQ1034" s="44"/>
      <c r="HR1034" s="44"/>
      <c r="HS1034" s="44"/>
      <c r="HT1034" s="44"/>
      <c r="HU1034" s="44"/>
      <c r="HV1034" s="44"/>
      <c r="HW1034" s="44"/>
      <c r="HX1034" s="44"/>
      <c r="HY1034" s="44"/>
      <c r="HZ1034" s="44"/>
      <c r="IA1034" s="44"/>
      <c r="IB1034" s="44"/>
      <c r="IC1034" s="44"/>
      <c r="ID1034" s="44"/>
      <c r="IE1034" s="44"/>
      <c r="IF1034" s="44"/>
      <c r="IG1034" s="44"/>
      <c r="IH1034" s="44"/>
      <c r="II1034" s="44"/>
      <c r="IJ1034" s="44"/>
      <c r="IK1034" s="44"/>
      <c r="IL1034" s="44"/>
      <c r="IM1034" s="44"/>
      <c r="IN1034" s="44"/>
      <c r="IO1034" s="44"/>
      <c r="IP1034" s="44"/>
      <c r="IQ1034" s="44"/>
      <c r="IR1034" s="44"/>
      <c r="IS1034" s="44"/>
      <c r="IT1034" s="44"/>
      <c r="IU1034" s="44"/>
      <c r="IV1034" s="44"/>
      <c r="IW1034" s="44"/>
      <c r="IX1034" s="44"/>
    </row>
    <row r="1035" spans="1:258" ht="21.95" customHeight="1" x14ac:dyDescent="0.25">
      <c r="A1035" s="18" t="s">
        <v>1626</v>
      </c>
      <c r="B1035" s="25" t="s">
        <v>674</v>
      </c>
      <c r="C1035" s="12">
        <f t="shared" si="538"/>
        <v>1542550</v>
      </c>
      <c r="D1035" s="20">
        <f t="shared" si="536"/>
        <v>0</v>
      </c>
      <c r="E1035" s="20">
        <v>0</v>
      </c>
      <c r="F1035" s="20">
        <v>0</v>
      </c>
      <c r="G1035" s="20">
        <v>0</v>
      </c>
      <c r="H1035" s="20">
        <v>0</v>
      </c>
      <c r="I1035" s="20">
        <v>0</v>
      </c>
      <c r="J1035" s="20">
        <v>0</v>
      </c>
      <c r="K1035" s="21">
        <v>0</v>
      </c>
      <c r="L1035" s="20">
        <v>0</v>
      </c>
      <c r="M1035" s="20">
        <v>244.1</v>
      </c>
      <c r="N1035" s="20">
        <f t="shared" si="540"/>
        <v>1342550</v>
      </c>
      <c r="O1035" s="20">
        <v>0</v>
      </c>
      <c r="P1035" s="20">
        <v>0</v>
      </c>
      <c r="Q1035" s="20">
        <v>0</v>
      </c>
      <c r="R1035" s="20">
        <f t="shared" si="534"/>
        <v>0</v>
      </c>
      <c r="S1035" s="20">
        <v>0</v>
      </c>
      <c r="T1035" s="8">
        <v>0</v>
      </c>
      <c r="U1035" s="20">
        <v>200000</v>
      </c>
      <c r="V1035" s="1">
        <f t="shared" si="535"/>
        <v>5500</v>
      </c>
      <c r="W1035" s="17"/>
      <c r="X1035" s="17"/>
      <c r="Y1035" s="17"/>
      <c r="Z1035" s="17"/>
      <c r="AA1035" s="17"/>
      <c r="AB1035" s="17"/>
      <c r="AC1035" s="17"/>
      <c r="AD1035" s="17"/>
      <c r="AE1035" s="17"/>
      <c r="AF1035" s="17"/>
      <c r="AG1035" s="17"/>
      <c r="AH1035" s="17"/>
      <c r="AI1035" s="17"/>
      <c r="AJ1035" s="17"/>
      <c r="AK1035" s="17"/>
      <c r="AL1035" s="17"/>
      <c r="AM1035" s="17"/>
      <c r="AN1035" s="17"/>
      <c r="AO1035" s="17"/>
      <c r="AP1035" s="17"/>
      <c r="AQ1035" s="17"/>
      <c r="AR1035" s="17"/>
      <c r="AS1035" s="17"/>
      <c r="AT1035" s="17"/>
      <c r="AU1035" s="17"/>
      <c r="AV1035" s="17"/>
      <c r="AW1035" s="17"/>
      <c r="AX1035" s="17"/>
      <c r="AY1035" s="17"/>
      <c r="AZ1035" s="17"/>
      <c r="BA1035" s="17"/>
      <c r="BB1035" s="17"/>
      <c r="BC1035" s="17"/>
      <c r="BD1035" s="17"/>
      <c r="BE1035" s="17"/>
      <c r="BF1035" s="17"/>
      <c r="BG1035" s="17"/>
      <c r="BH1035" s="17"/>
      <c r="BI1035" s="17"/>
      <c r="BJ1035" s="17"/>
      <c r="BK1035" s="17"/>
      <c r="BL1035" s="17"/>
      <c r="BM1035" s="17"/>
      <c r="BN1035" s="17"/>
      <c r="BO1035" s="17"/>
      <c r="BP1035" s="17"/>
      <c r="BQ1035" s="17"/>
      <c r="BR1035" s="17"/>
      <c r="BS1035" s="17"/>
      <c r="BT1035" s="17"/>
      <c r="BU1035" s="17"/>
      <c r="BV1035" s="17"/>
      <c r="BW1035" s="17"/>
      <c r="BX1035" s="17"/>
      <c r="BY1035" s="17"/>
      <c r="BZ1035" s="17"/>
      <c r="CA1035" s="17"/>
      <c r="CB1035" s="17"/>
      <c r="CC1035" s="17"/>
      <c r="CD1035" s="17"/>
      <c r="CE1035" s="17"/>
      <c r="CF1035" s="17"/>
      <c r="CG1035" s="17"/>
      <c r="CH1035" s="17"/>
      <c r="CI1035" s="17"/>
      <c r="CJ1035" s="17"/>
      <c r="CK1035" s="17"/>
      <c r="CL1035" s="17"/>
      <c r="CM1035" s="17"/>
      <c r="CN1035" s="17"/>
      <c r="CO1035" s="17"/>
      <c r="CP1035" s="17"/>
      <c r="CQ1035" s="17"/>
      <c r="CR1035" s="17"/>
      <c r="CS1035" s="17"/>
      <c r="CT1035" s="17"/>
      <c r="CU1035" s="17"/>
      <c r="CV1035" s="17"/>
      <c r="CW1035" s="17"/>
      <c r="CX1035" s="17"/>
      <c r="CY1035" s="17"/>
      <c r="CZ1035" s="17"/>
      <c r="DA1035" s="17"/>
      <c r="DB1035" s="17"/>
      <c r="DC1035" s="17"/>
      <c r="DD1035" s="17"/>
      <c r="DE1035" s="17"/>
      <c r="DF1035" s="17"/>
      <c r="DG1035" s="17"/>
      <c r="DH1035" s="17"/>
      <c r="DI1035" s="17"/>
      <c r="DJ1035" s="17"/>
      <c r="DK1035" s="17"/>
      <c r="DL1035" s="17"/>
      <c r="DM1035" s="17"/>
      <c r="DN1035" s="17"/>
      <c r="DO1035" s="17"/>
      <c r="DP1035" s="17"/>
      <c r="DQ1035" s="17"/>
      <c r="DR1035" s="17"/>
      <c r="DS1035" s="17"/>
      <c r="DT1035" s="17"/>
      <c r="DU1035" s="17"/>
      <c r="DV1035" s="17"/>
      <c r="DW1035" s="17"/>
      <c r="DX1035" s="17"/>
      <c r="DY1035" s="17"/>
      <c r="DZ1035" s="17"/>
      <c r="EA1035" s="17"/>
      <c r="EB1035" s="17"/>
      <c r="EC1035" s="17"/>
      <c r="ED1035" s="17"/>
      <c r="EE1035" s="17"/>
      <c r="EF1035" s="17"/>
      <c r="EG1035" s="17"/>
      <c r="EH1035" s="17"/>
      <c r="EI1035" s="17"/>
      <c r="EJ1035" s="17"/>
      <c r="EK1035" s="17"/>
      <c r="EL1035" s="17"/>
      <c r="EM1035" s="17"/>
      <c r="EN1035" s="17"/>
      <c r="EO1035" s="17"/>
      <c r="EP1035" s="17"/>
      <c r="EQ1035" s="17"/>
      <c r="ER1035" s="17"/>
      <c r="ES1035" s="17"/>
      <c r="ET1035" s="17"/>
      <c r="EU1035" s="17"/>
      <c r="EV1035" s="17"/>
      <c r="EW1035" s="17"/>
      <c r="EX1035" s="17"/>
      <c r="EY1035" s="17"/>
      <c r="EZ1035" s="17"/>
      <c r="FA1035" s="17"/>
      <c r="FB1035" s="17"/>
      <c r="FC1035" s="17"/>
      <c r="FD1035" s="17"/>
      <c r="FE1035" s="17"/>
      <c r="FF1035" s="17"/>
      <c r="FG1035" s="17"/>
      <c r="FH1035" s="17"/>
      <c r="FI1035" s="17"/>
      <c r="FJ1035" s="17"/>
      <c r="FK1035" s="17"/>
      <c r="FL1035" s="17"/>
      <c r="FM1035" s="17"/>
      <c r="FN1035" s="17"/>
      <c r="FO1035" s="17"/>
      <c r="FP1035" s="17"/>
      <c r="FQ1035" s="17"/>
      <c r="FR1035" s="17"/>
      <c r="FS1035" s="17"/>
      <c r="FT1035" s="17"/>
      <c r="FU1035" s="17"/>
      <c r="FV1035" s="17"/>
      <c r="FW1035" s="17"/>
      <c r="FX1035" s="17"/>
      <c r="FY1035" s="17"/>
      <c r="FZ1035" s="17"/>
      <c r="GA1035" s="17"/>
      <c r="GB1035" s="17"/>
      <c r="GC1035" s="17"/>
      <c r="GD1035" s="17"/>
      <c r="GE1035" s="17"/>
      <c r="GF1035" s="17"/>
      <c r="GG1035" s="17"/>
      <c r="GH1035" s="17"/>
      <c r="GI1035" s="17"/>
      <c r="GJ1035" s="17"/>
      <c r="GK1035" s="17"/>
      <c r="GL1035" s="17"/>
      <c r="GM1035" s="17"/>
      <c r="GN1035" s="17"/>
      <c r="GO1035" s="17"/>
      <c r="GP1035" s="17"/>
      <c r="GQ1035" s="17"/>
      <c r="GR1035" s="17"/>
      <c r="GS1035" s="17"/>
      <c r="GT1035" s="17"/>
      <c r="GU1035" s="17"/>
      <c r="GV1035" s="17"/>
      <c r="GW1035" s="17"/>
      <c r="GX1035" s="17"/>
      <c r="GY1035" s="17"/>
      <c r="GZ1035" s="17"/>
      <c r="HA1035" s="17"/>
      <c r="HB1035" s="17"/>
      <c r="HC1035" s="17"/>
      <c r="HD1035" s="17"/>
      <c r="HE1035" s="17"/>
      <c r="HF1035" s="17"/>
      <c r="HG1035" s="17"/>
      <c r="HH1035" s="17"/>
      <c r="HI1035" s="17"/>
      <c r="HJ1035" s="17"/>
      <c r="HK1035" s="17"/>
      <c r="HL1035" s="17"/>
      <c r="HM1035" s="17"/>
      <c r="HN1035" s="17"/>
      <c r="HO1035" s="17"/>
      <c r="HP1035" s="17"/>
      <c r="HQ1035" s="17"/>
      <c r="HR1035" s="17"/>
      <c r="HS1035" s="17"/>
      <c r="HT1035" s="17"/>
      <c r="HU1035" s="17"/>
      <c r="HV1035" s="17"/>
      <c r="HW1035" s="17"/>
      <c r="HX1035" s="17"/>
      <c r="HY1035" s="17"/>
      <c r="HZ1035" s="17"/>
      <c r="IA1035" s="17"/>
      <c r="IB1035" s="17"/>
      <c r="IC1035" s="17"/>
      <c r="ID1035" s="17"/>
      <c r="IE1035" s="17"/>
      <c r="IF1035" s="17"/>
      <c r="IG1035" s="17"/>
      <c r="IH1035" s="17"/>
      <c r="II1035" s="17"/>
      <c r="IJ1035" s="17"/>
      <c r="IK1035" s="17"/>
      <c r="IL1035" s="17"/>
      <c r="IM1035" s="17"/>
      <c r="IN1035" s="17"/>
      <c r="IO1035" s="17"/>
      <c r="IP1035" s="17"/>
      <c r="IQ1035" s="17"/>
      <c r="IR1035" s="17"/>
      <c r="IS1035" s="17"/>
      <c r="IT1035" s="17"/>
      <c r="IU1035" s="17"/>
      <c r="IV1035" s="17"/>
      <c r="IW1035" s="17"/>
      <c r="IX1035" s="17"/>
    </row>
    <row r="1036" spans="1:258" ht="21.95" customHeight="1" x14ac:dyDescent="0.25">
      <c r="A1036" s="18" t="s">
        <v>1529</v>
      </c>
      <c r="B1036" s="25" t="s">
        <v>767</v>
      </c>
      <c r="C1036" s="12">
        <f t="shared" si="538"/>
        <v>1546400</v>
      </c>
      <c r="D1036" s="20">
        <f t="shared" si="536"/>
        <v>0</v>
      </c>
      <c r="E1036" s="20">
        <v>0</v>
      </c>
      <c r="F1036" s="20">
        <v>0</v>
      </c>
      <c r="G1036" s="20">
        <v>0</v>
      </c>
      <c r="H1036" s="20">
        <v>0</v>
      </c>
      <c r="I1036" s="20">
        <v>0</v>
      </c>
      <c r="J1036" s="20">
        <v>0</v>
      </c>
      <c r="K1036" s="21">
        <v>0</v>
      </c>
      <c r="L1036" s="20">
        <v>0</v>
      </c>
      <c r="M1036" s="8">
        <v>244.8</v>
      </c>
      <c r="N1036" s="20">
        <f t="shared" si="540"/>
        <v>1346400</v>
      </c>
      <c r="O1036" s="20">
        <v>0</v>
      </c>
      <c r="P1036" s="20">
        <v>0</v>
      </c>
      <c r="Q1036" s="20">
        <v>0</v>
      </c>
      <c r="R1036" s="20">
        <f t="shared" si="534"/>
        <v>0</v>
      </c>
      <c r="S1036" s="20">
        <v>0</v>
      </c>
      <c r="T1036" s="8">
        <v>0</v>
      </c>
      <c r="U1036" s="20">
        <v>200000</v>
      </c>
      <c r="V1036" s="1">
        <f t="shared" si="535"/>
        <v>5500</v>
      </c>
    </row>
    <row r="1037" spans="1:258" ht="21.95" customHeight="1" x14ac:dyDescent="0.25">
      <c r="A1037" s="18" t="s">
        <v>1530</v>
      </c>
      <c r="B1037" s="25" t="s">
        <v>768</v>
      </c>
      <c r="C1037" s="12">
        <f t="shared" si="538"/>
        <v>1546400</v>
      </c>
      <c r="D1037" s="20">
        <f t="shared" si="536"/>
        <v>0</v>
      </c>
      <c r="E1037" s="20">
        <v>0</v>
      </c>
      <c r="F1037" s="20">
        <v>0</v>
      </c>
      <c r="G1037" s="20">
        <v>0</v>
      </c>
      <c r="H1037" s="20">
        <v>0</v>
      </c>
      <c r="I1037" s="20">
        <v>0</v>
      </c>
      <c r="J1037" s="20">
        <v>0</v>
      </c>
      <c r="K1037" s="21">
        <v>0</v>
      </c>
      <c r="L1037" s="20">
        <v>0</v>
      </c>
      <c r="M1037" s="8">
        <v>244.8</v>
      </c>
      <c r="N1037" s="20">
        <f t="shared" si="540"/>
        <v>1346400</v>
      </c>
      <c r="O1037" s="20">
        <v>0</v>
      </c>
      <c r="P1037" s="20">
        <v>0</v>
      </c>
      <c r="Q1037" s="20">
        <v>0</v>
      </c>
      <c r="R1037" s="20">
        <f t="shared" si="534"/>
        <v>0</v>
      </c>
      <c r="S1037" s="20">
        <v>0</v>
      </c>
      <c r="T1037" s="8">
        <v>0</v>
      </c>
      <c r="U1037" s="20">
        <v>200000</v>
      </c>
      <c r="V1037" s="1">
        <f t="shared" si="535"/>
        <v>5500</v>
      </c>
    </row>
    <row r="1038" spans="1:258" ht="21.95" customHeight="1" x14ac:dyDescent="0.25">
      <c r="A1038" s="18" t="s">
        <v>1531</v>
      </c>
      <c r="B1038" s="25" t="s">
        <v>675</v>
      </c>
      <c r="C1038" s="12">
        <f t="shared" si="538"/>
        <v>1553000</v>
      </c>
      <c r="D1038" s="20">
        <f t="shared" si="536"/>
        <v>0</v>
      </c>
      <c r="E1038" s="20">
        <v>0</v>
      </c>
      <c r="F1038" s="20">
        <v>0</v>
      </c>
      <c r="G1038" s="20">
        <v>0</v>
      </c>
      <c r="H1038" s="20">
        <v>0</v>
      </c>
      <c r="I1038" s="20">
        <v>0</v>
      </c>
      <c r="J1038" s="20">
        <v>0</v>
      </c>
      <c r="K1038" s="21">
        <v>0</v>
      </c>
      <c r="L1038" s="20">
        <v>0</v>
      </c>
      <c r="M1038" s="8">
        <v>246</v>
      </c>
      <c r="N1038" s="20">
        <f t="shared" si="540"/>
        <v>1353000</v>
      </c>
      <c r="O1038" s="20">
        <v>0</v>
      </c>
      <c r="P1038" s="20">
        <v>0</v>
      </c>
      <c r="Q1038" s="20">
        <v>0</v>
      </c>
      <c r="R1038" s="20">
        <f t="shared" si="534"/>
        <v>0</v>
      </c>
      <c r="S1038" s="20">
        <v>0</v>
      </c>
      <c r="T1038" s="8">
        <v>0</v>
      </c>
      <c r="U1038" s="20">
        <v>200000</v>
      </c>
      <c r="V1038" s="1">
        <f t="shared" si="535"/>
        <v>5500</v>
      </c>
      <c r="W1038" s="17"/>
      <c r="X1038" s="17"/>
      <c r="Y1038" s="17"/>
      <c r="Z1038" s="17"/>
      <c r="AA1038" s="17"/>
      <c r="AB1038" s="17"/>
      <c r="AC1038" s="17"/>
      <c r="AD1038" s="17"/>
      <c r="AE1038" s="17"/>
      <c r="AF1038" s="17"/>
      <c r="AG1038" s="17"/>
      <c r="AH1038" s="17"/>
      <c r="AI1038" s="17"/>
      <c r="AJ1038" s="17"/>
      <c r="AK1038" s="17"/>
      <c r="AL1038" s="17"/>
      <c r="AM1038" s="17"/>
      <c r="AN1038" s="17"/>
      <c r="AO1038" s="17"/>
      <c r="AP1038" s="17"/>
      <c r="AQ1038" s="17"/>
      <c r="AR1038" s="17"/>
      <c r="AS1038" s="17"/>
      <c r="AT1038" s="17"/>
      <c r="AU1038" s="17"/>
      <c r="AV1038" s="17"/>
      <c r="AW1038" s="17"/>
      <c r="AX1038" s="17"/>
      <c r="AY1038" s="17"/>
      <c r="AZ1038" s="17"/>
      <c r="BA1038" s="17"/>
      <c r="BB1038" s="17"/>
      <c r="BC1038" s="17"/>
      <c r="BD1038" s="17"/>
      <c r="BE1038" s="17"/>
      <c r="BF1038" s="17"/>
      <c r="BG1038" s="17"/>
      <c r="BH1038" s="17"/>
      <c r="BI1038" s="17"/>
      <c r="BJ1038" s="17"/>
      <c r="BK1038" s="17"/>
      <c r="BL1038" s="17"/>
      <c r="BM1038" s="17"/>
      <c r="BN1038" s="17"/>
      <c r="BO1038" s="17"/>
      <c r="BP1038" s="17"/>
      <c r="BQ1038" s="17"/>
      <c r="BR1038" s="17"/>
      <c r="BS1038" s="17"/>
      <c r="BT1038" s="17"/>
      <c r="BU1038" s="17"/>
      <c r="BV1038" s="17"/>
      <c r="BW1038" s="17"/>
      <c r="BX1038" s="17"/>
      <c r="BY1038" s="17"/>
      <c r="BZ1038" s="17"/>
      <c r="CA1038" s="17"/>
      <c r="CB1038" s="17"/>
      <c r="CC1038" s="17"/>
      <c r="CD1038" s="17"/>
      <c r="CE1038" s="17"/>
      <c r="CF1038" s="17"/>
      <c r="CG1038" s="17"/>
      <c r="CH1038" s="17"/>
      <c r="CI1038" s="17"/>
      <c r="CJ1038" s="17"/>
      <c r="CK1038" s="17"/>
      <c r="CL1038" s="17"/>
      <c r="CM1038" s="17"/>
      <c r="CN1038" s="17"/>
      <c r="CO1038" s="17"/>
      <c r="CP1038" s="17"/>
      <c r="CQ1038" s="17"/>
      <c r="CR1038" s="17"/>
      <c r="CS1038" s="17"/>
      <c r="CT1038" s="17"/>
      <c r="CU1038" s="17"/>
      <c r="CV1038" s="17"/>
      <c r="CW1038" s="17"/>
      <c r="CX1038" s="17"/>
      <c r="CY1038" s="17"/>
      <c r="CZ1038" s="17"/>
      <c r="DA1038" s="17"/>
      <c r="DB1038" s="17"/>
      <c r="DC1038" s="17"/>
      <c r="DD1038" s="17"/>
      <c r="DE1038" s="17"/>
      <c r="DF1038" s="17"/>
      <c r="DG1038" s="17"/>
      <c r="DH1038" s="17"/>
      <c r="DI1038" s="17"/>
      <c r="DJ1038" s="17"/>
      <c r="DK1038" s="17"/>
      <c r="DL1038" s="17"/>
      <c r="DM1038" s="17"/>
      <c r="DN1038" s="17"/>
      <c r="DO1038" s="17"/>
      <c r="DP1038" s="17"/>
      <c r="DQ1038" s="17"/>
      <c r="DR1038" s="17"/>
      <c r="DS1038" s="17"/>
      <c r="DT1038" s="17"/>
      <c r="DU1038" s="17"/>
      <c r="DV1038" s="17"/>
      <c r="DW1038" s="17"/>
      <c r="DX1038" s="17"/>
      <c r="DY1038" s="17"/>
      <c r="DZ1038" s="17"/>
      <c r="EA1038" s="17"/>
      <c r="EB1038" s="17"/>
      <c r="EC1038" s="17"/>
      <c r="ED1038" s="17"/>
      <c r="EE1038" s="17"/>
      <c r="EF1038" s="17"/>
      <c r="EG1038" s="17"/>
      <c r="EH1038" s="17"/>
      <c r="EI1038" s="17"/>
      <c r="EJ1038" s="17"/>
      <c r="EK1038" s="17"/>
      <c r="EL1038" s="17"/>
      <c r="EM1038" s="17"/>
      <c r="EN1038" s="17"/>
      <c r="EO1038" s="17"/>
      <c r="EP1038" s="17"/>
      <c r="EQ1038" s="17"/>
      <c r="ER1038" s="17"/>
      <c r="ES1038" s="17"/>
      <c r="ET1038" s="17"/>
      <c r="EU1038" s="17"/>
      <c r="EV1038" s="17"/>
      <c r="EW1038" s="17"/>
      <c r="EX1038" s="17"/>
      <c r="EY1038" s="17"/>
      <c r="EZ1038" s="17"/>
      <c r="FA1038" s="17"/>
      <c r="FB1038" s="17"/>
      <c r="FC1038" s="17"/>
      <c r="FD1038" s="17"/>
      <c r="FE1038" s="17"/>
      <c r="FF1038" s="17"/>
      <c r="FG1038" s="17"/>
      <c r="FH1038" s="17"/>
      <c r="FI1038" s="17"/>
      <c r="FJ1038" s="17"/>
      <c r="FK1038" s="17"/>
      <c r="FL1038" s="17"/>
      <c r="FM1038" s="17"/>
      <c r="FN1038" s="17"/>
      <c r="FO1038" s="17"/>
      <c r="FP1038" s="17"/>
      <c r="FQ1038" s="17"/>
      <c r="FR1038" s="17"/>
      <c r="FS1038" s="17"/>
      <c r="FT1038" s="17"/>
      <c r="FU1038" s="17"/>
      <c r="FV1038" s="17"/>
      <c r="FW1038" s="17"/>
      <c r="FX1038" s="17"/>
      <c r="FY1038" s="17"/>
      <c r="FZ1038" s="17"/>
      <c r="GA1038" s="17"/>
      <c r="GB1038" s="17"/>
      <c r="GC1038" s="17"/>
      <c r="GD1038" s="17"/>
      <c r="GE1038" s="17"/>
      <c r="GF1038" s="17"/>
      <c r="GG1038" s="17"/>
      <c r="GH1038" s="17"/>
      <c r="GI1038" s="17"/>
      <c r="GJ1038" s="17"/>
      <c r="GK1038" s="17"/>
      <c r="GL1038" s="17"/>
      <c r="GM1038" s="17"/>
      <c r="GN1038" s="17"/>
      <c r="GO1038" s="17"/>
      <c r="GP1038" s="17"/>
      <c r="GQ1038" s="17"/>
      <c r="GR1038" s="17"/>
      <c r="GS1038" s="17"/>
      <c r="GT1038" s="17"/>
      <c r="GU1038" s="17"/>
      <c r="GV1038" s="17"/>
      <c r="GW1038" s="17"/>
      <c r="GX1038" s="17"/>
      <c r="GY1038" s="17"/>
      <c r="GZ1038" s="17"/>
      <c r="HA1038" s="17"/>
      <c r="HB1038" s="17"/>
      <c r="HC1038" s="17"/>
      <c r="HD1038" s="17"/>
      <c r="HE1038" s="17"/>
      <c r="HF1038" s="17"/>
      <c r="HG1038" s="17"/>
      <c r="HH1038" s="17"/>
      <c r="HI1038" s="17"/>
      <c r="HJ1038" s="17"/>
      <c r="HK1038" s="17"/>
      <c r="HL1038" s="17"/>
      <c r="HM1038" s="17"/>
      <c r="HN1038" s="17"/>
      <c r="HO1038" s="17"/>
      <c r="HP1038" s="17"/>
      <c r="HQ1038" s="17"/>
      <c r="HR1038" s="17"/>
      <c r="HS1038" s="17"/>
      <c r="HT1038" s="17"/>
      <c r="HU1038" s="17"/>
      <c r="HV1038" s="17"/>
      <c r="HW1038" s="17"/>
      <c r="HX1038" s="17"/>
      <c r="HY1038" s="17"/>
      <c r="HZ1038" s="17"/>
      <c r="IA1038" s="17"/>
      <c r="IB1038" s="17"/>
      <c r="IC1038" s="17"/>
      <c r="ID1038" s="17"/>
      <c r="IE1038" s="17"/>
      <c r="IF1038" s="17"/>
      <c r="IG1038" s="17"/>
      <c r="IH1038" s="17"/>
      <c r="II1038" s="17"/>
      <c r="IJ1038" s="17"/>
      <c r="IK1038" s="17"/>
      <c r="IL1038" s="17"/>
      <c r="IM1038" s="17"/>
      <c r="IN1038" s="17"/>
      <c r="IO1038" s="17"/>
      <c r="IP1038" s="17"/>
      <c r="IQ1038" s="17"/>
      <c r="IR1038" s="17"/>
      <c r="IS1038" s="17"/>
      <c r="IT1038" s="17"/>
      <c r="IU1038" s="17"/>
      <c r="IV1038" s="17"/>
      <c r="IW1038" s="17"/>
      <c r="IX1038" s="17"/>
    </row>
    <row r="1039" spans="1:258" ht="21.95" customHeight="1" x14ac:dyDescent="0.25">
      <c r="A1039" s="18" t="s">
        <v>1532</v>
      </c>
      <c r="B1039" s="25" t="s">
        <v>676</v>
      </c>
      <c r="C1039" s="12">
        <f t="shared" si="538"/>
        <v>1570600</v>
      </c>
      <c r="D1039" s="20">
        <f t="shared" si="536"/>
        <v>0</v>
      </c>
      <c r="E1039" s="20">
        <v>0</v>
      </c>
      <c r="F1039" s="20">
        <v>0</v>
      </c>
      <c r="G1039" s="20">
        <v>0</v>
      </c>
      <c r="H1039" s="20">
        <v>0</v>
      </c>
      <c r="I1039" s="20">
        <v>0</v>
      </c>
      <c r="J1039" s="20">
        <v>0</v>
      </c>
      <c r="K1039" s="21">
        <v>0</v>
      </c>
      <c r="L1039" s="20">
        <v>0</v>
      </c>
      <c r="M1039" s="20">
        <v>249.2</v>
      </c>
      <c r="N1039" s="20">
        <f t="shared" si="540"/>
        <v>1370600</v>
      </c>
      <c r="O1039" s="20">
        <v>0</v>
      </c>
      <c r="P1039" s="20">
        <v>0</v>
      </c>
      <c r="Q1039" s="20">
        <v>0</v>
      </c>
      <c r="R1039" s="20">
        <f t="shared" si="534"/>
        <v>0</v>
      </c>
      <c r="S1039" s="20">
        <v>0</v>
      </c>
      <c r="T1039" s="8">
        <v>0</v>
      </c>
      <c r="U1039" s="20">
        <v>200000</v>
      </c>
      <c r="V1039" s="1">
        <f t="shared" si="535"/>
        <v>5500</v>
      </c>
    </row>
    <row r="1040" spans="1:258" ht="21.95" customHeight="1" x14ac:dyDescent="0.25">
      <c r="A1040" s="18" t="s">
        <v>1533</v>
      </c>
      <c r="B1040" s="25" t="s">
        <v>677</v>
      </c>
      <c r="C1040" s="12">
        <f t="shared" si="538"/>
        <v>1656400</v>
      </c>
      <c r="D1040" s="20">
        <f t="shared" si="536"/>
        <v>0</v>
      </c>
      <c r="E1040" s="20">
        <v>0</v>
      </c>
      <c r="F1040" s="20">
        <v>0</v>
      </c>
      <c r="G1040" s="20">
        <v>0</v>
      </c>
      <c r="H1040" s="20">
        <v>0</v>
      </c>
      <c r="I1040" s="20">
        <v>0</v>
      </c>
      <c r="J1040" s="20">
        <v>0</v>
      </c>
      <c r="K1040" s="21">
        <v>0</v>
      </c>
      <c r="L1040" s="20">
        <v>0</v>
      </c>
      <c r="M1040" s="20">
        <v>264.8</v>
      </c>
      <c r="N1040" s="20">
        <f t="shared" si="540"/>
        <v>1456400</v>
      </c>
      <c r="O1040" s="20">
        <v>0</v>
      </c>
      <c r="P1040" s="20">
        <v>0</v>
      </c>
      <c r="Q1040" s="20">
        <v>0</v>
      </c>
      <c r="R1040" s="20">
        <f t="shared" si="534"/>
        <v>0</v>
      </c>
      <c r="S1040" s="20">
        <v>0</v>
      </c>
      <c r="T1040" s="8">
        <v>0</v>
      </c>
      <c r="U1040" s="20">
        <v>200000</v>
      </c>
      <c r="V1040" s="1">
        <f t="shared" si="535"/>
        <v>5500</v>
      </c>
    </row>
    <row r="1041" spans="1:22" ht="21.95" customHeight="1" x14ac:dyDescent="0.25">
      <c r="A1041" s="18" t="s">
        <v>1534</v>
      </c>
      <c r="B1041" s="25" t="s">
        <v>1231</v>
      </c>
      <c r="C1041" s="12">
        <f t="shared" si="538"/>
        <v>6650000</v>
      </c>
      <c r="D1041" s="20">
        <f t="shared" si="536"/>
        <v>0</v>
      </c>
      <c r="E1041" s="20">
        <v>0</v>
      </c>
      <c r="F1041" s="20">
        <v>0</v>
      </c>
      <c r="G1041" s="20">
        <v>0</v>
      </c>
      <c r="H1041" s="20">
        <v>0</v>
      </c>
      <c r="I1041" s="20">
        <v>0</v>
      </c>
      <c r="J1041" s="20">
        <v>0</v>
      </c>
      <c r="K1041" s="21">
        <v>3</v>
      </c>
      <c r="L1041" s="20">
        <f>K1041*2150000</f>
        <v>6450000</v>
      </c>
      <c r="M1041" s="20">
        <v>0</v>
      </c>
      <c r="N1041" s="20">
        <v>0</v>
      </c>
      <c r="O1041" s="20">
        <v>0</v>
      </c>
      <c r="P1041" s="20">
        <v>0</v>
      </c>
      <c r="Q1041" s="20">
        <v>0</v>
      </c>
      <c r="R1041" s="20">
        <f t="shared" si="534"/>
        <v>0</v>
      </c>
      <c r="S1041" s="20">
        <v>0</v>
      </c>
      <c r="T1041" s="8">
        <v>0</v>
      </c>
      <c r="U1041" s="20">
        <v>200000</v>
      </c>
      <c r="V1041" s="1" t="e">
        <f t="shared" si="535"/>
        <v>#DIV/0!</v>
      </c>
    </row>
    <row r="1042" spans="1:22" ht="21.95" customHeight="1" x14ac:dyDescent="0.25">
      <c r="A1042" s="18" t="s">
        <v>1535</v>
      </c>
      <c r="B1042" s="25" t="s">
        <v>769</v>
      </c>
      <c r="C1042" s="12">
        <f t="shared" si="538"/>
        <v>3712758</v>
      </c>
      <c r="D1042" s="20">
        <f t="shared" si="536"/>
        <v>0</v>
      </c>
      <c r="E1042" s="20">
        <v>0</v>
      </c>
      <c r="F1042" s="20">
        <v>0</v>
      </c>
      <c r="G1042" s="20">
        <v>0</v>
      </c>
      <c r="H1042" s="20">
        <v>0</v>
      </c>
      <c r="I1042" s="20">
        <v>0</v>
      </c>
      <c r="J1042" s="20">
        <v>0</v>
      </c>
      <c r="K1042" s="21">
        <v>0</v>
      </c>
      <c r="L1042" s="20">
        <v>0</v>
      </c>
      <c r="M1042" s="8">
        <v>953</v>
      </c>
      <c r="N1042" s="20">
        <f t="shared" ref="N1042:N1045" si="541">M1042*3686</f>
        <v>3512758</v>
      </c>
      <c r="O1042" s="20">
        <v>0</v>
      </c>
      <c r="P1042" s="20">
        <v>0</v>
      </c>
      <c r="Q1042" s="20">
        <v>0</v>
      </c>
      <c r="R1042" s="20">
        <f t="shared" si="534"/>
        <v>0</v>
      </c>
      <c r="S1042" s="20">
        <v>0</v>
      </c>
      <c r="T1042" s="8">
        <v>0</v>
      </c>
      <c r="U1042" s="20">
        <v>200000</v>
      </c>
      <c r="V1042" s="1">
        <f t="shared" si="535"/>
        <v>3686</v>
      </c>
    </row>
    <row r="1043" spans="1:22" ht="21.95" customHeight="1" x14ac:dyDescent="0.25">
      <c r="A1043" s="18" t="s">
        <v>1536</v>
      </c>
      <c r="B1043" s="25" t="s">
        <v>828</v>
      </c>
      <c r="C1043" s="12">
        <f t="shared" si="538"/>
        <v>16918288</v>
      </c>
      <c r="D1043" s="20">
        <f t="shared" si="536"/>
        <v>6173448</v>
      </c>
      <c r="E1043" s="20">
        <f>350*2572.27</f>
        <v>900294.5</v>
      </c>
      <c r="F1043" s="20">
        <f>800*2572.27</f>
        <v>2057816</v>
      </c>
      <c r="G1043" s="20">
        <f>350*2572.27</f>
        <v>900294.5</v>
      </c>
      <c r="H1043" s="20">
        <f>500*2572.27</f>
        <v>1286135</v>
      </c>
      <c r="I1043" s="20">
        <f>400*2572.27</f>
        <v>1028908</v>
      </c>
      <c r="J1043" s="20">
        <v>0</v>
      </c>
      <c r="K1043" s="21">
        <v>0</v>
      </c>
      <c r="L1043" s="20">
        <v>0</v>
      </c>
      <c r="M1043" s="8">
        <v>940</v>
      </c>
      <c r="N1043" s="20">
        <f t="shared" si="541"/>
        <v>3464840</v>
      </c>
      <c r="O1043" s="20">
        <v>0</v>
      </c>
      <c r="P1043" s="20">
        <v>0</v>
      </c>
      <c r="Q1043" s="8">
        <v>2360</v>
      </c>
      <c r="R1043" s="20">
        <f t="shared" si="534"/>
        <v>7080000</v>
      </c>
      <c r="S1043" s="8">
        <v>0</v>
      </c>
      <c r="T1043" s="8">
        <v>0</v>
      </c>
      <c r="U1043" s="20">
        <v>200000</v>
      </c>
      <c r="V1043" s="1">
        <f t="shared" si="535"/>
        <v>3686</v>
      </c>
    </row>
    <row r="1044" spans="1:22" ht="21.95" customHeight="1" x14ac:dyDescent="0.25">
      <c r="A1044" s="18" t="s">
        <v>1537</v>
      </c>
      <c r="B1044" s="25" t="s">
        <v>829</v>
      </c>
      <c r="C1044" s="12">
        <f t="shared" si="538"/>
        <v>21482540</v>
      </c>
      <c r="D1044" s="20">
        <f t="shared" si="536"/>
        <v>8916096</v>
      </c>
      <c r="E1044" s="20">
        <f>350*3715.04</f>
        <v>1300264</v>
      </c>
      <c r="F1044" s="20">
        <f>800*3715.04</f>
        <v>2972032</v>
      </c>
      <c r="G1044" s="20">
        <f>350*3715.04</f>
        <v>1300264</v>
      </c>
      <c r="H1044" s="20">
        <f>500*3715.04</f>
        <v>1857520</v>
      </c>
      <c r="I1044" s="20">
        <f>400*3715.04</f>
        <v>1486016</v>
      </c>
      <c r="J1044" s="20">
        <v>0</v>
      </c>
      <c r="K1044" s="21">
        <v>0</v>
      </c>
      <c r="L1044" s="20">
        <v>0</v>
      </c>
      <c r="M1044" s="8">
        <v>954</v>
      </c>
      <c r="N1044" s="20">
        <f t="shared" si="541"/>
        <v>3516444</v>
      </c>
      <c r="O1044" s="20">
        <v>0</v>
      </c>
      <c r="P1044" s="20">
        <v>0</v>
      </c>
      <c r="Q1044" s="20">
        <v>2950</v>
      </c>
      <c r="R1044" s="20">
        <f t="shared" si="534"/>
        <v>8850000</v>
      </c>
      <c r="S1044" s="20">
        <v>0</v>
      </c>
      <c r="T1044" s="8">
        <v>0</v>
      </c>
      <c r="U1044" s="20">
        <v>200000</v>
      </c>
      <c r="V1044" s="1">
        <f t="shared" si="535"/>
        <v>3686</v>
      </c>
    </row>
    <row r="1045" spans="1:22" ht="21.95" customHeight="1" x14ac:dyDescent="0.25">
      <c r="A1045" s="18" t="s">
        <v>1538</v>
      </c>
      <c r="B1045" s="25" t="s">
        <v>830</v>
      </c>
      <c r="C1045" s="12">
        <f t="shared" si="538"/>
        <v>16875398</v>
      </c>
      <c r="D1045" s="20">
        <f t="shared" si="536"/>
        <v>6112128</v>
      </c>
      <c r="E1045" s="20">
        <f>350*2546.72</f>
        <v>891351.99999999988</v>
      </c>
      <c r="F1045" s="20">
        <f>800*2546.72</f>
        <v>2037375.9999999998</v>
      </c>
      <c r="G1045" s="20">
        <f>350*2546.72</f>
        <v>891351.99999999988</v>
      </c>
      <c r="H1045" s="20">
        <f>500*2546.72</f>
        <v>1273360</v>
      </c>
      <c r="I1045" s="20">
        <f>400*2546.72</f>
        <v>1018687.9999999999</v>
      </c>
      <c r="J1045" s="20">
        <v>0</v>
      </c>
      <c r="K1045" s="21">
        <v>0</v>
      </c>
      <c r="L1045" s="20">
        <v>0</v>
      </c>
      <c r="M1045" s="8">
        <v>945</v>
      </c>
      <c r="N1045" s="20">
        <f t="shared" si="541"/>
        <v>3483270</v>
      </c>
      <c r="O1045" s="20">
        <v>0</v>
      </c>
      <c r="P1045" s="20">
        <v>0</v>
      </c>
      <c r="Q1045" s="8">
        <v>2360</v>
      </c>
      <c r="R1045" s="20">
        <f t="shared" si="534"/>
        <v>7080000</v>
      </c>
      <c r="S1045" s="20">
        <v>0</v>
      </c>
      <c r="T1045" s="8">
        <v>0</v>
      </c>
      <c r="U1045" s="8">
        <v>200000</v>
      </c>
      <c r="V1045" s="1">
        <f t="shared" si="535"/>
        <v>3686</v>
      </c>
    </row>
    <row r="1046" spans="1:22" ht="21.95" customHeight="1" x14ac:dyDescent="0.25">
      <c r="A1046" s="18" t="s">
        <v>1539</v>
      </c>
      <c r="B1046" s="25" t="s">
        <v>678</v>
      </c>
      <c r="C1046" s="12">
        <f t="shared" si="538"/>
        <v>4736350</v>
      </c>
      <c r="D1046" s="20">
        <f t="shared" si="536"/>
        <v>0</v>
      </c>
      <c r="E1046" s="20">
        <v>0</v>
      </c>
      <c r="F1046" s="20">
        <v>0</v>
      </c>
      <c r="G1046" s="20">
        <v>0</v>
      </c>
      <c r="H1046" s="20">
        <v>0</v>
      </c>
      <c r="I1046" s="20">
        <v>0</v>
      </c>
      <c r="J1046" s="20">
        <v>0</v>
      </c>
      <c r="K1046" s="9">
        <v>0</v>
      </c>
      <c r="L1046" s="8">
        <v>0</v>
      </c>
      <c r="M1046" s="8">
        <v>427.7</v>
      </c>
      <c r="N1046" s="20">
        <f t="shared" ref="N1046:N1053" si="542">M1046*5500</f>
        <v>2352350</v>
      </c>
      <c r="O1046" s="8">
        <v>0</v>
      </c>
      <c r="P1046" s="8">
        <v>0</v>
      </c>
      <c r="Q1046" s="8">
        <v>728</v>
      </c>
      <c r="R1046" s="20">
        <f t="shared" si="534"/>
        <v>2184000</v>
      </c>
      <c r="S1046" s="8">
        <v>0</v>
      </c>
      <c r="T1046" s="8">
        <v>0</v>
      </c>
      <c r="U1046" s="8">
        <v>200000</v>
      </c>
      <c r="V1046" s="1">
        <f t="shared" si="535"/>
        <v>5500</v>
      </c>
    </row>
    <row r="1047" spans="1:22" ht="21.95" customHeight="1" x14ac:dyDescent="0.25">
      <c r="A1047" s="18" t="s">
        <v>1540</v>
      </c>
      <c r="B1047" s="25" t="s">
        <v>679</v>
      </c>
      <c r="C1047" s="12">
        <f t="shared" si="538"/>
        <v>2961800</v>
      </c>
      <c r="D1047" s="20">
        <f t="shared" si="536"/>
        <v>0</v>
      </c>
      <c r="E1047" s="20">
        <v>0</v>
      </c>
      <c r="F1047" s="20">
        <v>0</v>
      </c>
      <c r="G1047" s="20">
        <v>0</v>
      </c>
      <c r="H1047" s="20">
        <v>0</v>
      </c>
      <c r="I1047" s="20">
        <v>0</v>
      </c>
      <c r="J1047" s="20">
        <v>0</v>
      </c>
      <c r="K1047" s="9">
        <v>0</v>
      </c>
      <c r="L1047" s="8">
        <v>0</v>
      </c>
      <c r="M1047" s="20">
        <v>303.60000000000002</v>
      </c>
      <c r="N1047" s="20">
        <f t="shared" si="542"/>
        <v>1669800.0000000002</v>
      </c>
      <c r="O1047" s="20">
        <v>0</v>
      </c>
      <c r="P1047" s="20">
        <v>0</v>
      </c>
      <c r="Q1047" s="20">
        <v>364</v>
      </c>
      <c r="R1047" s="20">
        <f t="shared" si="534"/>
        <v>1092000</v>
      </c>
      <c r="S1047" s="8">
        <v>0</v>
      </c>
      <c r="T1047" s="8">
        <v>0</v>
      </c>
      <c r="U1047" s="8">
        <v>200000</v>
      </c>
      <c r="V1047" s="1">
        <f t="shared" si="535"/>
        <v>5500</v>
      </c>
    </row>
    <row r="1048" spans="1:22" ht="21.95" customHeight="1" x14ac:dyDescent="0.25">
      <c r="A1048" s="18" t="s">
        <v>1541</v>
      </c>
      <c r="B1048" s="25" t="s">
        <v>680</v>
      </c>
      <c r="C1048" s="12">
        <f t="shared" si="538"/>
        <v>2942000</v>
      </c>
      <c r="D1048" s="20">
        <f t="shared" si="536"/>
        <v>0</v>
      </c>
      <c r="E1048" s="20">
        <v>0</v>
      </c>
      <c r="F1048" s="20">
        <v>0</v>
      </c>
      <c r="G1048" s="20">
        <v>0</v>
      </c>
      <c r="H1048" s="20">
        <v>0</v>
      </c>
      <c r="I1048" s="20">
        <v>0</v>
      </c>
      <c r="J1048" s="20">
        <v>0</v>
      </c>
      <c r="K1048" s="9">
        <v>0</v>
      </c>
      <c r="L1048" s="8">
        <v>0</v>
      </c>
      <c r="M1048" s="20">
        <v>300</v>
      </c>
      <c r="N1048" s="20">
        <f t="shared" si="542"/>
        <v>1650000</v>
      </c>
      <c r="O1048" s="20">
        <v>0</v>
      </c>
      <c r="P1048" s="20">
        <v>0</v>
      </c>
      <c r="Q1048" s="20">
        <v>364</v>
      </c>
      <c r="R1048" s="20">
        <f t="shared" si="534"/>
        <v>1092000</v>
      </c>
      <c r="S1048" s="20">
        <v>0</v>
      </c>
      <c r="T1048" s="8">
        <v>0</v>
      </c>
      <c r="U1048" s="8">
        <v>200000</v>
      </c>
      <c r="V1048" s="1">
        <f t="shared" si="535"/>
        <v>5500</v>
      </c>
    </row>
    <row r="1049" spans="1:22" ht="21.95" customHeight="1" x14ac:dyDescent="0.25">
      <c r="A1049" s="18" t="s">
        <v>1542</v>
      </c>
      <c r="B1049" s="25" t="s">
        <v>681</v>
      </c>
      <c r="C1049" s="12">
        <f t="shared" si="538"/>
        <v>2968950</v>
      </c>
      <c r="D1049" s="20">
        <f t="shared" si="536"/>
        <v>0</v>
      </c>
      <c r="E1049" s="20">
        <v>0</v>
      </c>
      <c r="F1049" s="20">
        <v>0</v>
      </c>
      <c r="G1049" s="20">
        <v>0</v>
      </c>
      <c r="H1049" s="20">
        <v>0</v>
      </c>
      <c r="I1049" s="20">
        <v>0</v>
      </c>
      <c r="J1049" s="20">
        <v>0</v>
      </c>
      <c r="K1049" s="9">
        <v>0</v>
      </c>
      <c r="L1049" s="8">
        <v>0</v>
      </c>
      <c r="M1049" s="20">
        <v>304.89999999999998</v>
      </c>
      <c r="N1049" s="20">
        <f t="shared" si="542"/>
        <v>1676949.9999999998</v>
      </c>
      <c r="O1049" s="20">
        <v>0</v>
      </c>
      <c r="P1049" s="20">
        <v>0</v>
      </c>
      <c r="Q1049" s="20">
        <v>364</v>
      </c>
      <c r="R1049" s="20">
        <f t="shared" si="534"/>
        <v>1092000</v>
      </c>
      <c r="S1049" s="20">
        <v>0</v>
      </c>
      <c r="T1049" s="8">
        <v>0</v>
      </c>
      <c r="U1049" s="8">
        <v>200000</v>
      </c>
      <c r="V1049" s="1">
        <f t="shared" si="535"/>
        <v>5500</v>
      </c>
    </row>
    <row r="1050" spans="1:22" ht="21.95" customHeight="1" x14ac:dyDescent="0.25">
      <c r="A1050" s="18" t="s">
        <v>1543</v>
      </c>
      <c r="B1050" s="25" t="s">
        <v>770</v>
      </c>
      <c r="C1050" s="12">
        <f t="shared" si="538"/>
        <v>4028000</v>
      </c>
      <c r="D1050" s="20">
        <f t="shared" si="536"/>
        <v>0</v>
      </c>
      <c r="E1050" s="20">
        <v>0</v>
      </c>
      <c r="F1050" s="20">
        <v>0</v>
      </c>
      <c r="G1050" s="20">
        <v>0</v>
      </c>
      <c r="H1050" s="20">
        <v>0</v>
      </c>
      <c r="I1050" s="20">
        <v>0</v>
      </c>
      <c r="J1050" s="20">
        <v>0</v>
      </c>
      <c r="K1050" s="21">
        <v>0</v>
      </c>
      <c r="L1050" s="20">
        <v>0</v>
      </c>
      <c r="M1050" s="8">
        <v>696</v>
      </c>
      <c r="N1050" s="20">
        <f t="shared" si="542"/>
        <v>3828000</v>
      </c>
      <c r="O1050" s="20">
        <v>0</v>
      </c>
      <c r="P1050" s="20">
        <v>0</v>
      </c>
      <c r="Q1050" s="20">
        <v>0</v>
      </c>
      <c r="R1050" s="20">
        <f t="shared" si="534"/>
        <v>0</v>
      </c>
      <c r="S1050" s="20">
        <v>0</v>
      </c>
      <c r="T1050" s="8">
        <v>0</v>
      </c>
      <c r="U1050" s="20">
        <v>200000</v>
      </c>
      <c r="V1050" s="1">
        <f t="shared" si="535"/>
        <v>5500</v>
      </c>
    </row>
    <row r="1051" spans="1:22" ht="21.95" customHeight="1" x14ac:dyDescent="0.25">
      <c r="A1051" s="18" t="s">
        <v>1544</v>
      </c>
      <c r="B1051" s="25" t="s">
        <v>427</v>
      </c>
      <c r="C1051" s="12">
        <f t="shared" si="538"/>
        <v>4282650</v>
      </c>
      <c r="D1051" s="20">
        <f t="shared" si="536"/>
        <v>0</v>
      </c>
      <c r="E1051" s="20">
        <v>0</v>
      </c>
      <c r="F1051" s="20">
        <v>0</v>
      </c>
      <c r="G1051" s="20">
        <v>0</v>
      </c>
      <c r="H1051" s="20">
        <v>0</v>
      </c>
      <c r="I1051" s="20">
        <v>0</v>
      </c>
      <c r="J1051" s="20">
        <v>0</v>
      </c>
      <c r="K1051" s="21">
        <v>0</v>
      </c>
      <c r="L1051" s="20">
        <v>0</v>
      </c>
      <c r="M1051" s="20">
        <v>742.3</v>
      </c>
      <c r="N1051" s="20">
        <f t="shared" si="542"/>
        <v>4082649.9999999995</v>
      </c>
      <c r="O1051" s="20">
        <v>0</v>
      </c>
      <c r="P1051" s="20">
        <v>0</v>
      </c>
      <c r="Q1051" s="20">
        <v>0</v>
      </c>
      <c r="R1051" s="20">
        <f t="shared" si="534"/>
        <v>0</v>
      </c>
      <c r="S1051" s="20">
        <v>0</v>
      </c>
      <c r="T1051" s="8">
        <v>0</v>
      </c>
      <c r="U1051" s="20">
        <v>200000</v>
      </c>
      <c r="V1051" s="1">
        <f t="shared" si="535"/>
        <v>5500</v>
      </c>
    </row>
    <row r="1052" spans="1:22" ht="21.95" customHeight="1" x14ac:dyDescent="0.25">
      <c r="A1052" s="18" t="s">
        <v>1545</v>
      </c>
      <c r="B1052" s="25" t="s">
        <v>428</v>
      </c>
      <c r="C1052" s="12">
        <f t="shared" si="538"/>
        <v>2873000</v>
      </c>
      <c r="D1052" s="20">
        <f t="shared" si="536"/>
        <v>0</v>
      </c>
      <c r="E1052" s="20">
        <v>0</v>
      </c>
      <c r="F1052" s="20">
        <v>0</v>
      </c>
      <c r="G1052" s="20">
        <v>0</v>
      </c>
      <c r="H1052" s="20">
        <v>0</v>
      </c>
      <c r="I1052" s="20">
        <v>0</v>
      </c>
      <c r="J1052" s="20">
        <v>0</v>
      </c>
      <c r="K1052" s="21">
        <v>0</v>
      </c>
      <c r="L1052" s="20">
        <v>0</v>
      </c>
      <c r="M1052" s="20">
        <v>486</v>
      </c>
      <c r="N1052" s="20">
        <f t="shared" si="542"/>
        <v>2673000</v>
      </c>
      <c r="O1052" s="20">
        <v>0</v>
      </c>
      <c r="P1052" s="20">
        <v>0</v>
      </c>
      <c r="Q1052" s="20">
        <v>0</v>
      </c>
      <c r="R1052" s="20">
        <f t="shared" si="534"/>
        <v>0</v>
      </c>
      <c r="S1052" s="20">
        <v>0</v>
      </c>
      <c r="T1052" s="8">
        <v>0</v>
      </c>
      <c r="U1052" s="20">
        <v>200000</v>
      </c>
      <c r="V1052" s="1">
        <f t="shared" si="535"/>
        <v>5500</v>
      </c>
    </row>
    <row r="1053" spans="1:22" ht="21.95" customHeight="1" x14ac:dyDescent="0.25">
      <c r="A1053" s="18" t="s">
        <v>1546</v>
      </c>
      <c r="B1053" s="25" t="s">
        <v>682</v>
      </c>
      <c r="C1053" s="12">
        <f t="shared" si="538"/>
        <v>3197500</v>
      </c>
      <c r="D1053" s="20">
        <f t="shared" si="536"/>
        <v>0</v>
      </c>
      <c r="E1053" s="20">
        <v>0</v>
      </c>
      <c r="F1053" s="20">
        <v>0</v>
      </c>
      <c r="G1053" s="20">
        <v>0</v>
      </c>
      <c r="H1053" s="20">
        <v>0</v>
      </c>
      <c r="I1053" s="20">
        <v>0</v>
      </c>
      <c r="J1053" s="20">
        <v>0</v>
      </c>
      <c r="K1053" s="21">
        <v>0</v>
      </c>
      <c r="L1053" s="20">
        <v>0</v>
      </c>
      <c r="M1053" s="20">
        <v>545</v>
      </c>
      <c r="N1053" s="20">
        <f t="shared" si="542"/>
        <v>2997500</v>
      </c>
      <c r="O1053" s="20">
        <v>0</v>
      </c>
      <c r="P1053" s="20">
        <v>0</v>
      </c>
      <c r="Q1053" s="20">
        <v>0</v>
      </c>
      <c r="R1053" s="20">
        <f t="shared" si="534"/>
        <v>0</v>
      </c>
      <c r="S1053" s="20">
        <v>0</v>
      </c>
      <c r="T1053" s="8">
        <v>0</v>
      </c>
      <c r="U1053" s="20">
        <v>200000</v>
      </c>
      <c r="V1053" s="1">
        <f t="shared" si="535"/>
        <v>5500</v>
      </c>
    </row>
    <row r="1054" spans="1:22" ht="42.95" customHeight="1" x14ac:dyDescent="0.25">
      <c r="A1054" s="63" t="s">
        <v>307</v>
      </c>
      <c r="B1054" s="63"/>
      <c r="C1054" s="12">
        <f t="shared" si="538"/>
        <v>8709395</v>
      </c>
      <c r="D1054" s="12">
        <f t="shared" ref="D1054:U1054" si="543">SUM(D1055)</f>
        <v>4364655</v>
      </c>
      <c r="E1054" s="12">
        <f t="shared" si="543"/>
        <v>650055</v>
      </c>
      <c r="F1054" s="12">
        <f t="shared" si="543"/>
        <v>1485840</v>
      </c>
      <c r="G1054" s="12">
        <f t="shared" si="543"/>
        <v>557190</v>
      </c>
      <c r="H1054" s="12">
        <f t="shared" si="543"/>
        <v>928650</v>
      </c>
      <c r="I1054" s="12">
        <f t="shared" si="543"/>
        <v>742920</v>
      </c>
      <c r="J1054" s="12">
        <f t="shared" si="543"/>
        <v>0</v>
      </c>
      <c r="K1054" s="13">
        <f t="shared" si="543"/>
        <v>0</v>
      </c>
      <c r="L1054" s="12">
        <f t="shared" si="543"/>
        <v>0</v>
      </c>
      <c r="M1054" s="12">
        <f t="shared" si="543"/>
        <v>0</v>
      </c>
      <c r="N1054" s="12">
        <f t="shared" si="543"/>
        <v>0</v>
      </c>
      <c r="O1054" s="12">
        <f t="shared" si="543"/>
        <v>0</v>
      </c>
      <c r="P1054" s="12">
        <f t="shared" si="543"/>
        <v>0</v>
      </c>
      <c r="Q1054" s="12">
        <f t="shared" si="543"/>
        <v>1381.58</v>
      </c>
      <c r="R1054" s="12">
        <f t="shared" si="543"/>
        <v>4144740</v>
      </c>
      <c r="S1054" s="12">
        <f t="shared" si="543"/>
        <v>0</v>
      </c>
      <c r="T1054" s="12">
        <f t="shared" si="543"/>
        <v>0</v>
      </c>
      <c r="U1054" s="12">
        <f t="shared" si="543"/>
        <v>200000</v>
      </c>
    </row>
    <row r="1055" spans="1:22" ht="23.1" customHeight="1" x14ac:dyDescent="0.25">
      <c r="A1055" s="26" t="s">
        <v>1547</v>
      </c>
      <c r="B1055" s="25" t="s">
        <v>308</v>
      </c>
      <c r="C1055" s="12">
        <f t="shared" si="538"/>
        <v>8709395</v>
      </c>
      <c r="D1055" s="20">
        <f t="shared" ref="D1055" si="544">SUM(E1055:J1055)</f>
        <v>4364655</v>
      </c>
      <c r="E1055" s="8">
        <f>350*1857.3</f>
        <v>650055</v>
      </c>
      <c r="F1055" s="8">
        <f>800*1857.3</f>
        <v>1485840</v>
      </c>
      <c r="G1055" s="8">
        <f>300*1857.3</f>
        <v>557190</v>
      </c>
      <c r="H1055" s="8">
        <f>500*1857.3</f>
        <v>928650</v>
      </c>
      <c r="I1055" s="8">
        <f>400*1857.3</f>
        <v>742920</v>
      </c>
      <c r="J1055" s="8">
        <f>350*0</f>
        <v>0</v>
      </c>
      <c r="K1055" s="9">
        <v>0</v>
      </c>
      <c r="L1055" s="8">
        <v>0</v>
      </c>
      <c r="M1055" s="8">
        <v>0</v>
      </c>
      <c r="N1055" s="8">
        <v>0</v>
      </c>
      <c r="O1055" s="8">
        <v>0</v>
      </c>
      <c r="P1055" s="8">
        <v>0</v>
      </c>
      <c r="Q1055" s="8">
        <v>1381.58</v>
      </c>
      <c r="R1055" s="20">
        <f>Q1055*3000</f>
        <v>4144740</v>
      </c>
      <c r="S1055" s="8">
        <v>0</v>
      </c>
      <c r="T1055" s="8">
        <v>0</v>
      </c>
      <c r="U1055" s="8">
        <v>200000</v>
      </c>
      <c r="V1055" s="1" t="e">
        <f t="shared" ref="V1055" si="545">N1055/M1055</f>
        <v>#DIV/0!</v>
      </c>
    </row>
    <row r="1056" spans="1:22" ht="42.95" customHeight="1" x14ac:dyDescent="0.25">
      <c r="A1056" s="63" t="s">
        <v>283</v>
      </c>
      <c r="B1056" s="63"/>
      <c r="C1056" s="12">
        <f t="shared" si="538"/>
        <v>4505060</v>
      </c>
      <c r="D1056" s="12">
        <f t="shared" ref="D1056:U1056" si="546">SUM(D1057)</f>
        <v>772560</v>
      </c>
      <c r="E1056" s="12">
        <f t="shared" si="546"/>
        <v>146160</v>
      </c>
      <c r="F1056" s="12">
        <f t="shared" si="546"/>
        <v>334080</v>
      </c>
      <c r="G1056" s="12">
        <f t="shared" si="546"/>
        <v>125280</v>
      </c>
      <c r="H1056" s="12">
        <f t="shared" si="546"/>
        <v>0</v>
      </c>
      <c r="I1056" s="12">
        <f t="shared" si="546"/>
        <v>167040</v>
      </c>
      <c r="J1056" s="12">
        <f t="shared" si="546"/>
        <v>0</v>
      </c>
      <c r="K1056" s="13">
        <f t="shared" si="546"/>
        <v>0</v>
      </c>
      <c r="L1056" s="12">
        <f t="shared" si="546"/>
        <v>0</v>
      </c>
      <c r="M1056" s="12">
        <f t="shared" si="546"/>
        <v>432</v>
      </c>
      <c r="N1056" s="12">
        <f t="shared" si="546"/>
        <v>2376000</v>
      </c>
      <c r="O1056" s="12">
        <f t="shared" si="546"/>
        <v>0</v>
      </c>
      <c r="P1056" s="12">
        <f t="shared" si="546"/>
        <v>0</v>
      </c>
      <c r="Q1056" s="12">
        <f t="shared" si="546"/>
        <v>385.5</v>
      </c>
      <c r="R1056" s="12">
        <f t="shared" si="546"/>
        <v>1156500</v>
      </c>
      <c r="S1056" s="12">
        <f t="shared" si="546"/>
        <v>0</v>
      </c>
      <c r="T1056" s="12">
        <f t="shared" si="546"/>
        <v>0</v>
      </c>
      <c r="U1056" s="12">
        <f t="shared" si="546"/>
        <v>200000</v>
      </c>
    </row>
    <row r="1057" spans="1:22" ht="23.1" customHeight="1" x14ac:dyDescent="0.25">
      <c r="A1057" s="18" t="s">
        <v>1548</v>
      </c>
      <c r="B1057" s="25" t="s">
        <v>306</v>
      </c>
      <c r="C1057" s="12">
        <f t="shared" si="538"/>
        <v>4505060</v>
      </c>
      <c r="D1057" s="20">
        <f t="shared" ref="D1057" si="547">SUM(E1057:J1057)</f>
        <v>772560</v>
      </c>
      <c r="E1057" s="20">
        <f>350*417.6</f>
        <v>146160</v>
      </c>
      <c r="F1057" s="20">
        <f>800*417.6</f>
        <v>334080</v>
      </c>
      <c r="G1057" s="20">
        <f>300*417.6</f>
        <v>125280</v>
      </c>
      <c r="H1057" s="20">
        <f>500*0</f>
        <v>0</v>
      </c>
      <c r="I1057" s="20">
        <f>400*417.6</f>
        <v>167040</v>
      </c>
      <c r="J1057" s="20">
        <f>350*0</f>
        <v>0</v>
      </c>
      <c r="K1057" s="21">
        <v>0</v>
      </c>
      <c r="L1057" s="20">
        <v>0</v>
      </c>
      <c r="M1057" s="20">
        <v>432</v>
      </c>
      <c r="N1057" s="20">
        <f>M1057*5500</f>
        <v>2376000</v>
      </c>
      <c r="O1057" s="20">
        <v>0</v>
      </c>
      <c r="P1057" s="20">
        <v>0</v>
      </c>
      <c r="Q1057" s="20">
        <v>385.5</v>
      </c>
      <c r="R1057" s="20">
        <f>Q1057*3000</f>
        <v>1156500</v>
      </c>
      <c r="S1057" s="20">
        <v>0</v>
      </c>
      <c r="T1057" s="20">
        <v>0</v>
      </c>
      <c r="U1057" s="20">
        <v>200000</v>
      </c>
      <c r="V1057" s="1">
        <f t="shared" ref="V1057" si="548">N1057/M1057</f>
        <v>5500</v>
      </c>
    </row>
    <row r="1058" spans="1:22" ht="42.95" customHeight="1" x14ac:dyDescent="0.25">
      <c r="A1058" s="63" t="s">
        <v>1601</v>
      </c>
      <c r="B1058" s="63"/>
      <c r="C1058" s="12">
        <f t="shared" si="538"/>
        <v>7584140</v>
      </c>
      <c r="D1058" s="12">
        <f t="shared" ref="D1058:U1058" si="549">SUM(D1059)</f>
        <v>7484140</v>
      </c>
      <c r="E1058" s="12">
        <f t="shared" si="549"/>
        <v>0</v>
      </c>
      <c r="F1058" s="12">
        <f t="shared" si="549"/>
        <v>2920640</v>
      </c>
      <c r="G1058" s="12">
        <f t="shared" si="549"/>
        <v>1277780</v>
      </c>
      <c r="H1058" s="12">
        <f t="shared" si="549"/>
        <v>1825400</v>
      </c>
      <c r="I1058" s="12">
        <f t="shared" si="549"/>
        <v>1460320</v>
      </c>
      <c r="J1058" s="12">
        <f t="shared" si="549"/>
        <v>0</v>
      </c>
      <c r="K1058" s="13">
        <f t="shared" si="549"/>
        <v>0</v>
      </c>
      <c r="L1058" s="12">
        <f t="shared" si="549"/>
        <v>0</v>
      </c>
      <c r="M1058" s="12">
        <f t="shared" si="549"/>
        <v>0</v>
      </c>
      <c r="N1058" s="12">
        <f t="shared" si="549"/>
        <v>0</v>
      </c>
      <c r="O1058" s="12">
        <f t="shared" si="549"/>
        <v>0</v>
      </c>
      <c r="P1058" s="12">
        <f t="shared" si="549"/>
        <v>0</v>
      </c>
      <c r="Q1058" s="12">
        <f t="shared" si="549"/>
        <v>0</v>
      </c>
      <c r="R1058" s="12">
        <f t="shared" si="549"/>
        <v>0</v>
      </c>
      <c r="S1058" s="12">
        <f t="shared" si="549"/>
        <v>0</v>
      </c>
      <c r="T1058" s="12">
        <f t="shared" si="549"/>
        <v>0</v>
      </c>
      <c r="U1058" s="12">
        <f t="shared" si="549"/>
        <v>100000</v>
      </c>
    </row>
    <row r="1059" spans="1:22" ht="23.1" customHeight="1" x14ac:dyDescent="0.25">
      <c r="A1059" s="18" t="s">
        <v>1549</v>
      </c>
      <c r="B1059" s="25" t="s">
        <v>1602</v>
      </c>
      <c r="C1059" s="12">
        <f t="shared" si="538"/>
        <v>7584140</v>
      </c>
      <c r="D1059" s="20">
        <f t="shared" ref="D1059" si="550">SUM(E1059:J1059)</f>
        <v>7484140</v>
      </c>
      <c r="E1059" s="20">
        <f>350*0</f>
        <v>0</v>
      </c>
      <c r="F1059" s="20">
        <f>800*3650.8</f>
        <v>2920640</v>
      </c>
      <c r="G1059" s="20">
        <f>350*3650.8</f>
        <v>1277780</v>
      </c>
      <c r="H1059" s="20">
        <f>500*3650.8</f>
        <v>1825400</v>
      </c>
      <c r="I1059" s="20">
        <f>400*3650.8</f>
        <v>1460320</v>
      </c>
      <c r="J1059" s="20">
        <v>0</v>
      </c>
      <c r="K1059" s="21">
        <v>0</v>
      </c>
      <c r="L1059" s="20">
        <v>0</v>
      </c>
      <c r="M1059" s="20">
        <v>0</v>
      </c>
      <c r="N1059" s="20">
        <v>0</v>
      </c>
      <c r="O1059" s="20">
        <v>0</v>
      </c>
      <c r="P1059" s="20">
        <v>0</v>
      </c>
      <c r="Q1059" s="20">
        <v>0</v>
      </c>
      <c r="R1059" s="20">
        <v>0</v>
      </c>
      <c r="S1059" s="20">
        <v>0</v>
      </c>
      <c r="T1059" s="20">
        <v>0</v>
      </c>
      <c r="U1059" s="20">
        <v>100000</v>
      </c>
      <c r="V1059" s="1" t="e">
        <f t="shared" ref="V1059" si="551">N1059/M1059</f>
        <v>#DIV/0!</v>
      </c>
    </row>
    <row r="1060" spans="1:22" ht="42.95" customHeight="1" x14ac:dyDescent="0.25">
      <c r="A1060" s="63" t="s">
        <v>286</v>
      </c>
      <c r="B1060" s="63"/>
      <c r="C1060" s="12">
        <f t="shared" si="538"/>
        <v>4075620</v>
      </c>
      <c r="D1060" s="12">
        <f t="shared" ref="D1060:U1060" si="552">SUM(D1061:D1061)</f>
        <v>906720</v>
      </c>
      <c r="E1060" s="12">
        <f t="shared" si="552"/>
        <v>132230</v>
      </c>
      <c r="F1060" s="12">
        <f t="shared" si="552"/>
        <v>302240</v>
      </c>
      <c r="G1060" s="12">
        <f t="shared" si="552"/>
        <v>132230</v>
      </c>
      <c r="H1060" s="12">
        <f t="shared" si="552"/>
        <v>188900</v>
      </c>
      <c r="I1060" s="12">
        <f t="shared" si="552"/>
        <v>151120</v>
      </c>
      <c r="J1060" s="12">
        <f t="shared" si="552"/>
        <v>0</v>
      </c>
      <c r="K1060" s="13">
        <f t="shared" si="552"/>
        <v>0</v>
      </c>
      <c r="L1060" s="12">
        <f t="shared" si="552"/>
        <v>0</v>
      </c>
      <c r="M1060" s="12">
        <f t="shared" si="552"/>
        <v>377.8</v>
      </c>
      <c r="N1060" s="12">
        <f t="shared" si="552"/>
        <v>2077900</v>
      </c>
      <c r="O1060" s="12">
        <f t="shared" si="552"/>
        <v>0</v>
      </c>
      <c r="P1060" s="12">
        <f t="shared" si="552"/>
        <v>0</v>
      </c>
      <c r="Q1060" s="12">
        <f t="shared" si="552"/>
        <v>297</v>
      </c>
      <c r="R1060" s="12">
        <f t="shared" si="552"/>
        <v>891000</v>
      </c>
      <c r="S1060" s="12">
        <f t="shared" si="552"/>
        <v>0</v>
      </c>
      <c r="T1060" s="12">
        <f t="shared" si="552"/>
        <v>0</v>
      </c>
      <c r="U1060" s="12">
        <f t="shared" si="552"/>
        <v>200000</v>
      </c>
      <c r="V1060" s="22">
        <f>C1060</f>
        <v>4075620</v>
      </c>
    </row>
    <row r="1061" spans="1:22" ht="23.1" customHeight="1" x14ac:dyDescent="0.25">
      <c r="A1061" s="18" t="s">
        <v>1550</v>
      </c>
      <c r="B1061" s="25" t="s">
        <v>287</v>
      </c>
      <c r="C1061" s="12">
        <f t="shared" si="538"/>
        <v>4075620</v>
      </c>
      <c r="D1061" s="20">
        <f t="shared" ref="D1061" si="553">SUM(E1061:J1061)</f>
        <v>906720</v>
      </c>
      <c r="E1061" s="20">
        <f>350*377.8</f>
        <v>132230</v>
      </c>
      <c r="F1061" s="20">
        <f>800*377.8</f>
        <v>302240</v>
      </c>
      <c r="G1061" s="20">
        <f>350*377.8</f>
        <v>132230</v>
      </c>
      <c r="H1061" s="20">
        <f>500*377.8</f>
        <v>188900</v>
      </c>
      <c r="I1061" s="20">
        <f>400*377.8</f>
        <v>151120</v>
      </c>
      <c r="J1061" s="20">
        <v>0</v>
      </c>
      <c r="K1061" s="21">
        <v>0</v>
      </c>
      <c r="L1061" s="20">
        <v>0</v>
      </c>
      <c r="M1061" s="20">
        <v>377.8</v>
      </c>
      <c r="N1061" s="20">
        <f t="shared" ref="N1061" si="554">M1061*5500</f>
        <v>2077900</v>
      </c>
      <c r="O1061" s="20">
        <v>0</v>
      </c>
      <c r="P1061" s="20">
        <v>0</v>
      </c>
      <c r="Q1061" s="20">
        <v>297</v>
      </c>
      <c r="R1061" s="20">
        <f t="shared" ref="R1061" si="555">Q1061*3000</f>
        <v>891000</v>
      </c>
      <c r="S1061" s="20">
        <v>0</v>
      </c>
      <c r="T1061" s="20">
        <v>0</v>
      </c>
      <c r="U1061" s="20">
        <v>200000</v>
      </c>
      <c r="V1061" s="1">
        <f t="shared" ref="V1061" si="556">N1061/M1061</f>
        <v>5500</v>
      </c>
    </row>
    <row r="1062" spans="1:22" ht="42.95" customHeight="1" x14ac:dyDescent="0.25">
      <c r="A1062" s="63" t="s">
        <v>288</v>
      </c>
      <c r="B1062" s="63"/>
      <c r="C1062" s="12">
        <f t="shared" si="538"/>
        <v>7488100</v>
      </c>
      <c r="D1062" s="12">
        <f t="shared" ref="D1062:U1062" si="557">SUM(D1063:D1065)</f>
        <v>1014000</v>
      </c>
      <c r="E1062" s="12">
        <f t="shared" si="557"/>
        <v>147875</v>
      </c>
      <c r="F1062" s="12">
        <f t="shared" si="557"/>
        <v>338000</v>
      </c>
      <c r="G1062" s="12">
        <f t="shared" si="557"/>
        <v>147875</v>
      </c>
      <c r="H1062" s="12">
        <f t="shared" si="557"/>
        <v>211250</v>
      </c>
      <c r="I1062" s="12">
        <f t="shared" si="557"/>
        <v>169000</v>
      </c>
      <c r="J1062" s="12">
        <f t="shared" si="557"/>
        <v>0</v>
      </c>
      <c r="K1062" s="13">
        <f t="shared" si="557"/>
        <v>0</v>
      </c>
      <c r="L1062" s="12">
        <f t="shared" si="557"/>
        <v>0</v>
      </c>
      <c r="M1062" s="12">
        <f t="shared" si="557"/>
        <v>866.2</v>
      </c>
      <c r="N1062" s="12">
        <f t="shared" si="557"/>
        <v>4764100</v>
      </c>
      <c r="O1062" s="12">
        <f t="shared" si="557"/>
        <v>0</v>
      </c>
      <c r="P1062" s="12">
        <f t="shared" si="557"/>
        <v>0</v>
      </c>
      <c r="Q1062" s="12">
        <f t="shared" si="557"/>
        <v>370</v>
      </c>
      <c r="R1062" s="12">
        <f t="shared" si="557"/>
        <v>1110000</v>
      </c>
      <c r="S1062" s="12">
        <f t="shared" si="557"/>
        <v>0</v>
      </c>
      <c r="T1062" s="12">
        <f t="shared" si="557"/>
        <v>0</v>
      </c>
      <c r="U1062" s="12">
        <f t="shared" si="557"/>
        <v>600000</v>
      </c>
    </row>
    <row r="1063" spans="1:22" ht="23.1" customHeight="1" x14ac:dyDescent="0.25">
      <c r="A1063" s="18" t="s">
        <v>1551</v>
      </c>
      <c r="B1063" s="25" t="s">
        <v>310</v>
      </c>
      <c r="C1063" s="12">
        <f t="shared" si="538"/>
        <v>1774100</v>
      </c>
      <c r="D1063" s="20">
        <f t="shared" ref="D1063:D1065" si="558">SUM(E1063:J1063)</f>
        <v>0</v>
      </c>
      <c r="E1063" s="20">
        <v>0</v>
      </c>
      <c r="F1063" s="20">
        <v>0</v>
      </c>
      <c r="G1063" s="20">
        <v>0</v>
      </c>
      <c r="H1063" s="20">
        <v>0</v>
      </c>
      <c r="I1063" s="20">
        <v>0</v>
      </c>
      <c r="J1063" s="20">
        <v>0</v>
      </c>
      <c r="K1063" s="21">
        <v>0</v>
      </c>
      <c r="L1063" s="20">
        <v>0</v>
      </c>
      <c r="M1063" s="20">
        <v>286.2</v>
      </c>
      <c r="N1063" s="20">
        <f t="shared" ref="N1063:N1065" si="559">M1063*5500</f>
        <v>1574100</v>
      </c>
      <c r="O1063" s="20">
        <v>0</v>
      </c>
      <c r="P1063" s="20">
        <v>0</v>
      </c>
      <c r="Q1063" s="20">
        <v>0</v>
      </c>
      <c r="R1063" s="20">
        <f t="shared" ref="R1063:R1065" si="560">Q1063*3000</f>
        <v>0</v>
      </c>
      <c r="S1063" s="20">
        <v>0</v>
      </c>
      <c r="T1063" s="20">
        <v>0</v>
      </c>
      <c r="U1063" s="20">
        <v>200000</v>
      </c>
      <c r="V1063" s="1">
        <f t="shared" ref="V1063:V1065" si="561">N1063/M1063</f>
        <v>5500</v>
      </c>
    </row>
    <row r="1064" spans="1:22" ht="23.1" customHeight="1" x14ac:dyDescent="0.25">
      <c r="A1064" s="18" t="s">
        <v>1552</v>
      </c>
      <c r="B1064" s="25" t="s">
        <v>838</v>
      </c>
      <c r="C1064" s="12">
        <f t="shared" si="538"/>
        <v>3919000</v>
      </c>
      <c r="D1064" s="20">
        <f t="shared" si="558"/>
        <v>1014000</v>
      </c>
      <c r="E1064" s="20">
        <f>350*422.5</f>
        <v>147875</v>
      </c>
      <c r="F1064" s="20">
        <f>800*422.5</f>
        <v>338000</v>
      </c>
      <c r="G1064" s="20">
        <f>350*422.5</f>
        <v>147875</v>
      </c>
      <c r="H1064" s="20">
        <f>500*422.5</f>
        <v>211250</v>
      </c>
      <c r="I1064" s="20">
        <f>400*422.5</f>
        <v>169000</v>
      </c>
      <c r="J1064" s="20">
        <v>0</v>
      </c>
      <c r="K1064" s="21">
        <v>0</v>
      </c>
      <c r="L1064" s="20">
        <v>0</v>
      </c>
      <c r="M1064" s="20">
        <v>290</v>
      </c>
      <c r="N1064" s="20">
        <f t="shared" si="559"/>
        <v>1595000</v>
      </c>
      <c r="O1064" s="20">
        <v>0</v>
      </c>
      <c r="P1064" s="20">
        <v>0</v>
      </c>
      <c r="Q1064" s="20">
        <v>370</v>
      </c>
      <c r="R1064" s="20">
        <f t="shared" si="560"/>
        <v>1110000</v>
      </c>
      <c r="S1064" s="20">
        <v>0</v>
      </c>
      <c r="T1064" s="20">
        <v>0</v>
      </c>
      <c r="U1064" s="20">
        <v>200000</v>
      </c>
      <c r="V1064" s="1">
        <f t="shared" si="561"/>
        <v>5500</v>
      </c>
    </row>
    <row r="1065" spans="1:22" ht="23.1" customHeight="1" x14ac:dyDescent="0.25">
      <c r="A1065" s="18" t="s">
        <v>1553</v>
      </c>
      <c r="B1065" s="25" t="s">
        <v>839</v>
      </c>
      <c r="C1065" s="12">
        <f t="shared" si="538"/>
        <v>1795000</v>
      </c>
      <c r="D1065" s="20">
        <f t="shared" si="558"/>
        <v>0</v>
      </c>
      <c r="E1065" s="20">
        <v>0</v>
      </c>
      <c r="F1065" s="20">
        <v>0</v>
      </c>
      <c r="G1065" s="20">
        <v>0</v>
      </c>
      <c r="H1065" s="20">
        <v>0</v>
      </c>
      <c r="I1065" s="20">
        <v>0</v>
      </c>
      <c r="J1065" s="20">
        <v>0</v>
      </c>
      <c r="K1065" s="21">
        <v>0</v>
      </c>
      <c r="L1065" s="20">
        <v>0</v>
      </c>
      <c r="M1065" s="20">
        <v>290</v>
      </c>
      <c r="N1065" s="20">
        <f t="shared" si="559"/>
        <v>1595000</v>
      </c>
      <c r="O1065" s="20">
        <v>0</v>
      </c>
      <c r="P1065" s="20">
        <v>0</v>
      </c>
      <c r="Q1065" s="20">
        <v>0</v>
      </c>
      <c r="R1065" s="20">
        <f t="shared" si="560"/>
        <v>0</v>
      </c>
      <c r="S1065" s="20">
        <v>0</v>
      </c>
      <c r="T1065" s="20">
        <v>0</v>
      </c>
      <c r="U1065" s="20">
        <v>200000</v>
      </c>
      <c r="V1065" s="1">
        <f t="shared" si="561"/>
        <v>5500</v>
      </c>
    </row>
    <row r="1066" spans="1:22" ht="42.95" customHeight="1" x14ac:dyDescent="0.25">
      <c r="A1066" s="63" t="s">
        <v>293</v>
      </c>
      <c r="B1066" s="63"/>
      <c r="C1066" s="12">
        <f t="shared" si="538"/>
        <v>9698000</v>
      </c>
      <c r="D1066" s="12">
        <f t="shared" ref="D1066:U1066" si="562">SUM(D1067:D1068)</f>
        <v>1014000</v>
      </c>
      <c r="E1066" s="12">
        <f t="shared" si="562"/>
        <v>147875</v>
      </c>
      <c r="F1066" s="12">
        <f t="shared" si="562"/>
        <v>338000</v>
      </c>
      <c r="G1066" s="12">
        <f t="shared" si="562"/>
        <v>147875</v>
      </c>
      <c r="H1066" s="12">
        <f t="shared" si="562"/>
        <v>211250</v>
      </c>
      <c r="I1066" s="12">
        <f t="shared" si="562"/>
        <v>169000</v>
      </c>
      <c r="J1066" s="12">
        <f t="shared" si="562"/>
        <v>0</v>
      </c>
      <c r="K1066" s="13">
        <f t="shared" si="562"/>
        <v>0</v>
      </c>
      <c r="L1066" s="12">
        <f t="shared" si="562"/>
        <v>0</v>
      </c>
      <c r="M1066" s="12">
        <f t="shared" si="562"/>
        <v>622</v>
      </c>
      <c r="N1066" s="12">
        <f t="shared" si="562"/>
        <v>3421000</v>
      </c>
      <c r="O1066" s="12">
        <f t="shared" si="562"/>
        <v>0</v>
      </c>
      <c r="P1066" s="12">
        <f t="shared" si="562"/>
        <v>0</v>
      </c>
      <c r="Q1066" s="12">
        <f t="shared" si="562"/>
        <v>1621</v>
      </c>
      <c r="R1066" s="12">
        <f t="shared" si="562"/>
        <v>4863000</v>
      </c>
      <c r="S1066" s="12">
        <f t="shared" si="562"/>
        <v>0</v>
      </c>
      <c r="T1066" s="12">
        <f t="shared" si="562"/>
        <v>0</v>
      </c>
      <c r="U1066" s="12">
        <f t="shared" si="562"/>
        <v>400000</v>
      </c>
    </row>
    <row r="1067" spans="1:22" ht="23.1" customHeight="1" x14ac:dyDescent="0.25">
      <c r="A1067" s="18" t="s">
        <v>1554</v>
      </c>
      <c r="B1067" s="25" t="s">
        <v>296</v>
      </c>
      <c r="C1067" s="12">
        <f t="shared" si="538"/>
        <v>4313000</v>
      </c>
      <c r="D1067" s="20">
        <f t="shared" ref="D1067:D1068" si="563">SUM(E1067:J1067)</f>
        <v>0</v>
      </c>
      <c r="E1067" s="20">
        <v>0</v>
      </c>
      <c r="F1067" s="20">
        <v>0</v>
      </c>
      <c r="G1067" s="20">
        <v>0</v>
      </c>
      <c r="H1067" s="20">
        <v>0</v>
      </c>
      <c r="I1067" s="20">
        <v>0</v>
      </c>
      <c r="J1067" s="20">
        <v>0</v>
      </c>
      <c r="K1067" s="21">
        <v>0</v>
      </c>
      <c r="L1067" s="20">
        <v>0</v>
      </c>
      <c r="M1067" s="20">
        <v>300</v>
      </c>
      <c r="N1067" s="20">
        <f t="shared" ref="N1067:N1068" si="564">M1067*5500</f>
        <v>1650000</v>
      </c>
      <c r="O1067" s="20">
        <v>0</v>
      </c>
      <c r="P1067" s="20">
        <v>0</v>
      </c>
      <c r="Q1067" s="20">
        <v>821</v>
      </c>
      <c r="R1067" s="20">
        <f t="shared" ref="R1067:R1068" si="565">Q1067*3000</f>
        <v>2463000</v>
      </c>
      <c r="S1067" s="20">
        <v>0</v>
      </c>
      <c r="T1067" s="20">
        <v>0</v>
      </c>
      <c r="U1067" s="20">
        <v>200000</v>
      </c>
      <c r="V1067" s="1">
        <f t="shared" ref="V1067:V1068" si="566">N1067/M1067</f>
        <v>5500</v>
      </c>
    </row>
    <row r="1068" spans="1:22" ht="23.1" customHeight="1" x14ac:dyDescent="0.25">
      <c r="A1068" s="18" t="s">
        <v>1555</v>
      </c>
      <c r="B1068" s="25" t="s">
        <v>297</v>
      </c>
      <c r="C1068" s="12">
        <f t="shared" si="538"/>
        <v>5385000</v>
      </c>
      <c r="D1068" s="20">
        <f t="shared" si="563"/>
        <v>1014000</v>
      </c>
      <c r="E1068" s="20">
        <f>350*422.5</f>
        <v>147875</v>
      </c>
      <c r="F1068" s="20">
        <f>800*422.5</f>
        <v>338000</v>
      </c>
      <c r="G1068" s="20">
        <f>350*422.5</f>
        <v>147875</v>
      </c>
      <c r="H1068" s="20">
        <f>500*422.5</f>
        <v>211250</v>
      </c>
      <c r="I1068" s="20">
        <f>400*422.5</f>
        <v>169000</v>
      </c>
      <c r="J1068" s="20">
        <v>0</v>
      </c>
      <c r="K1068" s="21">
        <v>0</v>
      </c>
      <c r="L1068" s="20">
        <v>0</v>
      </c>
      <c r="M1068" s="20">
        <v>322</v>
      </c>
      <c r="N1068" s="20">
        <f t="shared" si="564"/>
        <v>1771000</v>
      </c>
      <c r="O1068" s="20">
        <v>0</v>
      </c>
      <c r="P1068" s="20">
        <v>0</v>
      </c>
      <c r="Q1068" s="20">
        <v>800</v>
      </c>
      <c r="R1068" s="20">
        <f t="shared" si="565"/>
        <v>2400000</v>
      </c>
      <c r="S1068" s="20">
        <v>0</v>
      </c>
      <c r="T1068" s="20">
        <v>0</v>
      </c>
      <c r="U1068" s="20">
        <v>200000</v>
      </c>
      <c r="V1068" s="1">
        <f t="shared" si="566"/>
        <v>5500</v>
      </c>
    </row>
    <row r="1069" spans="1:22" ht="42.95" customHeight="1" x14ac:dyDescent="0.25">
      <c r="A1069" s="63" t="s">
        <v>316</v>
      </c>
      <c r="B1069" s="63"/>
      <c r="C1069" s="12">
        <f t="shared" si="538"/>
        <v>6882100</v>
      </c>
      <c r="D1069" s="12">
        <f t="shared" ref="D1069:U1069" si="567">SUM(D1070:D1071)</f>
        <v>267400</v>
      </c>
      <c r="E1069" s="12">
        <f t="shared" si="567"/>
        <v>267400</v>
      </c>
      <c r="F1069" s="12">
        <f t="shared" si="567"/>
        <v>0</v>
      </c>
      <c r="G1069" s="12">
        <f t="shared" si="567"/>
        <v>0</v>
      </c>
      <c r="H1069" s="12">
        <f t="shared" si="567"/>
        <v>0</v>
      </c>
      <c r="I1069" s="12">
        <f t="shared" si="567"/>
        <v>0</v>
      </c>
      <c r="J1069" s="12">
        <f t="shared" si="567"/>
        <v>0</v>
      </c>
      <c r="K1069" s="13">
        <f t="shared" si="567"/>
        <v>0</v>
      </c>
      <c r="L1069" s="12">
        <f t="shared" si="567"/>
        <v>0</v>
      </c>
      <c r="M1069" s="12">
        <f t="shared" si="567"/>
        <v>608</v>
      </c>
      <c r="N1069" s="12">
        <f t="shared" si="567"/>
        <v>3344000</v>
      </c>
      <c r="O1069" s="12">
        <f t="shared" si="567"/>
        <v>0</v>
      </c>
      <c r="P1069" s="12">
        <f t="shared" si="567"/>
        <v>0</v>
      </c>
      <c r="Q1069" s="12">
        <f t="shared" si="567"/>
        <v>882</v>
      </c>
      <c r="R1069" s="12">
        <f t="shared" si="567"/>
        <v>2646000</v>
      </c>
      <c r="S1069" s="12">
        <f t="shared" si="567"/>
        <v>224700</v>
      </c>
      <c r="T1069" s="12">
        <f t="shared" si="567"/>
        <v>0</v>
      </c>
      <c r="U1069" s="12">
        <f t="shared" si="567"/>
        <v>400000</v>
      </c>
    </row>
    <row r="1070" spans="1:22" ht="23.1" customHeight="1" x14ac:dyDescent="0.25">
      <c r="A1070" s="48" t="s">
        <v>1556</v>
      </c>
      <c r="B1070" s="25" t="s">
        <v>319</v>
      </c>
      <c r="C1070" s="12">
        <f t="shared" si="538"/>
        <v>3256300</v>
      </c>
      <c r="D1070" s="20">
        <f t="shared" ref="D1070:D1071" si="568">SUM(E1070:J1070)</f>
        <v>107800</v>
      </c>
      <c r="E1070" s="8">
        <f>308*350</f>
        <v>107800</v>
      </c>
      <c r="F1070" s="8">
        <v>0</v>
      </c>
      <c r="G1070" s="8">
        <v>0</v>
      </c>
      <c r="H1070" s="8">
        <v>0</v>
      </c>
      <c r="I1070" s="8">
        <v>0</v>
      </c>
      <c r="J1070" s="8">
        <v>0</v>
      </c>
      <c r="K1070" s="9">
        <v>0</v>
      </c>
      <c r="L1070" s="8">
        <v>0</v>
      </c>
      <c r="M1070" s="8">
        <v>280</v>
      </c>
      <c r="N1070" s="20">
        <f t="shared" ref="N1070:N1071" si="569">M1070*5500</f>
        <v>1540000</v>
      </c>
      <c r="O1070" s="8">
        <v>0</v>
      </c>
      <c r="P1070" s="8">
        <v>0</v>
      </c>
      <c r="Q1070" s="8">
        <v>431</v>
      </c>
      <c r="R1070" s="20">
        <f t="shared" ref="R1070:R1071" si="570">Q1070*3000</f>
        <v>1293000</v>
      </c>
      <c r="S1070" s="8">
        <v>115500</v>
      </c>
      <c r="T1070" s="8">
        <v>0</v>
      </c>
      <c r="U1070" s="8">
        <v>200000</v>
      </c>
      <c r="V1070" s="1">
        <f t="shared" ref="V1070:V1071" si="571">N1070/M1070</f>
        <v>5500</v>
      </c>
    </row>
    <row r="1071" spans="1:22" ht="23.1" customHeight="1" x14ac:dyDescent="0.25">
      <c r="A1071" s="48" t="s">
        <v>1557</v>
      </c>
      <c r="B1071" s="25" t="s">
        <v>321</v>
      </c>
      <c r="C1071" s="12">
        <f t="shared" si="538"/>
        <v>3625800</v>
      </c>
      <c r="D1071" s="20">
        <f t="shared" si="568"/>
        <v>159600</v>
      </c>
      <c r="E1071" s="8">
        <f>456*350</f>
        <v>159600</v>
      </c>
      <c r="F1071" s="8">
        <v>0</v>
      </c>
      <c r="G1071" s="8">
        <v>0</v>
      </c>
      <c r="H1071" s="8">
        <v>0</v>
      </c>
      <c r="I1071" s="8">
        <v>0</v>
      </c>
      <c r="J1071" s="8">
        <v>0</v>
      </c>
      <c r="K1071" s="9">
        <v>0</v>
      </c>
      <c r="L1071" s="8">
        <v>0</v>
      </c>
      <c r="M1071" s="8">
        <v>328</v>
      </c>
      <c r="N1071" s="20">
        <f t="shared" si="569"/>
        <v>1804000</v>
      </c>
      <c r="O1071" s="8">
        <v>0</v>
      </c>
      <c r="P1071" s="8">
        <v>0</v>
      </c>
      <c r="Q1071" s="8">
        <v>451</v>
      </c>
      <c r="R1071" s="20">
        <f t="shared" si="570"/>
        <v>1353000</v>
      </c>
      <c r="S1071" s="8">
        <v>109200</v>
      </c>
      <c r="T1071" s="8">
        <v>0</v>
      </c>
      <c r="U1071" s="8">
        <v>200000</v>
      </c>
      <c r="V1071" s="1">
        <f t="shared" si="571"/>
        <v>5500</v>
      </c>
    </row>
    <row r="1072" spans="1:22" ht="42.95" customHeight="1" x14ac:dyDescent="0.25">
      <c r="A1072" s="63" t="s">
        <v>322</v>
      </c>
      <c r="B1072" s="63"/>
      <c r="C1072" s="12">
        <f t="shared" si="538"/>
        <v>2900450</v>
      </c>
      <c r="D1072" s="12">
        <f t="shared" ref="D1072:U1072" si="572">SUM(D1073)</f>
        <v>0</v>
      </c>
      <c r="E1072" s="12">
        <f t="shared" si="572"/>
        <v>0</v>
      </c>
      <c r="F1072" s="12">
        <f t="shared" si="572"/>
        <v>0</v>
      </c>
      <c r="G1072" s="12">
        <f t="shared" si="572"/>
        <v>0</v>
      </c>
      <c r="H1072" s="12">
        <f t="shared" si="572"/>
        <v>0</v>
      </c>
      <c r="I1072" s="12">
        <f t="shared" si="572"/>
        <v>0</v>
      </c>
      <c r="J1072" s="12">
        <f t="shared" si="572"/>
        <v>0</v>
      </c>
      <c r="K1072" s="13">
        <f t="shared" si="572"/>
        <v>0</v>
      </c>
      <c r="L1072" s="12">
        <f t="shared" si="572"/>
        <v>0</v>
      </c>
      <c r="M1072" s="12">
        <f t="shared" si="572"/>
        <v>321.89999999999998</v>
      </c>
      <c r="N1072" s="12">
        <f t="shared" si="572"/>
        <v>1770449.9999999998</v>
      </c>
      <c r="O1072" s="12">
        <f t="shared" si="572"/>
        <v>0</v>
      </c>
      <c r="P1072" s="12">
        <f t="shared" si="572"/>
        <v>0</v>
      </c>
      <c r="Q1072" s="12">
        <f t="shared" si="572"/>
        <v>310</v>
      </c>
      <c r="R1072" s="12">
        <f t="shared" si="572"/>
        <v>930000</v>
      </c>
      <c r="S1072" s="12">
        <f t="shared" si="572"/>
        <v>0</v>
      </c>
      <c r="T1072" s="12">
        <f t="shared" si="572"/>
        <v>0</v>
      </c>
      <c r="U1072" s="12">
        <f t="shared" si="572"/>
        <v>200000</v>
      </c>
      <c r="V1072" s="22">
        <f>C1072</f>
        <v>2900450</v>
      </c>
    </row>
    <row r="1073" spans="1:22" ht="23.1" customHeight="1" x14ac:dyDescent="0.25">
      <c r="A1073" s="26" t="s">
        <v>1558</v>
      </c>
      <c r="B1073" s="25" t="s">
        <v>323</v>
      </c>
      <c r="C1073" s="12">
        <f t="shared" si="538"/>
        <v>2900450</v>
      </c>
      <c r="D1073" s="20">
        <f t="shared" ref="D1073" si="573">SUM(E1073:J1073)</f>
        <v>0</v>
      </c>
      <c r="E1073" s="20">
        <v>0</v>
      </c>
      <c r="F1073" s="20">
        <v>0</v>
      </c>
      <c r="G1073" s="20">
        <v>0</v>
      </c>
      <c r="H1073" s="20">
        <v>0</v>
      </c>
      <c r="I1073" s="20">
        <v>0</v>
      </c>
      <c r="J1073" s="20">
        <v>0</v>
      </c>
      <c r="K1073" s="21">
        <v>0</v>
      </c>
      <c r="L1073" s="20">
        <v>0</v>
      </c>
      <c r="M1073" s="20">
        <v>321.89999999999998</v>
      </c>
      <c r="N1073" s="20">
        <f>M1073*5500</f>
        <v>1770449.9999999998</v>
      </c>
      <c r="O1073" s="20">
        <v>0</v>
      </c>
      <c r="P1073" s="20">
        <v>0</v>
      </c>
      <c r="Q1073" s="34">
        <v>310</v>
      </c>
      <c r="R1073" s="20">
        <f>Q1073*3000</f>
        <v>930000</v>
      </c>
      <c r="S1073" s="20">
        <v>0</v>
      </c>
      <c r="T1073" s="20">
        <v>0</v>
      </c>
      <c r="U1073" s="20">
        <v>200000</v>
      </c>
      <c r="V1073" s="1">
        <f t="shared" ref="V1073" si="574">N1073/M1073</f>
        <v>5500</v>
      </c>
    </row>
    <row r="1074" spans="1:22" ht="42.95" customHeight="1" x14ac:dyDescent="0.25">
      <c r="A1074" s="63" t="s">
        <v>1209</v>
      </c>
      <c r="B1074" s="63"/>
      <c r="C1074" s="12">
        <f t="shared" si="538"/>
        <v>3804300</v>
      </c>
      <c r="D1074" s="12">
        <f t="shared" ref="D1074:U1074" si="575">SUM(D1075)</f>
        <v>3604300</v>
      </c>
      <c r="E1074" s="12">
        <f t="shared" si="575"/>
        <v>663950</v>
      </c>
      <c r="F1074" s="12">
        <f t="shared" si="575"/>
        <v>1517600</v>
      </c>
      <c r="G1074" s="12">
        <f t="shared" si="575"/>
        <v>663950</v>
      </c>
      <c r="H1074" s="12">
        <f t="shared" si="575"/>
        <v>0</v>
      </c>
      <c r="I1074" s="12">
        <f t="shared" si="575"/>
        <v>758800</v>
      </c>
      <c r="J1074" s="12">
        <f t="shared" si="575"/>
        <v>0</v>
      </c>
      <c r="K1074" s="13">
        <f t="shared" si="575"/>
        <v>0</v>
      </c>
      <c r="L1074" s="12">
        <f t="shared" si="575"/>
        <v>0</v>
      </c>
      <c r="M1074" s="12">
        <f t="shared" si="575"/>
        <v>0</v>
      </c>
      <c r="N1074" s="12">
        <f t="shared" si="575"/>
        <v>0</v>
      </c>
      <c r="O1074" s="12">
        <f t="shared" si="575"/>
        <v>0</v>
      </c>
      <c r="P1074" s="12">
        <f t="shared" si="575"/>
        <v>0</v>
      </c>
      <c r="Q1074" s="12">
        <f t="shared" si="575"/>
        <v>0</v>
      </c>
      <c r="R1074" s="12">
        <f t="shared" si="575"/>
        <v>0</v>
      </c>
      <c r="S1074" s="12">
        <f t="shared" si="575"/>
        <v>0</v>
      </c>
      <c r="T1074" s="12">
        <f t="shared" si="575"/>
        <v>0</v>
      </c>
      <c r="U1074" s="12">
        <f t="shared" si="575"/>
        <v>200000</v>
      </c>
      <c r="V1074" s="22">
        <f>C1074</f>
        <v>3804300</v>
      </c>
    </row>
    <row r="1075" spans="1:22" ht="23.1" customHeight="1" x14ac:dyDescent="0.25">
      <c r="A1075" s="18" t="s">
        <v>1559</v>
      </c>
      <c r="B1075" s="25" t="s">
        <v>326</v>
      </c>
      <c r="C1075" s="12">
        <f t="shared" si="538"/>
        <v>3804300</v>
      </c>
      <c r="D1075" s="20">
        <f t="shared" ref="D1075" si="576">SUM(E1075:J1075)</f>
        <v>3604300</v>
      </c>
      <c r="E1075" s="20">
        <f>350*1897</f>
        <v>663950</v>
      </c>
      <c r="F1075" s="20">
        <f>800*1897</f>
        <v>1517600</v>
      </c>
      <c r="G1075" s="20">
        <f>350*1897</f>
        <v>663950</v>
      </c>
      <c r="H1075" s="20">
        <f>500*0</f>
        <v>0</v>
      </c>
      <c r="I1075" s="20">
        <f>400*1897</f>
        <v>758800</v>
      </c>
      <c r="J1075" s="20">
        <v>0</v>
      </c>
      <c r="K1075" s="21">
        <v>0</v>
      </c>
      <c r="L1075" s="20">
        <v>0</v>
      </c>
      <c r="M1075" s="20">
        <v>0</v>
      </c>
      <c r="N1075" s="20">
        <v>0</v>
      </c>
      <c r="O1075" s="20">
        <v>0</v>
      </c>
      <c r="P1075" s="20">
        <v>0</v>
      </c>
      <c r="Q1075" s="20">
        <v>0</v>
      </c>
      <c r="R1075" s="20">
        <v>0</v>
      </c>
      <c r="S1075" s="20">
        <v>0</v>
      </c>
      <c r="T1075" s="20">
        <v>0</v>
      </c>
      <c r="U1075" s="20">
        <v>200000</v>
      </c>
      <c r="V1075" s="1" t="e">
        <f t="shared" ref="V1075" si="577">N1075/M1075</f>
        <v>#DIV/0!</v>
      </c>
    </row>
    <row r="1076" spans="1:22" ht="42.95" customHeight="1" x14ac:dyDescent="0.25">
      <c r="A1076" s="63" t="s">
        <v>1208</v>
      </c>
      <c r="B1076" s="63"/>
      <c r="C1076" s="12">
        <f t="shared" si="538"/>
        <v>2348490</v>
      </c>
      <c r="D1076" s="12">
        <f t="shared" ref="D1076:U1076" si="578">SUM(D1077)</f>
        <v>121589.99999999999</v>
      </c>
      <c r="E1076" s="12">
        <f t="shared" si="578"/>
        <v>121589.99999999999</v>
      </c>
      <c r="F1076" s="12">
        <f t="shared" si="578"/>
        <v>0</v>
      </c>
      <c r="G1076" s="12">
        <f t="shared" si="578"/>
        <v>0</v>
      </c>
      <c r="H1076" s="12">
        <f t="shared" si="578"/>
        <v>0</v>
      </c>
      <c r="I1076" s="12">
        <f t="shared" si="578"/>
        <v>0</v>
      </c>
      <c r="J1076" s="12">
        <f t="shared" si="578"/>
        <v>0</v>
      </c>
      <c r="K1076" s="13">
        <f t="shared" si="578"/>
        <v>0</v>
      </c>
      <c r="L1076" s="12">
        <f t="shared" si="578"/>
        <v>0</v>
      </c>
      <c r="M1076" s="12">
        <f t="shared" si="578"/>
        <v>235</v>
      </c>
      <c r="N1076" s="12">
        <f t="shared" si="578"/>
        <v>1292500</v>
      </c>
      <c r="O1076" s="12">
        <f t="shared" si="578"/>
        <v>0</v>
      </c>
      <c r="P1076" s="12">
        <f t="shared" si="578"/>
        <v>0</v>
      </c>
      <c r="Q1076" s="12">
        <f t="shared" si="578"/>
        <v>244.8</v>
      </c>
      <c r="R1076" s="12">
        <f t="shared" si="578"/>
        <v>734400</v>
      </c>
      <c r="S1076" s="12">
        <f t="shared" si="578"/>
        <v>0</v>
      </c>
      <c r="T1076" s="12">
        <f t="shared" si="578"/>
        <v>0</v>
      </c>
      <c r="U1076" s="12">
        <f t="shared" si="578"/>
        <v>200000</v>
      </c>
    </row>
    <row r="1077" spans="1:22" ht="23.1" customHeight="1" x14ac:dyDescent="0.25">
      <c r="A1077" s="18" t="s">
        <v>1560</v>
      </c>
      <c r="B1077" s="25" t="s">
        <v>324</v>
      </c>
      <c r="C1077" s="12">
        <f t="shared" ref="C1077:C1100" si="579">D1077+L1077+N1077+P1077+R1077+S1077+T1077+U1077</f>
        <v>2348490</v>
      </c>
      <c r="D1077" s="20">
        <f t="shared" ref="D1077" si="580">SUM(E1077:J1077)</f>
        <v>121589.99999999999</v>
      </c>
      <c r="E1077" s="20">
        <f>350*347.4</f>
        <v>121589.99999999999</v>
      </c>
      <c r="F1077" s="20">
        <f>800*0</f>
        <v>0</v>
      </c>
      <c r="G1077" s="20">
        <f>350*0</f>
        <v>0</v>
      </c>
      <c r="H1077" s="20">
        <f>500*0</f>
        <v>0</v>
      </c>
      <c r="I1077" s="20">
        <f>400*0</f>
        <v>0</v>
      </c>
      <c r="J1077" s="20">
        <v>0</v>
      </c>
      <c r="K1077" s="21">
        <v>0</v>
      </c>
      <c r="L1077" s="20">
        <v>0</v>
      </c>
      <c r="M1077" s="20">
        <v>235</v>
      </c>
      <c r="N1077" s="20">
        <f>M1077*5500</f>
        <v>1292500</v>
      </c>
      <c r="O1077" s="20">
        <v>0</v>
      </c>
      <c r="P1077" s="20">
        <v>0</v>
      </c>
      <c r="Q1077" s="20">
        <v>244.8</v>
      </c>
      <c r="R1077" s="20">
        <f>Q1077*3000</f>
        <v>734400</v>
      </c>
      <c r="S1077" s="20">
        <v>0</v>
      </c>
      <c r="T1077" s="20">
        <v>0</v>
      </c>
      <c r="U1077" s="20">
        <v>200000</v>
      </c>
      <c r="V1077" s="1">
        <f t="shared" ref="V1077" si="581">N1077/M1077</f>
        <v>5500</v>
      </c>
    </row>
    <row r="1078" spans="1:22" ht="42.95" customHeight="1" x14ac:dyDescent="0.25">
      <c r="A1078" s="63" t="s">
        <v>328</v>
      </c>
      <c r="B1078" s="63"/>
      <c r="C1078" s="12">
        <f t="shared" si="579"/>
        <v>10042500</v>
      </c>
      <c r="D1078" s="12">
        <f t="shared" ref="D1078:U1078" si="582">SUM(D1079:D1080)</f>
        <v>0</v>
      </c>
      <c r="E1078" s="12">
        <f t="shared" si="582"/>
        <v>0</v>
      </c>
      <c r="F1078" s="12">
        <f t="shared" si="582"/>
        <v>0</v>
      </c>
      <c r="G1078" s="12">
        <f t="shared" si="582"/>
        <v>0</v>
      </c>
      <c r="H1078" s="12">
        <f t="shared" si="582"/>
        <v>0</v>
      </c>
      <c r="I1078" s="12">
        <f t="shared" si="582"/>
        <v>0</v>
      </c>
      <c r="J1078" s="12">
        <f t="shared" si="582"/>
        <v>0</v>
      </c>
      <c r="K1078" s="13">
        <f t="shared" si="582"/>
        <v>0</v>
      </c>
      <c r="L1078" s="12">
        <f t="shared" si="582"/>
        <v>0</v>
      </c>
      <c r="M1078" s="12">
        <f t="shared" si="582"/>
        <v>1175</v>
      </c>
      <c r="N1078" s="12">
        <f t="shared" si="582"/>
        <v>6462500</v>
      </c>
      <c r="O1078" s="12">
        <f t="shared" si="582"/>
        <v>0</v>
      </c>
      <c r="P1078" s="12">
        <f t="shared" si="582"/>
        <v>0</v>
      </c>
      <c r="Q1078" s="12">
        <f t="shared" si="582"/>
        <v>1060</v>
      </c>
      <c r="R1078" s="12">
        <f t="shared" si="582"/>
        <v>3180000</v>
      </c>
      <c r="S1078" s="12">
        <f t="shared" si="582"/>
        <v>0</v>
      </c>
      <c r="T1078" s="12">
        <f t="shared" si="582"/>
        <v>0</v>
      </c>
      <c r="U1078" s="12">
        <f t="shared" si="582"/>
        <v>400000</v>
      </c>
    </row>
    <row r="1079" spans="1:22" ht="23.1" customHeight="1" x14ac:dyDescent="0.25">
      <c r="A1079" s="26" t="s">
        <v>1561</v>
      </c>
      <c r="B1079" s="25" t="s">
        <v>1391</v>
      </c>
      <c r="C1079" s="12">
        <f t="shared" si="579"/>
        <v>8330000</v>
      </c>
      <c r="D1079" s="20">
        <f t="shared" ref="D1079:D1080" si="583">SUM(E1079:J1079)</f>
        <v>0</v>
      </c>
      <c r="E1079" s="20">
        <v>0</v>
      </c>
      <c r="F1079" s="20">
        <v>0</v>
      </c>
      <c r="G1079" s="20">
        <v>0</v>
      </c>
      <c r="H1079" s="20">
        <v>0</v>
      </c>
      <c r="I1079" s="20">
        <v>0</v>
      </c>
      <c r="J1079" s="20">
        <v>0</v>
      </c>
      <c r="K1079" s="9">
        <v>0</v>
      </c>
      <c r="L1079" s="8">
        <v>0</v>
      </c>
      <c r="M1079" s="8">
        <v>900</v>
      </c>
      <c r="N1079" s="20">
        <f t="shared" ref="N1079:N1080" si="584">M1079*5500</f>
        <v>4950000</v>
      </c>
      <c r="O1079" s="8">
        <v>0</v>
      </c>
      <c r="P1079" s="8">
        <v>0</v>
      </c>
      <c r="Q1079" s="8">
        <v>1060</v>
      </c>
      <c r="R1079" s="20">
        <f>Q1079*3000</f>
        <v>3180000</v>
      </c>
      <c r="S1079" s="8">
        <v>0</v>
      </c>
      <c r="T1079" s="8">
        <v>0</v>
      </c>
      <c r="U1079" s="8">
        <v>200000</v>
      </c>
      <c r="V1079" s="1">
        <f t="shared" ref="V1079:V1080" si="585">N1079/M1079</f>
        <v>5500</v>
      </c>
    </row>
    <row r="1080" spans="1:22" ht="23.1" customHeight="1" x14ac:dyDescent="0.25">
      <c r="A1080" s="18" t="s">
        <v>1562</v>
      </c>
      <c r="B1080" s="25" t="s">
        <v>331</v>
      </c>
      <c r="C1080" s="12">
        <f t="shared" si="579"/>
        <v>1712500</v>
      </c>
      <c r="D1080" s="20">
        <f t="shared" si="583"/>
        <v>0</v>
      </c>
      <c r="E1080" s="20">
        <v>0</v>
      </c>
      <c r="F1080" s="20">
        <v>0</v>
      </c>
      <c r="G1080" s="20">
        <v>0</v>
      </c>
      <c r="H1080" s="20">
        <v>0</v>
      </c>
      <c r="I1080" s="20">
        <v>0</v>
      </c>
      <c r="J1080" s="20">
        <v>0</v>
      </c>
      <c r="K1080" s="21">
        <v>0</v>
      </c>
      <c r="L1080" s="20">
        <v>0</v>
      </c>
      <c r="M1080" s="20">
        <v>275</v>
      </c>
      <c r="N1080" s="20">
        <f t="shared" si="584"/>
        <v>1512500</v>
      </c>
      <c r="O1080" s="20">
        <v>0</v>
      </c>
      <c r="P1080" s="20">
        <v>0</v>
      </c>
      <c r="Q1080" s="20">
        <v>0</v>
      </c>
      <c r="R1080" s="20">
        <v>0</v>
      </c>
      <c r="S1080" s="20">
        <v>0</v>
      </c>
      <c r="T1080" s="20">
        <v>0</v>
      </c>
      <c r="U1080" s="20">
        <v>200000</v>
      </c>
      <c r="V1080" s="1">
        <f t="shared" si="585"/>
        <v>5500</v>
      </c>
    </row>
    <row r="1081" spans="1:22" ht="42.95" customHeight="1" x14ac:dyDescent="0.25">
      <c r="A1081" s="63" t="s">
        <v>335</v>
      </c>
      <c r="B1081" s="63"/>
      <c r="C1081" s="12">
        <f t="shared" si="579"/>
        <v>2466280</v>
      </c>
      <c r="D1081" s="12">
        <f t="shared" ref="D1081:U1081" si="586">SUM(D1082)</f>
        <v>566279.99999999988</v>
      </c>
      <c r="E1081" s="12">
        <f t="shared" si="586"/>
        <v>180179.99999999997</v>
      </c>
      <c r="F1081" s="12">
        <f t="shared" si="586"/>
        <v>0</v>
      </c>
      <c r="G1081" s="12">
        <f t="shared" si="586"/>
        <v>180179.99999999997</v>
      </c>
      <c r="H1081" s="12">
        <f t="shared" si="586"/>
        <v>0</v>
      </c>
      <c r="I1081" s="12">
        <f t="shared" si="586"/>
        <v>205919.99999999997</v>
      </c>
      <c r="J1081" s="12">
        <f t="shared" si="586"/>
        <v>0</v>
      </c>
      <c r="K1081" s="13">
        <f t="shared" si="586"/>
        <v>0</v>
      </c>
      <c r="L1081" s="12">
        <f t="shared" si="586"/>
        <v>0</v>
      </c>
      <c r="M1081" s="12">
        <f t="shared" si="586"/>
        <v>0</v>
      </c>
      <c r="N1081" s="12">
        <f t="shared" si="586"/>
        <v>0</v>
      </c>
      <c r="O1081" s="12">
        <f t="shared" si="586"/>
        <v>0</v>
      </c>
      <c r="P1081" s="12">
        <f t="shared" si="586"/>
        <v>0</v>
      </c>
      <c r="Q1081" s="12">
        <f t="shared" si="586"/>
        <v>600</v>
      </c>
      <c r="R1081" s="12">
        <f t="shared" si="586"/>
        <v>1800000</v>
      </c>
      <c r="S1081" s="12">
        <f t="shared" si="586"/>
        <v>0</v>
      </c>
      <c r="T1081" s="12">
        <f t="shared" si="586"/>
        <v>0</v>
      </c>
      <c r="U1081" s="12">
        <f t="shared" si="586"/>
        <v>100000</v>
      </c>
    </row>
    <row r="1082" spans="1:22" ht="23.1" customHeight="1" x14ac:dyDescent="0.25">
      <c r="A1082" s="26" t="s">
        <v>1935</v>
      </c>
      <c r="B1082" s="25" t="s">
        <v>1604</v>
      </c>
      <c r="C1082" s="12">
        <f t="shared" si="579"/>
        <v>2466280</v>
      </c>
      <c r="D1082" s="20">
        <f t="shared" ref="D1082" si="587">SUM(E1082:J1082)</f>
        <v>566279.99999999988</v>
      </c>
      <c r="E1082" s="20">
        <f>350*514.8</f>
        <v>180179.99999999997</v>
      </c>
      <c r="F1082" s="20">
        <f>800*0</f>
        <v>0</v>
      </c>
      <c r="G1082" s="20">
        <f>350*514.8</f>
        <v>180179.99999999997</v>
      </c>
      <c r="H1082" s="20">
        <f>500*0</f>
        <v>0</v>
      </c>
      <c r="I1082" s="20">
        <f>400*514.8</f>
        <v>205919.99999999997</v>
      </c>
      <c r="J1082" s="20">
        <v>0</v>
      </c>
      <c r="K1082" s="9">
        <v>0</v>
      </c>
      <c r="L1082" s="8">
        <v>0</v>
      </c>
      <c r="M1082" s="8">
        <v>0</v>
      </c>
      <c r="N1082" s="8">
        <v>0</v>
      </c>
      <c r="O1082" s="8">
        <v>0</v>
      </c>
      <c r="P1082" s="8">
        <v>0</v>
      </c>
      <c r="Q1082" s="8">
        <v>600</v>
      </c>
      <c r="R1082" s="20">
        <f>Q1082*3000</f>
        <v>1800000</v>
      </c>
      <c r="S1082" s="8">
        <v>0</v>
      </c>
      <c r="T1082" s="8">
        <v>0</v>
      </c>
      <c r="U1082" s="8">
        <v>100000</v>
      </c>
      <c r="V1082" s="1" t="e">
        <f t="shared" ref="V1082" si="588">N1082/M1082</f>
        <v>#DIV/0!</v>
      </c>
    </row>
    <row r="1083" spans="1:22" ht="45" customHeight="1" x14ac:dyDescent="0.25">
      <c r="A1083" s="63" t="s">
        <v>1937</v>
      </c>
      <c r="B1083" s="63"/>
      <c r="C1083" s="12">
        <f t="shared" si="579"/>
        <v>105967240</v>
      </c>
      <c r="D1083" s="12">
        <f t="shared" ref="D1083:U1083" si="589">SUM(D1084:D1095)</f>
        <v>27781390</v>
      </c>
      <c r="E1083" s="12">
        <f t="shared" si="589"/>
        <v>4994710</v>
      </c>
      <c r="F1083" s="12">
        <f t="shared" si="589"/>
        <v>11416480</v>
      </c>
      <c r="G1083" s="12">
        <f t="shared" si="589"/>
        <v>4994710</v>
      </c>
      <c r="H1083" s="12">
        <f t="shared" si="589"/>
        <v>667250</v>
      </c>
      <c r="I1083" s="12">
        <f t="shared" si="589"/>
        <v>5708240</v>
      </c>
      <c r="J1083" s="12">
        <f t="shared" si="589"/>
        <v>0</v>
      </c>
      <c r="K1083" s="13">
        <f t="shared" si="589"/>
        <v>0</v>
      </c>
      <c r="L1083" s="12">
        <f t="shared" si="589"/>
        <v>0</v>
      </c>
      <c r="M1083" s="12">
        <f t="shared" si="589"/>
        <v>7026.6</v>
      </c>
      <c r="N1083" s="12">
        <f t="shared" si="589"/>
        <v>38646300</v>
      </c>
      <c r="O1083" s="12">
        <f t="shared" si="589"/>
        <v>382</v>
      </c>
      <c r="P1083" s="12">
        <f t="shared" si="589"/>
        <v>458400</v>
      </c>
      <c r="Q1083" s="12">
        <f t="shared" si="589"/>
        <v>12134.300000000001</v>
      </c>
      <c r="R1083" s="12">
        <f t="shared" si="589"/>
        <v>36402900</v>
      </c>
      <c r="S1083" s="12">
        <f t="shared" si="589"/>
        <v>278250</v>
      </c>
      <c r="T1083" s="12">
        <f t="shared" si="589"/>
        <v>0</v>
      </c>
      <c r="U1083" s="12">
        <f t="shared" si="589"/>
        <v>2400000</v>
      </c>
    </row>
    <row r="1084" spans="1:22" ht="21.95" customHeight="1" x14ac:dyDescent="0.25">
      <c r="A1084" s="18" t="s">
        <v>1563</v>
      </c>
      <c r="B1084" s="25" t="s">
        <v>362</v>
      </c>
      <c r="C1084" s="12">
        <f t="shared" si="579"/>
        <v>5233220</v>
      </c>
      <c r="D1084" s="20">
        <f t="shared" ref="D1084:D1095" si="590">SUM(E1084:J1084)</f>
        <v>1615920</v>
      </c>
      <c r="E1084" s="20">
        <f>350*673.3</f>
        <v>235654.99999999997</v>
      </c>
      <c r="F1084" s="20">
        <f>800*673.3</f>
        <v>538640</v>
      </c>
      <c r="G1084" s="20">
        <f>350*673.3</f>
        <v>235654.99999999997</v>
      </c>
      <c r="H1084" s="20">
        <f>500*673.3</f>
        <v>336650</v>
      </c>
      <c r="I1084" s="20">
        <f>400*673.3</f>
        <v>269320</v>
      </c>
      <c r="J1084" s="20">
        <v>0</v>
      </c>
      <c r="K1084" s="21">
        <v>0</v>
      </c>
      <c r="L1084" s="20">
        <v>0</v>
      </c>
      <c r="M1084" s="20">
        <v>378.6</v>
      </c>
      <c r="N1084" s="20">
        <f t="shared" ref="N1084:N1086" si="591">M1084*5500</f>
        <v>2082300.0000000002</v>
      </c>
      <c r="O1084" s="20">
        <v>0</v>
      </c>
      <c r="P1084" s="20">
        <v>0</v>
      </c>
      <c r="Q1084" s="20">
        <v>445</v>
      </c>
      <c r="R1084" s="20">
        <f t="shared" ref="R1084:R1095" si="592">Q1084*3000</f>
        <v>1335000</v>
      </c>
      <c r="S1084" s="20">
        <v>0</v>
      </c>
      <c r="T1084" s="20">
        <v>0</v>
      </c>
      <c r="U1084" s="20">
        <v>200000</v>
      </c>
      <c r="V1084" s="1">
        <f t="shared" ref="V1084:V1095" si="593">N1084/M1084</f>
        <v>5500</v>
      </c>
    </row>
    <row r="1085" spans="1:22" ht="21.95" customHeight="1" x14ac:dyDescent="0.25">
      <c r="A1085" s="18" t="s">
        <v>1564</v>
      </c>
      <c r="B1085" s="25" t="s">
        <v>363</v>
      </c>
      <c r="C1085" s="12">
        <f t="shared" si="579"/>
        <v>11278860</v>
      </c>
      <c r="D1085" s="20">
        <f t="shared" si="590"/>
        <v>3549010</v>
      </c>
      <c r="E1085" s="20">
        <f>350*1867.9</f>
        <v>653765</v>
      </c>
      <c r="F1085" s="20">
        <f>800*1867.9</f>
        <v>1494320</v>
      </c>
      <c r="G1085" s="20">
        <f>350*1867.9</f>
        <v>653765</v>
      </c>
      <c r="H1085" s="20">
        <f t="shared" ref="H1085:H1090" si="594">500*0</f>
        <v>0</v>
      </c>
      <c r="I1085" s="20">
        <f>400*1867.9</f>
        <v>747160</v>
      </c>
      <c r="J1085" s="20">
        <v>0</v>
      </c>
      <c r="K1085" s="21">
        <v>0</v>
      </c>
      <c r="L1085" s="20">
        <v>0</v>
      </c>
      <c r="M1085" s="20">
        <v>794.7</v>
      </c>
      <c r="N1085" s="20">
        <f t="shared" si="591"/>
        <v>4370850</v>
      </c>
      <c r="O1085" s="20">
        <v>0</v>
      </c>
      <c r="P1085" s="20">
        <v>0</v>
      </c>
      <c r="Q1085" s="20">
        <v>1053</v>
      </c>
      <c r="R1085" s="20">
        <f t="shared" si="592"/>
        <v>3159000</v>
      </c>
      <c r="S1085" s="20">
        <v>0</v>
      </c>
      <c r="T1085" s="20">
        <v>0</v>
      </c>
      <c r="U1085" s="20">
        <v>200000</v>
      </c>
      <c r="V1085" s="1">
        <f t="shared" si="593"/>
        <v>5500</v>
      </c>
    </row>
    <row r="1086" spans="1:22" ht="21.95" customHeight="1" x14ac:dyDescent="0.25">
      <c r="A1086" s="18" t="s">
        <v>1565</v>
      </c>
      <c r="B1086" s="25" t="s">
        <v>364</v>
      </c>
      <c r="C1086" s="12">
        <f t="shared" si="579"/>
        <v>8483420</v>
      </c>
      <c r="D1086" s="20">
        <f t="shared" si="590"/>
        <v>1749520</v>
      </c>
      <c r="E1086" s="20">
        <f>350*920.8</f>
        <v>322280</v>
      </c>
      <c r="F1086" s="20">
        <f>800*920.8</f>
        <v>736640</v>
      </c>
      <c r="G1086" s="20">
        <f>350*920.8</f>
        <v>322280</v>
      </c>
      <c r="H1086" s="20">
        <f t="shared" si="594"/>
        <v>0</v>
      </c>
      <c r="I1086" s="20">
        <f>400*920.8</f>
        <v>368320</v>
      </c>
      <c r="J1086" s="20">
        <v>0</v>
      </c>
      <c r="K1086" s="21">
        <v>0</v>
      </c>
      <c r="L1086" s="20">
        <v>0</v>
      </c>
      <c r="M1086" s="20">
        <v>759.8</v>
      </c>
      <c r="N1086" s="20">
        <f t="shared" si="591"/>
        <v>4178899.9999999995</v>
      </c>
      <c r="O1086" s="20">
        <v>0</v>
      </c>
      <c r="P1086" s="20">
        <v>0</v>
      </c>
      <c r="Q1086" s="20">
        <v>785</v>
      </c>
      <c r="R1086" s="20">
        <f t="shared" si="592"/>
        <v>2355000</v>
      </c>
      <c r="S1086" s="20">
        <v>0</v>
      </c>
      <c r="T1086" s="20">
        <v>0</v>
      </c>
      <c r="U1086" s="20">
        <v>200000</v>
      </c>
      <c r="V1086" s="1">
        <f t="shared" si="593"/>
        <v>5500</v>
      </c>
    </row>
    <row r="1087" spans="1:22" ht="21.95" customHeight="1" x14ac:dyDescent="0.25">
      <c r="A1087" s="18" t="s">
        <v>1566</v>
      </c>
      <c r="B1087" s="25" t="s">
        <v>365</v>
      </c>
      <c r="C1087" s="12">
        <f t="shared" si="579"/>
        <v>4777780</v>
      </c>
      <c r="D1087" s="20">
        <f t="shared" si="590"/>
        <v>1744580</v>
      </c>
      <c r="E1087" s="20">
        <f>350*918.2</f>
        <v>321370</v>
      </c>
      <c r="F1087" s="20">
        <f>800*918.2</f>
        <v>734560</v>
      </c>
      <c r="G1087" s="20">
        <f>350*918.2</f>
        <v>321370</v>
      </c>
      <c r="H1087" s="20">
        <f t="shared" si="594"/>
        <v>0</v>
      </c>
      <c r="I1087" s="20">
        <f>400*918.2</f>
        <v>367280</v>
      </c>
      <c r="J1087" s="20">
        <v>0</v>
      </c>
      <c r="K1087" s="21">
        <v>0</v>
      </c>
      <c r="L1087" s="20">
        <v>0</v>
      </c>
      <c r="M1087" s="20">
        <v>0</v>
      </c>
      <c r="N1087" s="20">
        <v>0</v>
      </c>
      <c r="O1087" s="20">
        <v>382</v>
      </c>
      <c r="P1087" s="20">
        <v>458400</v>
      </c>
      <c r="Q1087" s="20">
        <v>791.6</v>
      </c>
      <c r="R1087" s="20">
        <f t="shared" si="592"/>
        <v>2374800</v>
      </c>
      <c r="S1087" s="20">
        <v>0</v>
      </c>
      <c r="T1087" s="20">
        <v>0</v>
      </c>
      <c r="U1087" s="20">
        <v>200000</v>
      </c>
      <c r="V1087" s="1" t="e">
        <f t="shared" si="593"/>
        <v>#DIV/0!</v>
      </c>
    </row>
    <row r="1088" spans="1:22" ht="21.95" customHeight="1" x14ac:dyDescent="0.25">
      <c r="A1088" s="18" t="s">
        <v>1567</v>
      </c>
      <c r="B1088" s="25" t="s">
        <v>366</v>
      </c>
      <c r="C1088" s="12">
        <f t="shared" si="579"/>
        <v>14254710</v>
      </c>
      <c r="D1088" s="20">
        <f t="shared" si="590"/>
        <v>4171260</v>
      </c>
      <c r="E1088" s="20">
        <f>350*2195.4</f>
        <v>768390</v>
      </c>
      <c r="F1088" s="20">
        <f>800*2195.4</f>
        <v>1756320</v>
      </c>
      <c r="G1088" s="20">
        <f>350*2195.4</f>
        <v>768390</v>
      </c>
      <c r="H1088" s="20">
        <f t="shared" si="594"/>
        <v>0</v>
      </c>
      <c r="I1088" s="20">
        <f>400*2195.4</f>
        <v>878160</v>
      </c>
      <c r="J1088" s="20">
        <v>0</v>
      </c>
      <c r="K1088" s="21">
        <v>0</v>
      </c>
      <c r="L1088" s="20">
        <v>0</v>
      </c>
      <c r="M1088" s="20">
        <v>901.9</v>
      </c>
      <c r="N1088" s="20">
        <f t="shared" ref="N1088:N1095" si="595">M1088*5500</f>
        <v>4960450</v>
      </c>
      <c r="O1088" s="20">
        <v>0</v>
      </c>
      <c r="P1088" s="20">
        <v>0</v>
      </c>
      <c r="Q1088" s="20">
        <v>1641</v>
      </c>
      <c r="R1088" s="20">
        <f t="shared" si="592"/>
        <v>4923000</v>
      </c>
      <c r="S1088" s="20">
        <v>0</v>
      </c>
      <c r="T1088" s="20">
        <v>0</v>
      </c>
      <c r="U1088" s="20">
        <v>200000</v>
      </c>
      <c r="V1088" s="1">
        <f t="shared" si="593"/>
        <v>5500</v>
      </c>
    </row>
    <row r="1089" spans="1:22" ht="21.95" customHeight="1" x14ac:dyDescent="0.25">
      <c r="A1089" s="18" t="s">
        <v>1568</v>
      </c>
      <c r="B1089" s="25" t="s">
        <v>367</v>
      </c>
      <c r="C1089" s="12">
        <f t="shared" si="579"/>
        <v>14088860</v>
      </c>
      <c r="D1089" s="20">
        <f t="shared" si="590"/>
        <v>4058210</v>
      </c>
      <c r="E1089" s="20">
        <f>350*2135.9</f>
        <v>747565</v>
      </c>
      <c r="F1089" s="20">
        <f>800*2135.9</f>
        <v>1708720</v>
      </c>
      <c r="G1089" s="20">
        <f>350*2135.9</f>
        <v>747565</v>
      </c>
      <c r="H1089" s="20">
        <f t="shared" si="594"/>
        <v>0</v>
      </c>
      <c r="I1089" s="20">
        <f>400*2135.9</f>
        <v>854360</v>
      </c>
      <c r="J1089" s="20">
        <v>0</v>
      </c>
      <c r="K1089" s="21">
        <v>0</v>
      </c>
      <c r="L1089" s="20">
        <v>0</v>
      </c>
      <c r="M1089" s="20">
        <v>892.3</v>
      </c>
      <c r="N1089" s="20">
        <f t="shared" si="595"/>
        <v>4907650</v>
      </c>
      <c r="O1089" s="20">
        <v>0</v>
      </c>
      <c r="P1089" s="20">
        <v>0</v>
      </c>
      <c r="Q1089" s="20">
        <v>1641</v>
      </c>
      <c r="R1089" s="20">
        <f t="shared" si="592"/>
        <v>4923000</v>
      </c>
      <c r="S1089" s="20">
        <v>0</v>
      </c>
      <c r="T1089" s="20">
        <v>0</v>
      </c>
      <c r="U1089" s="20">
        <v>200000</v>
      </c>
      <c r="V1089" s="1">
        <f t="shared" si="593"/>
        <v>5500</v>
      </c>
    </row>
    <row r="1090" spans="1:22" ht="21.95" customHeight="1" x14ac:dyDescent="0.25">
      <c r="A1090" s="18" t="s">
        <v>1569</v>
      </c>
      <c r="B1090" s="25" t="s">
        <v>368</v>
      </c>
      <c r="C1090" s="12">
        <f t="shared" si="579"/>
        <v>13655070</v>
      </c>
      <c r="D1090" s="20">
        <f t="shared" si="590"/>
        <v>4069420.0000000005</v>
      </c>
      <c r="E1090" s="20">
        <f>350*2141.8</f>
        <v>749630.00000000012</v>
      </c>
      <c r="F1090" s="20">
        <f>800*2141.8</f>
        <v>1713440.0000000002</v>
      </c>
      <c r="G1090" s="20">
        <f>350*2141.8</f>
        <v>749630.00000000012</v>
      </c>
      <c r="H1090" s="20">
        <f t="shared" si="594"/>
        <v>0</v>
      </c>
      <c r="I1090" s="20">
        <f>400*2141.8</f>
        <v>856720.00000000012</v>
      </c>
      <c r="J1090" s="20">
        <v>0</v>
      </c>
      <c r="K1090" s="21">
        <v>0</v>
      </c>
      <c r="L1090" s="20">
        <v>0</v>
      </c>
      <c r="M1090" s="20">
        <v>811.5</v>
      </c>
      <c r="N1090" s="20">
        <f t="shared" si="595"/>
        <v>4463250</v>
      </c>
      <c r="O1090" s="20">
        <v>0</v>
      </c>
      <c r="P1090" s="20">
        <v>0</v>
      </c>
      <c r="Q1090" s="20">
        <v>1640.8</v>
      </c>
      <c r="R1090" s="20">
        <f t="shared" si="592"/>
        <v>4922400</v>
      </c>
      <c r="S1090" s="20">
        <v>0</v>
      </c>
      <c r="T1090" s="20">
        <v>0</v>
      </c>
      <c r="U1090" s="20">
        <v>200000</v>
      </c>
      <c r="V1090" s="1">
        <f t="shared" si="593"/>
        <v>5500</v>
      </c>
    </row>
    <row r="1091" spans="1:22" ht="21.95" customHeight="1" x14ac:dyDescent="0.25">
      <c r="A1091" s="18" t="s">
        <v>1570</v>
      </c>
      <c r="B1091" s="25" t="s">
        <v>369</v>
      </c>
      <c r="C1091" s="12">
        <f t="shared" si="579"/>
        <v>8464870</v>
      </c>
      <c r="D1091" s="20">
        <f t="shared" si="590"/>
        <v>1586880</v>
      </c>
      <c r="E1091" s="20">
        <f>350*661.2</f>
        <v>231420.00000000003</v>
      </c>
      <c r="F1091" s="20">
        <f>800*661.2</f>
        <v>528960</v>
      </c>
      <c r="G1091" s="20">
        <f>350*661.2</f>
        <v>231420.00000000003</v>
      </c>
      <c r="H1091" s="20">
        <f>500*661.2</f>
        <v>330600</v>
      </c>
      <c r="I1091" s="20">
        <f>400*661.2</f>
        <v>264480</v>
      </c>
      <c r="J1091" s="20">
        <v>0</v>
      </c>
      <c r="K1091" s="21">
        <v>0</v>
      </c>
      <c r="L1091" s="20">
        <v>0</v>
      </c>
      <c r="M1091" s="20">
        <v>560.29999999999995</v>
      </c>
      <c r="N1091" s="20">
        <f t="shared" si="595"/>
        <v>3081649.9999999995</v>
      </c>
      <c r="O1091" s="20">
        <v>0</v>
      </c>
      <c r="P1091" s="20">
        <v>0</v>
      </c>
      <c r="Q1091" s="20">
        <v>1152.3</v>
      </c>
      <c r="R1091" s="20">
        <f t="shared" si="592"/>
        <v>3456900</v>
      </c>
      <c r="S1091" s="20">
        <v>139440</v>
      </c>
      <c r="T1091" s="20">
        <v>0</v>
      </c>
      <c r="U1091" s="20">
        <v>200000</v>
      </c>
      <c r="V1091" s="1">
        <f t="shared" si="593"/>
        <v>5500</v>
      </c>
    </row>
    <row r="1092" spans="1:22" ht="21.95" customHeight="1" x14ac:dyDescent="0.25">
      <c r="A1092" s="18" t="s">
        <v>1571</v>
      </c>
      <c r="B1092" s="25" t="s">
        <v>370</v>
      </c>
      <c r="C1092" s="12">
        <f t="shared" si="579"/>
        <v>8320790</v>
      </c>
      <c r="D1092" s="20">
        <f t="shared" si="590"/>
        <v>1400680</v>
      </c>
      <c r="E1092" s="20">
        <f>350*737.2</f>
        <v>258020.00000000003</v>
      </c>
      <c r="F1092" s="20">
        <f>800*737.2</f>
        <v>589760</v>
      </c>
      <c r="G1092" s="20">
        <f>350*737.2</f>
        <v>258020.00000000003</v>
      </c>
      <c r="H1092" s="20">
        <f>500*0</f>
        <v>0</v>
      </c>
      <c r="I1092" s="20">
        <f>400*737.2</f>
        <v>294880</v>
      </c>
      <c r="J1092" s="20">
        <v>0</v>
      </c>
      <c r="K1092" s="21">
        <v>0</v>
      </c>
      <c r="L1092" s="20">
        <v>0</v>
      </c>
      <c r="M1092" s="20">
        <v>569</v>
      </c>
      <c r="N1092" s="20">
        <f t="shared" si="595"/>
        <v>3129500</v>
      </c>
      <c r="O1092" s="20">
        <v>0</v>
      </c>
      <c r="P1092" s="20">
        <v>0</v>
      </c>
      <c r="Q1092" s="20">
        <v>1150.5999999999999</v>
      </c>
      <c r="R1092" s="20">
        <f t="shared" si="592"/>
        <v>3451799.9999999995</v>
      </c>
      <c r="S1092" s="20">
        <v>138810</v>
      </c>
      <c r="T1092" s="20">
        <v>0</v>
      </c>
      <c r="U1092" s="20">
        <v>200000</v>
      </c>
      <c r="V1092" s="1">
        <f t="shared" si="593"/>
        <v>5500</v>
      </c>
    </row>
    <row r="1093" spans="1:22" ht="21.95" customHeight="1" x14ac:dyDescent="0.25">
      <c r="A1093" s="18" t="s">
        <v>1572</v>
      </c>
      <c r="B1093" s="25" t="s">
        <v>371</v>
      </c>
      <c r="C1093" s="12">
        <f t="shared" si="579"/>
        <v>6699380</v>
      </c>
      <c r="D1093" s="20">
        <f t="shared" si="590"/>
        <v>1390230</v>
      </c>
      <c r="E1093" s="20">
        <f>350*731.7</f>
        <v>256095.00000000003</v>
      </c>
      <c r="F1093" s="20">
        <f>800*731.7</f>
        <v>585360</v>
      </c>
      <c r="G1093" s="20">
        <f>350*731.7</f>
        <v>256095.00000000003</v>
      </c>
      <c r="H1093" s="20">
        <f>500*0</f>
        <v>0</v>
      </c>
      <c r="I1093" s="20">
        <f>400*731.7</f>
        <v>292680</v>
      </c>
      <c r="J1093" s="20">
        <v>0</v>
      </c>
      <c r="K1093" s="21">
        <v>0</v>
      </c>
      <c r="L1093" s="20">
        <v>0</v>
      </c>
      <c r="M1093" s="20">
        <v>561.29999999999995</v>
      </c>
      <c r="N1093" s="20">
        <f t="shared" si="595"/>
        <v>3087149.9999999995</v>
      </c>
      <c r="O1093" s="20">
        <v>0</v>
      </c>
      <c r="P1093" s="20">
        <v>0</v>
      </c>
      <c r="Q1093" s="20">
        <v>674</v>
      </c>
      <c r="R1093" s="20">
        <f t="shared" si="592"/>
        <v>2022000</v>
      </c>
      <c r="S1093" s="20">
        <v>0</v>
      </c>
      <c r="T1093" s="20">
        <v>0</v>
      </c>
      <c r="U1093" s="20">
        <v>200000</v>
      </c>
      <c r="V1093" s="1">
        <f t="shared" si="593"/>
        <v>5500</v>
      </c>
    </row>
    <row r="1094" spans="1:22" ht="21.95" customHeight="1" x14ac:dyDescent="0.25">
      <c r="A1094" s="18" t="s">
        <v>1573</v>
      </c>
      <c r="B1094" s="25" t="s">
        <v>372</v>
      </c>
      <c r="C1094" s="12">
        <f t="shared" si="579"/>
        <v>6960820</v>
      </c>
      <c r="D1094" s="20">
        <f t="shared" si="590"/>
        <v>1641220</v>
      </c>
      <c r="E1094" s="20">
        <f>350*863.8</f>
        <v>302330</v>
      </c>
      <c r="F1094" s="20">
        <f>800*863.8</f>
        <v>691040</v>
      </c>
      <c r="G1094" s="20">
        <f>350*863.8</f>
        <v>302330</v>
      </c>
      <c r="H1094" s="20">
        <f>500*0</f>
        <v>0</v>
      </c>
      <c r="I1094" s="20">
        <f>400*863.8</f>
        <v>345520</v>
      </c>
      <c r="J1094" s="20">
        <v>0</v>
      </c>
      <c r="K1094" s="21">
        <v>0</v>
      </c>
      <c r="L1094" s="20">
        <v>0</v>
      </c>
      <c r="M1094" s="20">
        <v>557.20000000000005</v>
      </c>
      <c r="N1094" s="20">
        <f t="shared" si="595"/>
        <v>3064600.0000000005</v>
      </c>
      <c r="O1094" s="20">
        <v>0</v>
      </c>
      <c r="P1094" s="20">
        <v>0</v>
      </c>
      <c r="Q1094" s="20">
        <v>685</v>
      </c>
      <c r="R1094" s="20">
        <f t="shared" si="592"/>
        <v>2055000</v>
      </c>
      <c r="S1094" s="20">
        <v>0</v>
      </c>
      <c r="T1094" s="20">
        <v>0</v>
      </c>
      <c r="U1094" s="20">
        <v>200000</v>
      </c>
      <c r="V1094" s="1">
        <f t="shared" si="593"/>
        <v>5500</v>
      </c>
    </row>
    <row r="1095" spans="1:22" ht="21.95" customHeight="1" x14ac:dyDescent="0.25">
      <c r="A1095" s="18" t="s">
        <v>1574</v>
      </c>
      <c r="B1095" s="25" t="s">
        <v>373</v>
      </c>
      <c r="C1095" s="12">
        <f t="shared" si="579"/>
        <v>3749460</v>
      </c>
      <c r="D1095" s="20">
        <f t="shared" si="590"/>
        <v>804460</v>
      </c>
      <c r="E1095" s="20">
        <f>350*423.4</f>
        <v>148190</v>
      </c>
      <c r="F1095" s="20">
        <f>800*423.4</f>
        <v>338720</v>
      </c>
      <c r="G1095" s="20">
        <f>350*423.4</f>
        <v>148190</v>
      </c>
      <c r="H1095" s="20">
        <f>500*0</f>
        <v>0</v>
      </c>
      <c r="I1095" s="20">
        <f>400*423.4</f>
        <v>169360</v>
      </c>
      <c r="J1095" s="20">
        <v>0</v>
      </c>
      <c r="K1095" s="21">
        <v>0</v>
      </c>
      <c r="L1095" s="20">
        <v>0</v>
      </c>
      <c r="M1095" s="20">
        <v>240</v>
      </c>
      <c r="N1095" s="20">
        <f t="shared" si="595"/>
        <v>1320000</v>
      </c>
      <c r="O1095" s="20">
        <v>0</v>
      </c>
      <c r="P1095" s="20">
        <v>0</v>
      </c>
      <c r="Q1095" s="20">
        <v>475</v>
      </c>
      <c r="R1095" s="20">
        <f t="shared" si="592"/>
        <v>1425000</v>
      </c>
      <c r="S1095" s="20">
        <v>0</v>
      </c>
      <c r="T1095" s="20">
        <v>0</v>
      </c>
      <c r="U1095" s="20">
        <v>200000</v>
      </c>
      <c r="V1095" s="1">
        <f t="shared" si="593"/>
        <v>5500</v>
      </c>
    </row>
    <row r="1096" spans="1:22" ht="45" customHeight="1" x14ac:dyDescent="0.25">
      <c r="A1096" s="63" t="s">
        <v>1630</v>
      </c>
      <c r="B1096" s="63"/>
      <c r="C1096" s="12">
        <f>SUM(C1097)</f>
        <v>4611600</v>
      </c>
      <c r="D1096" s="12">
        <f>SUM(D1097)</f>
        <v>0</v>
      </c>
      <c r="E1096" s="12">
        <f t="shared" ref="E1096:U1096" si="596">SUM(E1097)</f>
        <v>0</v>
      </c>
      <c r="F1096" s="12">
        <f t="shared" si="596"/>
        <v>0</v>
      </c>
      <c r="G1096" s="12">
        <f t="shared" si="596"/>
        <v>0</v>
      </c>
      <c r="H1096" s="12">
        <f t="shared" si="596"/>
        <v>0</v>
      </c>
      <c r="I1096" s="12">
        <f t="shared" si="596"/>
        <v>0</v>
      </c>
      <c r="J1096" s="12">
        <f t="shared" si="596"/>
        <v>0</v>
      </c>
      <c r="K1096" s="12">
        <f t="shared" si="596"/>
        <v>0</v>
      </c>
      <c r="L1096" s="12">
        <f t="shared" si="596"/>
        <v>0</v>
      </c>
      <c r="M1096" s="12">
        <f t="shared" si="596"/>
        <v>600</v>
      </c>
      <c r="N1096" s="12">
        <f t="shared" si="596"/>
        <v>2211600</v>
      </c>
      <c r="O1096" s="12">
        <f t="shared" si="596"/>
        <v>0</v>
      </c>
      <c r="P1096" s="12">
        <f t="shared" si="596"/>
        <v>0</v>
      </c>
      <c r="Q1096" s="12">
        <f t="shared" si="596"/>
        <v>800</v>
      </c>
      <c r="R1096" s="12">
        <f t="shared" si="596"/>
        <v>2400000</v>
      </c>
      <c r="S1096" s="12">
        <f t="shared" si="596"/>
        <v>0</v>
      </c>
      <c r="T1096" s="12">
        <f t="shared" si="596"/>
        <v>0</v>
      </c>
      <c r="U1096" s="12">
        <f t="shared" si="596"/>
        <v>0</v>
      </c>
      <c r="V1096" s="22">
        <f>C1096</f>
        <v>4611600</v>
      </c>
    </row>
    <row r="1097" spans="1:22" ht="21.95" customHeight="1" x14ac:dyDescent="0.25">
      <c r="A1097" s="18" t="s">
        <v>1575</v>
      </c>
      <c r="B1097" s="25" t="s">
        <v>1631</v>
      </c>
      <c r="C1097" s="12">
        <f t="shared" ref="C1097" si="597">D1097+L1097+N1097+P1097+R1097+S1097+T1097+U1097</f>
        <v>4611600</v>
      </c>
      <c r="D1097" s="20">
        <f t="shared" ref="D1097" si="598">SUM(E1097:J1097)</f>
        <v>0</v>
      </c>
      <c r="E1097" s="20">
        <v>0</v>
      </c>
      <c r="F1097" s="20">
        <f>800*0</f>
        <v>0</v>
      </c>
      <c r="G1097" s="20">
        <f>350*0</f>
        <v>0</v>
      </c>
      <c r="H1097" s="20">
        <f>500*0</f>
        <v>0</v>
      </c>
      <c r="I1097" s="20">
        <f>400*0</f>
        <v>0</v>
      </c>
      <c r="J1097" s="20">
        <v>0</v>
      </c>
      <c r="K1097" s="21">
        <v>0</v>
      </c>
      <c r="L1097" s="20">
        <v>0</v>
      </c>
      <c r="M1097" s="20">
        <v>600</v>
      </c>
      <c r="N1097" s="20">
        <f>M1097*3686</f>
        <v>2211600</v>
      </c>
      <c r="O1097" s="20">
        <v>0</v>
      </c>
      <c r="P1097" s="20">
        <v>0</v>
      </c>
      <c r="Q1097" s="20">
        <v>800</v>
      </c>
      <c r="R1097" s="20">
        <f t="shared" ref="R1097" si="599">Q1097*3000</f>
        <v>2400000</v>
      </c>
      <c r="S1097" s="20">
        <v>0</v>
      </c>
      <c r="T1097" s="20">
        <v>0</v>
      </c>
      <c r="U1097" s="20">
        <v>0</v>
      </c>
      <c r="V1097" s="1">
        <f t="shared" ref="V1097" si="600">N1097/M1097</f>
        <v>3686</v>
      </c>
    </row>
    <row r="1098" spans="1:22" ht="45" customHeight="1" x14ac:dyDescent="0.25">
      <c r="A1098" s="63" t="s">
        <v>378</v>
      </c>
      <c r="B1098" s="63"/>
      <c r="C1098" s="12">
        <f t="shared" si="579"/>
        <v>6965250</v>
      </c>
      <c r="D1098" s="12">
        <f t="shared" ref="D1098:U1098" si="601">SUM(D1099:D1100)</f>
        <v>190050</v>
      </c>
      <c r="E1098" s="12">
        <f t="shared" si="601"/>
        <v>190050</v>
      </c>
      <c r="F1098" s="12">
        <f t="shared" si="601"/>
        <v>0</v>
      </c>
      <c r="G1098" s="12">
        <f t="shared" si="601"/>
        <v>0</v>
      </c>
      <c r="H1098" s="12">
        <f t="shared" si="601"/>
        <v>0</v>
      </c>
      <c r="I1098" s="12">
        <f t="shared" si="601"/>
        <v>0</v>
      </c>
      <c r="J1098" s="12">
        <f t="shared" si="601"/>
        <v>0</v>
      </c>
      <c r="K1098" s="13">
        <f t="shared" si="601"/>
        <v>0</v>
      </c>
      <c r="L1098" s="12">
        <f t="shared" si="601"/>
        <v>0</v>
      </c>
      <c r="M1098" s="12">
        <f t="shared" si="601"/>
        <v>800</v>
      </c>
      <c r="N1098" s="12">
        <f t="shared" si="601"/>
        <v>4400000</v>
      </c>
      <c r="O1098" s="12">
        <f t="shared" si="601"/>
        <v>0</v>
      </c>
      <c r="P1098" s="12">
        <f t="shared" si="601"/>
        <v>0</v>
      </c>
      <c r="Q1098" s="12">
        <f t="shared" si="601"/>
        <v>658.4</v>
      </c>
      <c r="R1098" s="12">
        <f t="shared" si="601"/>
        <v>1975200</v>
      </c>
      <c r="S1098" s="12">
        <f t="shared" si="601"/>
        <v>0</v>
      </c>
      <c r="T1098" s="12">
        <f t="shared" si="601"/>
        <v>0</v>
      </c>
      <c r="U1098" s="12">
        <f t="shared" si="601"/>
        <v>400000</v>
      </c>
      <c r="V1098" s="22">
        <f>C1098</f>
        <v>6965250</v>
      </c>
    </row>
    <row r="1099" spans="1:22" ht="21.95" customHeight="1" x14ac:dyDescent="0.25">
      <c r="A1099" s="18" t="s">
        <v>1576</v>
      </c>
      <c r="B1099" s="25" t="s">
        <v>375</v>
      </c>
      <c r="C1099" s="12">
        <f t="shared" si="579"/>
        <v>3457320</v>
      </c>
      <c r="D1099" s="20">
        <f t="shared" ref="D1099:D1100" si="602">SUM(E1099:J1099)</f>
        <v>92820</v>
      </c>
      <c r="E1099" s="20">
        <f>350*265.2</f>
        <v>92820</v>
      </c>
      <c r="F1099" s="20">
        <f>800*0</f>
        <v>0</v>
      </c>
      <c r="G1099" s="20">
        <f>350*0</f>
        <v>0</v>
      </c>
      <c r="H1099" s="20">
        <f>500*0</f>
        <v>0</v>
      </c>
      <c r="I1099" s="20">
        <f>400*0</f>
        <v>0</v>
      </c>
      <c r="J1099" s="20">
        <v>0</v>
      </c>
      <c r="K1099" s="21">
        <v>0</v>
      </c>
      <c r="L1099" s="20">
        <v>0</v>
      </c>
      <c r="M1099" s="20">
        <v>400</v>
      </c>
      <c r="N1099" s="20">
        <f>M1099*5500</f>
        <v>2200000</v>
      </c>
      <c r="O1099" s="20">
        <v>0</v>
      </c>
      <c r="P1099" s="20">
        <v>0</v>
      </c>
      <c r="Q1099" s="20">
        <v>321.5</v>
      </c>
      <c r="R1099" s="20">
        <f t="shared" ref="R1099:R1100" si="603">Q1099*3000</f>
        <v>964500</v>
      </c>
      <c r="S1099" s="20">
        <v>0</v>
      </c>
      <c r="T1099" s="20">
        <v>0</v>
      </c>
      <c r="U1099" s="20">
        <v>200000</v>
      </c>
      <c r="V1099" s="1">
        <f t="shared" ref="V1099:V1100" si="604">N1099/M1099</f>
        <v>5500</v>
      </c>
    </row>
    <row r="1100" spans="1:22" ht="21.95" customHeight="1" x14ac:dyDescent="0.25">
      <c r="A1100" s="18" t="s">
        <v>1577</v>
      </c>
      <c r="B1100" s="25" t="s">
        <v>377</v>
      </c>
      <c r="C1100" s="12">
        <f t="shared" si="579"/>
        <v>3507930</v>
      </c>
      <c r="D1100" s="20">
        <f t="shared" si="602"/>
        <v>97230</v>
      </c>
      <c r="E1100" s="20">
        <f>350*277.8</f>
        <v>97230</v>
      </c>
      <c r="F1100" s="20">
        <f>800*0</f>
        <v>0</v>
      </c>
      <c r="G1100" s="20">
        <f>350*0</f>
        <v>0</v>
      </c>
      <c r="H1100" s="20">
        <f>500*0</f>
        <v>0</v>
      </c>
      <c r="I1100" s="20">
        <f>400*0</f>
        <v>0</v>
      </c>
      <c r="J1100" s="20">
        <v>0</v>
      </c>
      <c r="K1100" s="21">
        <v>0</v>
      </c>
      <c r="L1100" s="20">
        <v>0</v>
      </c>
      <c r="M1100" s="20">
        <v>400</v>
      </c>
      <c r="N1100" s="20">
        <f>M1100*5500</f>
        <v>2200000</v>
      </c>
      <c r="O1100" s="20">
        <v>0</v>
      </c>
      <c r="P1100" s="20">
        <v>0</v>
      </c>
      <c r="Q1100" s="20">
        <v>336.9</v>
      </c>
      <c r="R1100" s="20">
        <f t="shared" si="603"/>
        <v>1010699.9999999999</v>
      </c>
      <c r="S1100" s="20">
        <v>0</v>
      </c>
      <c r="T1100" s="20">
        <v>0</v>
      </c>
      <c r="U1100" s="20">
        <v>200000</v>
      </c>
      <c r="V1100" s="1">
        <f t="shared" si="604"/>
        <v>5500</v>
      </c>
    </row>
    <row r="1101" spans="1:22" x14ac:dyDescent="0.25">
      <c r="A1101" s="45"/>
      <c r="B1101" s="2"/>
      <c r="C1101" s="37"/>
      <c r="D1101" s="2"/>
      <c r="E1101" s="2"/>
      <c r="F1101" s="2"/>
      <c r="G1101" s="2"/>
      <c r="H1101" s="2"/>
      <c r="I1101" s="2"/>
      <c r="J1101" s="2"/>
      <c r="K1101" s="49"/>
      <c r="L1101" s="2"/>
      <c r="M1101" s="2"/>
      <c r="N1101" s="2"/>
      <c r="O1101" s="37"/>
      <c r="P1101" s="37"/>
      <c r="Q1101" s="37"/>
      <c r="R1101" s="37"/>
      <c r="S1101" s="37"/>
      <c r="T1101" s="37"/>
      <c r="U1101" s="37"/>
    </row>
    <row r="1102" spans="1:22" x14ac:dyDescent="0.25">
      <c r="A1102" s="45"/>
      <c r="B1102" s="2"/>
      <c r="C1102" s="2"/>
      <c r="D1102" s="2"/>
      <c r="E1102" s="2"/>
      <c r="F1102" s="2"/>
      <c r="G1102" s="2"/>
      <c r="H1102" s="2"/>
      <c r="I1102" s="2"/>
      <c r="J1102" s="2"/>
      <c r="K1102" s="49"/>
      <c r="L1102" s="2"/>
      <c r="M1102" s="2"/>
      <c r="N1102" s="2"/>
      <c r="O1102" s="37"/>
      <c r="P1102" s="37"/>
      <c r="Q1102" s="37"/>
      <c r="R1102" s="37"/>
      <c r="S1102" s="37"/>
      <c r="T1102" s="37"/>
      <c r="U1102" s="37"/>
    </row>
  </sheetData>
  <mergeCells count="154">
    <mergeCell ref="A1066:B1066"/>
    <mergeCell ref="A1096:B1096"/>
    <mergeCell ref="T3:U3"/>
    <mergeCell ref="A711:B711"/>
    <mergeCell ref="A729:B729"/>
    <mergeCell ref="A493:B493"/>
    <mergeCell ref="A477:B477"/>
    <mergeCell ref="A453:B453"/>
    <mergeCell ref="A411:B411"/>
    <mergeCell ref="A455:B455"/>
    <mergeCell ref="A418:B418"/>
    <mergeCell ref="A406:B406"/>
    <mergeCell ref="A316:B316"/>
    <mergeCell ref="A716:B716"/>
    <mergeCell ref="A707:B707"/>
    <mergeCell ref="A431:B431"/>
    <mergeCell ref="A500:B500"/>
    <mergeCell ref="A433:B433"/>
    <mergeCell ref="A473:B473"/>
    <mergeCell ref="A387:B387"/>
    <mergeCell ref="A371:B371"/>
    <mergeCell ref="A1062:B1062"/>
    <mergeCell ref="A825:B825"/>
    <mergeCell ref="A376:B376"/>
    <mergeCell ref="A382:B382"/>
    <mergeCell ref="A424:B424"/>
    <mergeCell ref="A403:B403"/>
    <mergeCell ref="A829:B829"/>
    <mergeCell ref="A822:B822"/>
    <mergeCell ref="A763:B763"/>
    <mergeCell ref="A831:B831"/>
    <mergeCell ref="A833:B833"/>
    <mergeCell ref="A764:B764"/>
    <mergeCell ref="A809:B809"/>
    <mergeCell ref="A804:B804"/>
    <mergeCell ref="A787:B787"/>
    <mergeCell ref="A401:B401"/>
    <mergeCell ref="A414:B414"/>
    <mergeCell ref="A465:B465"/>
    <mergeCell ref="A475:B475"/>
    <mergeCell ref="A733:B733"/>
    <mergeCell ref="A757:B757"/>
    <mergeCell ref="A743:B743"/>
    <mergeCell ref="A762:U762"/>
    <mergeCell ref="A739:B739"/>
    <mergeCell ref="A1056:B1056"/>
    <mergeCell ref="A1:U1"/>
    <mergeCell ref="A3:A6"/>
    <mergeCell ref="B3:B6"/>
    <mergeCell ref="A55:B55"/>
    <mergeCell ref="A33:B33"/>
    <mergeCell ref="A60:B60"/>
    <mergeCell ref="A58:B58"/>
    <mergeCell ref="A48:B48"/>
    <mergeCell ref="A40:B40"/>
    <mergeCell ref="D4:J4"/>
    <mergeCell ref="U4:U5"/>
    <mergeCell ref="T4:T5"/>
    <mergeCell ref="Q4:R5"/>
    <mergeCell ref="O4:P5"/>
    <mergeCell ref="M4:N5"/>
    <mergeCell ref="K4:L5"/>
    <mergeCell ref="C3:C5"/>
    <mergeCell ref="A53:B53"/>
    <mergeCell ref="D3:S3"/>
    <mergeCell ref="A8:B8"/>
    <mergeCell ref="A9:U9"/>
    <mergeCell ref="A10:B10"/>
    <mergeCell ref="A14:B14"/>
    <mergeCell ref="A31:B31"/>
    <mergeCell ref="A35:B35"/>
    <mergeCell ref="A120:B120"/>
    <mergeCell ref="A314:B314"/>
    <mergeCell ref="A78:B78"/>
    <mergeCell ref="A105:B105"/>
    <mergeCell ref="A68:B68"/>
    <mergeCell ref="A64:B64"/>
    <mergeCell ref="A66:B66"/>
    <mergeCell ref="A37:B37"/>
    <mergeCell ref="A43:B43"/>
    <mergeCell ref="A112:B112"/>
    <mergeCell ref="A130:B130"/>
    <mergeCell ref="A11:B11"/>
    <mergeCell ref="A71:B71"/>
    <mergeCell ref="A294:B294"/>
    <mergeCell ref="A29:B29"/>
    <mergeCell ref="A321:B321"/>
    <mergeCell ref="A408:B408"/>
    <mergeCell ref="A136:B136"/>
    <mergeCell ref="A328:B328"/>
    <mergeCell ref="A301:B301"/>
    <mergeCell ref="A308:B308"/>
    <mergeCell ref="A347:B347"/>
    <mergeCell ref="A75:B75"/>
    <mergeCell ref="A73:B73"/>
    <mergeCell ref="A326:B326"/>
    <mergeCell ref="A80:B80"/>
    <mergeCell ref="A82:B82"/>
    <mergeCell ref="A102:B102"/>
    <mergeCell ref="A299:B299"/>
    <mergeCell ref="A132:B132"/>
    <mergeCell ref="A380:B380"/>
    <mergeCell ref="A391:B391"/>
    <mergeCell ref="A399:B399"/>
    <mergeCell ref="A369:B369"/>
    <mergeCell ref="A312:B312"/>
    <mergeCell ref="A323:B323"/>
    <mergeCell ref="A319:B319"/>
    <mergeCell ref="A1081:B1081"/>
    <mergeCell ref="A350:B350"/>
    <mergeCell ref="A346:B346"/>
    <mergeCell ref="A345:U345"/>
    <mergeCell ref="A134:B134"/>
    <mergeCell ref="A330:B330"/>
    <mergeCell ref="A304:B304"/>
    <mergeCell ref="A713:B713"/>
    <mergeCell ref="A727:B727"/>
    <mergeCell ref="A741:B741"/>
    <mergeCell ref="A495:B495"/>
    <mergeCell ref="A498:B498"/>
    <mergeCell ref="A1058:B1058"/>
    <mergeCell ref="A814:B814"/>
    <mergeCell ref="A735:B735"/>
    <mergeCell ref="A760:B760"/>
    <mergeCell ref="A421:B421"/>
    <mergeCell ref="A1076:B1076"/>
    <mergeCell ref="A838:B838"/>
    <mergeCell ref="A1054:B1054"/>
    <mergeCell ref="A867:B867"/>
    <mergeCell ref="A878:B878"/>
    <mergeCell ref="S4:S5"/>
    <mergeCell ref="A1098:B1098"/>
    <mergeCell ref="A1083:B1083"/>
    <mergeCell ref="A1069:B1069"/>
    <mergeCell ref="A1072:B1072"/>
    <mergeCell ref="A1060:B1060"/>
    <mergeCell ref="A881:B881"/>
    <mergeCell ref="A884:B884"/>
    <mergeCell ref="A1078:B1078"/>
    <mergeCell ref="A767:B767"/>
    <mergeCell ref="A865:B865"/>
    <mergeCell ref="A856:B856"/>
    <mergeCell ref="A840:B840"/>
    <mergeCell ref="A794:B794"/>
    <mergeCell ref="A860:B860"/>
    <mergeCell ref="A827:B827"/>
    <mergeCell ref="A806:B806"/>
    <mergeCell ref="A790:B790"/>
    <mergeCell ref="A1074:B1074"/>
    <mergeCell ref="A800:B800"/>
    <mergeCell ref="A797:B797"/>
    <mergeCell ref="A820:B820"/>
    <mergeCell ref="A816:B816"/>
    <mergeCell ref="A385:B385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35" firstPageNumber="32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Прод. прилож</vt:lpstr>
      <vt:lpstr>'Прод. прилож'!Заголовки_для_печати</vt:lpstr>
      <vt:lpstr>'Прод. прилож'!Область_печати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Курзова Мария Геннадиевна</cp:lastModifiedBy>
  <cp:lastPrinted>2020-10-01T08:32:58Z</cp:lastPrinted>
  <dcterms:created xsi:type="dcterms:W3CDTF">2012-12-13T11:50:40Z</dcterms:created>
  <dcterms:modified xsi:type="dcterms:W3CDTF">2020-10-16T08:08:01Z</dcterms:modified>
</cp:coreProperties>
</file>