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405" windowWidth="23250" windowHeight="1317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прилож'!$A$1:$U$1164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U457" i="13" l="1"/>
  <c r="T457" i="13"/>
  <c r="S457" i="13"/>
  <c r="Q457" i="13"/>
  <c r="O457" i="13"/>
  <c r="M457" i="13"/>
  <c r="K457" i="13"/>
  <c r="R735" i="13" l="1"/>
  <c r="N735" i="13"/>
  <c r="I735" i="13"/>
  <c r="F735" i="13"/>
  <c r="E735" i="13"/>
  <c r="R288" i="13"/>
  <c r="N288" i="13"/>
  <c r="I288" i="13"/>
  <c r="H288" i="13"/>
  <c r="F288" i="13"/>
  <c r="E288" i="13"/>
  <c r="R289" i="13"/>
  <c r="N289" i="13"/>
  <c r="I289" i="13"/>
  <c r="F289" i="13"/>
  <c r="E289" i="13"/>
  <c r="R295" i="13"/>
  <c r="N295" i="13"/>
  <c r="I295" i="13"/>
  <c r="E295" i="13"/>
  <c r="N299" i="13"/>
  <c r="N300" i="13"/>
  <c r="N329" i="13"/>
  <c r="N354" i="13"/>
  <c r="R364" i="13"/>
  <c r="N442" i="13"/>
  <c r="N459" i="13"/>
  <c r="N462" i="13"/>
  <c r="N463" i="13"/>
  <c r="N464" i="13"/>
  <c r="R465" i="13" l="1"/>
  <c r="N465" i="13"/>
  <c r="N468" i="13"/>
  <c r="R549" i="13"/>
  <c r="N549" i="13"/>
  <c r="N552" i="13"/>
  <c r="N572" i="13"/>
  <c r="I579" i="13"/>
  <c r="F579" i="13"/>
  <c r="E579" i="13"/>
  <c r="I580" i="13"/>
  <c r="F580" i="13"/>
  <c r="E580" i="13"/>
  <c r="R584" i="13"/>
  <c r="N584" i="13"/>
  <c r="I596" i="13"/>
  <c r="F596" i="13"/>
  <c r="E596" i="13"/>
  <c r="N603" i="13"/>
  <c r="N604" i="13"/>
  <c r="N629" i="13"/>
  <c r="N628" i="13"/>
  <c r="I649" i="13"/>
  <c r="F649" i="13"/>
  <c r="E649" i="13"/>
  <c r="N635" i="13" l="1"/>
  <c r="R646" i="13"/>
  <c r="N646" i="13"/>
  <c r="R647" i="13"/>
  <c r="N647" i="13"/>
  <c r="I647" i="13"/>
  <c r="E647" i="13"/>
  <c r="R648" i="13"/>
  <c r="N648" i="13"/>
  <c r="I650" i="13"/>
  <c r="F650" i="13"/>
  <c r="E650" i="13"/>
  <c r="R749" i="13"/>
  <c r="R722" i="13"/>
  <c r="N722" i="13"/>
  <c r="E722" i="13"/>
  <c r="N682" i="13"/>
  <c r="G766" i="13"/>
  <c r="N581" i="13"/>
  <c r="V581" i="13" s="1"/>
  <c r="D581" i="13"/>
  <c r="C581" i="13" l="1"/>
  <c r="L1094" i="13"/>
  <c r="R1164" i="13"/>
  <c r="R1162" i="13"/>
  <c r="R1161" i="13"/>
  <c r="R1160" i="13"/>
  <c r="R1158" i="13"/>
  <c r="R1157" i="13"/>
  <c r="R1156" i="13"/>
  <c r="R1155" i="13"/>
  <c r="R1154" i="13"/>
  <c r="R1153" i="13"/>
  <c r="R1152" i="13"/>
  <c r="R1151" i="13"/>
  <c r="R1150" i="13"/>
  <c r="R1149" i="13"/>
  <c r="R1148" i="13"/>
  <c r="R1147" i="13"/>
  <c r="R1146" i="13"/>
  <c r="R1144" i="13"/>
  <c r="R1142" i="13"/>
  <c r="R1140" i="13"/>
  <c r="R1139" i="13"/>
  <c r="R1138" i="13"/>
  <c r="R1136" i="13"/>
  <c r="R1135" i="13"/>
  <c r="R1133" i="13"/>
  <c r="R1131" i="13"/>
  <c r="R1129" i="13"/>
  <c r="R1128" i="13"/>
  <c r="R1126" i="13"/>
  <c r="R1124" i="13"/>
  <c r="R1123" i="13"/>
  <c r="R1121" i="13"/>
  <c r="R1120" i="13"/>
  <c r="R1119" i="13"/>
  <c r="R1117" i="13"/>
  <c r="R1115" i="13"/>
  <c r="R1113" i="13"/>
  <c r="R1111" i="13"/>
  <c r="R1109" i="13"/>
  <c r="R1107" i="13"/>
  <c r="R1106" i="13"/>
  <c r="R1105" i="13"/>
  <c r="R1104" i="13"/>
  <c r="R1103" i="13"/>
  <c r="R1102" i="13"/>
  <c r="R1101" i="13"/>
  <c r="R1100" i="13"/>
  <c r="R1099" i="13"/>
  <c r="R1098" i="13"/>
  <c r="R1097" i="13"/>
  <c r="R1096" i="13"/>
  <c r="R1095" i="13"/>
  <c r="R1094" i="13"/>
  <c r="R1093" i="13"/>
  <c r="R1092" i="13"/>
  <c r="R1091" i="13"/>
  <c r="R1090" i="13"/>
  <c r="R1089" i="13"/>
  <c r="R1088" i="13"/>
  <c r="R1087" i="13"/>
  <c r="R1086" i="13"/>
  <c r="R1085" i="13"/>
  <c r="R1084" i="13"/>
  <c r="R1083" i="13"/>
  <c r="R1082" i="13"/>
  <c r="R1081" i="13"/>
  <c r="R1080" i="13"/>
  <c r="R1079" i="13"/>
  <c r="R1078" i="13"/>
  <c r="R1077" i="13"/>
  <c r="R1076" i="13"/>
  <c r="R1075" i="13"/>
  <c r="R1074" i="13"/>
  <c r="R1073" i="13"/>
  <c r="R1072" i="13"/>
  <c r="R1071" i="13"/>
  <c r="R1070" i="13"/>
  <c r="R1069" i="13"/>
  <c r="R1068" i="13"/>
  <c r="R1067" i="13"/>
  <c r="R1066" i="13"/>
  <c r="R1065" i="13"/>
  <c r="R1064" i="13"/>
  <c r="R1063" i="13"/>
  <c r="R1062" i="13"/>
  <c r="R1061" i="13"/>
  <c r="R1060" i="13"/>
  <c r="R1059" i="13"/>
  <c r="R1058" i="13"/>
  <c r="R1057" i="13"/>
  <c r="R1056" i="13"/>
  <c r="R1055" i="13"/>
  <c r="R1054" i="13"/>
  <c r="R1053" i="13"/>
  <c r="R1052" i="13"/>
  <c r="R1051" i="13"/>
  <c r="R1050" i="13"/>
  <c r="R1049" i="13"/>
  <c r="R1048" i="13"/>
  <c r="R1047" i="13"/>
  <c r="R1046" i="13"/>
  <c r="R1045" i="13"/>
  <c r="R1044" i="13"/>
  <c r="R1043" i="13"/>
  <c r="R1042" i="13"/>
  <c r="R1041" i="13"/>
  <c r="R1040" i="13"/>
  <c r="R1039" i="13"/>
  <c r="R1038" i="13"/>
  <c r="R1037" i="13"/>
  <c r="R1036" i="13"/>
  <c r="R1035" i="13"/>
  <c r="R1034" i="13"/>
  <c r="R1033" i="13"/>
  <c r="R1032" i="13"/>
  <c r="R1030" i="13"/>
  <c r="R1029" i="13"/>
  <c r="R1028" i="13"/>
  <c r="R1027" i="13"/>
  <c r="R1031" i="13"/>
  <c r="R1026" i="13"/>
  <c r="R1025" i="13"/>
  <c r="R1024" i="13"/>
  <c r="R1023" i="13"/>
  <c r="R1022" i="13"/>
  <c r="R1021" i="13"/>
  <c r="R1020" i="13"/>
  <c r="R1019" i="13"/>
  <c r="R1018" i="13"/>
  <c r="R1017" i="13"/>
  <c r="R1016" i="13"/>
  <c r="R1015" i="13"/>
  <c r="R1014" i="13"/>
  <c r="R1013" i="13"/>
  <c r="R1012" i="13"/>
  <c r="R1011" i="13"/>
  <c r="R1010" i="13"/>
  <c r="R1009" i="13"/>
  <c r="R1008" i="13"/>
  <c r="R1007" i="13"/>
  <c r="R1006" i="13"/>
  <c r="R1005" i="13"/>
  <c r="R1004" i="13"/>
  <c r="R1003" i="13"/>
  <c r="R1002" i="13"/>
  <c r="R1001" i="13"/>
  <c r="R999" i="13"/>
  <c r="R998" i="13"/>
  <c r="R1000" i="13"/>
  <c r="R997" i="13"/>
  <c r="R996" i="13"/>
  <c r="R995" i="13"/>
  <c r="R994" i="13"/>
  <c r="R993" i="13"/>
  <c r="R992" i="13"/>
  <c r="R991" i="13"/>
  <c r="R990" i="13"/>
  <c r="R989" i="13"/>
  <c r="R988" i="13"/>
  <c r="R987" i="13"/>
  <c r="R986" i="13"/>
  <c r="R985" i="13"/>
  <c r="R984" i="13"/>
  <c r="R983" i="13"/>
  <c r="R982" i="13"/>
  <c r="R981" i="13"/>
  <c r="R980" i="13"/>
  <c r="R979" i="13"/>
  <c r="R978" i="13"/>
  <c r="R977" i="13"/>
  <c r="R976" i="13"/>
  <c r="R975" i="13"/>
  <c r="R974" i="13"/>
  <c r="R973" i="13"/>
  <c r="R972" i="13"/>
  <c r="R971" i="13"/>
  <c r="R970" i="13"/>
  <c r="R969" i="13"/>
  <c r="R968" i="13"/>
  <c r="R967" i="13"/>
  <c r="R966" i="13"/>
  <c r="R965" i="13"/>
  <c r="R964" i="13"/>
  <c r="R963" i="13"/>
  <c r="R962" i="13"/>
  <c r="R961" i="13"/>
  <c r="R960" i="13"/>
  <c r="R959" i="13"/>
  <c r="R958" i="13"/>
  <c r="R957" i="13"/>
  <c r="R956" i="13"/>
  <c r="R955" i="13"/>
  <c r="R954" i="13"/>
  <c r="R953" i="13"/>
  <c r="R952" i="13"/>
  <c r="R951" i="13"/>
  <c r="R950" i="13"/>
  <c r="R949" i="13"/>
  <c r="R948" i="13"/>
  <c r="R947" i="13"/>
  <c r="R946" i="13"/>
  <c r="R945" i="13"/>
  <c r="R944" i="13"/>
  <c r="R943" i="13"/>
  <c r="R942" i="13"/>
  <c r="R941" i="13"/>
  <c r="R940" i="13"/>
  <c r="R939" i="13"/>
  <c r="R938" i="13"/>
  <c r="R937" i="13"/>
  <c r="R936" i="13"/>
  <c r="R935" i="13"/>
  <c r="R934" i="13"/>
  <c r="R933" i="13"/>
  <c r="R932" i="13"/>
  <c r="R931" i="13"/>
  <c r="R930" i="13"/>
  <c r="R929" i="13"/>
  <c r="R928" i="13"/>
  <c r="R927" i="13"/>
  <c r="R926" i="13"/>
  <c r="R925" i="13"/>
  <c r="R924" i="13"/>
  <c r="R923" i="13"/>
  <c r="R922" i="13"/>
  <c r="R921" i="13"/>
  <c r="R920" i="13"/>
  <c r="R919" i="13"/>
  <c r="R918" i="13"/>
  <c r="R917" i="13"/>
  <c r="R916" i="13"/>
  <c r="R915" i="13"/>
  <c r="R914" i="13"/>
  <c r="R913" i="13"/>
  <c r="R912" i="13"/>
  <c r="R911" i="13"/>
  <c r="R910" i="13"/>
  <c r="R909" i="13"/>
  <c r="R908" i="13"/>
  <c r="R907" i="13"/>
  <c r="R906" i="13"/>
  <c r="R905" i="13"/>
  <c r="R904" i="13"/>
  <c r="R902" i="13"/>
  <c r="R901" i="13"/>
  <c r="R899" i="13"/>
  <c r="R898" i="13"/>
  <c r="R896" i="13"/>
  <c r="R895" i="13"/>
  <c r="R894" i="13"/>
  <c r="R893" i="13"/>
  <c r="R892" i="13"/>
  <c r="R891" i="13"/>
  <c r="R890" i="13"/>
  <c r="R889" i="13"/>
  <c r="R888" i="13"/>
  <c r="R887" i="13"/>
  <c r="R886" i="13"/>
  <c r="R885" i="13"/>
  <c r="R884" i="13"/>
  <c r="R883" i="13"/>
  <c r="R881" i="13"/>
  <c r="R880" i="13"/>
  <c r="R878" i="13"/>
  <c r="R877" i="13"/>
  <c r="R876" i="13"/>
  <c r="R875" i="13"/>
  <c r="R873" i="13"/>
  <c r="R872" i="13"/>
  <c r="R871" i="13"/>
  <c r="R870" i="13"/>
  <c r="R869" i="13"/>
  <c r="R868" i="13"/>
  <c r="R867" i="13"/>
  <c r="R865" i="13"/>
  <c r="R864" i="13"/>
  <c r="R863" i="13"/>
  <c r="R862" i="13"/>
  <c r="R861" i="13"/>
  <c r="R860" i="13"/>
  <c r="R859" i="13"/>
  <c r="R858" i="13"/>
  <c r="R857" i="13"/>
  <c r="R856" i="13"/>
  <c r="R855" i="13"/>
  <c r="R854" i="13"/>
  <c r="R853" i="13"/>
  <c r="R852" i="13"/>
  <c r="R851" i="13"/>
  <c r="R849" i="13"/>
  <c r="R847" i="13"/>
  <c r="R846" i="13"/>
  <c r="R845" i="13"/>
  <c r="R844" i="13"/>
  <c r="R842" i="13"/>
  <c r="R840" i="13"/>
  <c r="R839" i="13"/>
  <c r="R837" i="13"/>
  <c r="R835" i="13"/>
  <c r="R833" i="13"/>
  <c r="R831" i="13"/>
  <c r="R829" i="13"/>
  <c r="R828" i="13"/>
  <c r="R827" i="13"/>
  <c r="R826" i="13"/>
  <c r="R824" i="13"/>
  <c r="R822" i="13"/>
  <c r="R821" i="13"/>
  <c r="R820" i="13"/>
  <c r="R819" i="13"/>
  <c r="R818" i="13"/>
  <c r="R816" i="13"/>
  <c r="R813" i="13"/>
  <c r="R814" i="13"/>
  <c r="R812" i="13"/>
  <c r="R811" i="13"/>
  <c r="R809" i="13"/>
  <c r="R808" i="13"/>
  <c r="R806" i="13"/>
  <c r="R804" i="13"/>
  <c r="R803" i="13"/>
  <c r="R802" i="13"/>
  <c r="R801" i="13"/>
  <c r="R799" i="13"/>
  <c r="R798" i="13"/>
  <c r="R796" i="13"/>
  <c r="R795" i="13"/>
  <c r="R793" i="13"/>
  <c r="R792" i="13"/>
  <c r="R791" i="13"/>
  <c r="R789" i="13"/>
  <c r="R784" i="13"/>
  <c r="R783" i="13"/>
  <c r="R782" i="13"/>
  <c r="R781" i="13"/>
  <c r="R780" i="13"/>
  <c r="R779" i="13"/>
  <c r="R778" i="13"/>
  <c r="R777" i="13"/>
  <c r="R776" i="13"/>
  <c r="R775" i="13"/>
  <c r="R774" i="13"/>
  <c r="R773" i="13"/>
  <c r="R772" i="13"/>
  <c r="R771" i="13"/>
  <c r="R770" i="13"/>
  <c r="R769" i="13"/>
  <c r="R768" i="13"/>
  <c r="R767" i="13"/>
  <c r="R765" i="13"/>
  <c r="R764" i="13"/>
  <c r="P1153" i="13"/>
  <c r="P1028" i="13"/>
  <c r="P893" i="13"/>
  <c r="P892" i="13"/>
  <c r="P891" i="13"/>
  <c r="P887" i="13"/>
  <c r="P885" i="13"/>
  <c r="P842" i="13"/>
  <c r="I1158" i="13"/>
  <c r="I1157" i="13"/>
  <c r="I1156" i="13"/>
  <c r="I1155" i="13"/>
  <c r="I1154" i="13"/>
  <c r="I1153" i="13"/>
  <c r="I1152" i="13"/>
  <c r="I1151" i="13"/>
  <c r="I1150" i="13"/>
  <c r="I1149" i="13"/>
  <c r="I1148" i="13"/>
  <c r="I1147" i="13"/>
  <c r="I1144" i="13"/>
  <c r="I1138" i="13"/>
  <c r="I1133" i="13"/>
  <c r="I1124" i="13"/>
  <c r="I1120" i="13"/>
  <c r="I1115" i="13"/>
  <c r="I1113" i="13"/>
  <c r="I1111" i="13"/>
  <c r="I1109" i="13"/>
  <c r="I1099" i="13"/>
  <c r="I1098" i="13"/>
  <c r="I1097" i="13"/>
  <c r="I1070" i="13"/>
  <c r="I1046" i="13"/>
  <c r="I1044" i="13"/>
  <c r="I1041" i="13"/>
  <c r="I1040" i="13"/>
  <c r="I1033" i="13"/>
  <c r="I1032" i="13"/>
  <c r="I1028" i="13"/>
  <c r="I1002" i="13"/>
  <c r="I996" i="13"/>
  <c r="I995" i="13"/>
  <c r="I973" i="13"/>
  <c r="I967" i="13"/>
  <c r="I963" i="13"/>
  <c r="I942" i="13"/>
  <c r="I930" i="13"/>
  <c r="I929" i="13"/>
  <c r="I915" i="13"/>
  <c r="I913" i="13"/>
  <c r="I896" i="13"/>
  <c r="I895" i="13"/>
  <c r="I894" i="13"/>
  <c r="I893" i="13"/>
  <c r="I892" i="13"/>
  <c r="I891" i="13"/>
  <c r="I888" i="13"/>
  <c r="I887" i="13"/>
  <c r="I885" i="13"/>
  <c r="I883" i="13"/>
  <c r="I881" i="13"/>
  <c r="I877" i="13"/>
  <c r="I876" i="13"/>
  <c r="I875" i="13"/>
  <c r="I873" i="13"/>
  <c r="I872" i="13"/>
  <c r="I865" i="13"/>
  <c r="I864" i="13"/>
  <c r="I863" i="13"/>
  <c r="I861" i="13"/>
  <c r="I858" i="13"/>
  <c r="I857" i="13"/>
  <c r="I855" i="13"/>
  <c r="I854" i="13"/>
  <c r="I852" i="13"/>
  <c r="I846" i="13"/>
  <c r="I833" i="13"/>
  <c r="I824" i="13"/>
  <c r="I820" i="13"/>
  <c r="I803" i="13"/>
  <c r="I802" i="13"/>
  <c r="I801" i="13"/>
  <c r="I796" i="13"/>
  <c r="I795" i="13"/>
  <c r="I781" i="13"/>
  <c r="I780" i="13"/>
  <c r="I774" i="13"/>
  <c r="I766" i="13"/>
  <c r="H915" i="13"/>
  <c r="G824" i="13"/>
  <c r="F1158" i="13"/>
  <c r="F1157" i="13"/>
  <c r="F1156" i="13"/>
  <c r="F1155" i="13"/>
  <c r="F1154" i="13"/>
  <c r="F1153" i="13"/>
  <c r="F1152" i="13"/>
  <c r="F1151" i="13"/>
  <c r="F1150" i="13"/>
  <c r="F1149" i="13"/>
  <c r="F1148" i="13"/>
  <c r="F1147" i="13"/>
  <c r="F1138" i="13"/>
  <c r="F1136" i="13"/>
  <c r="F1133" i="13"/>
  <c r="F1124" i="13"/>
  <c r="F1120" i="13"/>
  <c r="F1115" i="13"/>
  <c r="F1113" i="13"/>
  <c r="F1111" i="13"/>
  <c r="F1109" i="13"/>
  <c r="F1099" i="13"/>
  <c r="F1098" i="13"/>
  <c r="F1097" i="13"/>
  <c r="F1070" i="13"/>
  <c r="F1069" i="13"/>
  <c r="F1065" i="13"/>
  <c r="F1063" i="13"/>
  <c r="F1046" i="13"/>
  <c r="F1044" i="13"/>
  <c r="F1041" i="13"/>
  <c r="F1040" i="13"/>
  <c r="F1033" i="13"/>
  <c r="F1032" i="13"/>
  <c r="F1028" i="13"/>
  <c r="F1002" i="13"/>
  <c r="F996" i="13"/>
  <c r="F995" i="13"/>
  <c r="F973" i="13"/>
  <c r="F967" i="13"/>
  <c r="F963" i="13"/>
  <c r="F942" i="13"/>
  <c r="F930" i="13"/>
  <c r="F929" i="13"/>
  <c r="F915" i="13"/>
  <c r="F913" i="13"/>
  <c r="F906" i="13"/>
  <c r="F898" i="13"/>
  <c r="F896" i="13"/>
  <c r="F895" i="13"/>
  <c r="F894" i="13"/>
  <c r="F893" i="13"/>
  <c r="F892" i="13"/>
  <c r="F891" i="13"/>
  <c r="F888" i="13"/>
  <c r="F887" i="13"/>
  <c r="F885" i="13"/>
  <c r="F883" i="13"/>
  <c r="F881" i="13"/>
  <c r="F873" i="13"/>
  <c r="F872" i="13"/>
  <c r="F869" i="13"/>
  <c r="F868" i="13"/>
  <c r="F867" i="13"/>
  <c r="F865" i="13"/>
  <c r="F864" i="13"/>
  <c r="F863" i="13"/>
  <c r="F861" i="13"/>
  <c r="F858" i="13"/>
  <c r="F857" i="13"/>
  <c r="F855" i="13"/>
  <c r="F854" i="13"/>
  <c r="F852" i="13"/>
  <c r="F846" i="13"/>
  <c r="F833" i="13"/>
  <c r="F820" i="13"/>
  <c r="F803" i="13"/>
  <c r="F802" i="13"/>
  <c r="F796" i="13"/>
  <c r="F781" i="13"/>
  <c r="F780" i="13"/>
  <c r="F774" i="13"/>
  <c r="F766" i="13"/>
  <c r="F763" i="13"/>
  <c r="E1164" i="13"/>
  <c r="E1158" i="13"/>
  <c r="E1157" i="13"/>
  <c r="E1156" i="13"/>
  <c r="E1155" i="13"/>
  <c r="E1154" i="13"/>
  <c r="E1153" i="13"/>
  <c r="E1152" i="13"/>
  <c r="E1151" i="13"/>
  <c r="E1150" i="13"/>
  <c r="E1149" i="13"/>
  <c r="E1148" i="13"/>
  <c r="E1147" i="13"/>
  <c r="E1144" i="13"/>
  <c r="E1138" i="13"/>
  <c r="E1135" i="13" l="1"/>
  <c r="E1133" i="13"/>
  <c r="E1129" i="13"/>
  <c r="E1128" i="13"/>
  <c r="E1126" i="13"/>
  <c r="E1124" i="13"/>
  <c r="E1120" i="13"/>
  <c r="E1115" i="13"/>
  <c r="E1113" i="13"/>
  <c r="E1111" i="13"/>
  <c r="E1109" i="13"/>
  <c r="E1099" i="13"/>
  <c r="E1098" i="13"/>
  <c r="E1097" i="13"/>
  <c r="E1070" i="13"/>
  <c r="E1046" i="13"/>
  <c r="E1044" i="13"/>
  <c r="E1041" i="13"/>
  <c r="E1040" i="13"/>
  <c r="E1033" i="13"/>
  <c r="E1032" i="13"/>
  <c r="E1028" i="13"/>
  <c r="E1002" i="13"/>
  <c r="E996" i="13"/>
  <c r="E995" i="13"/>
  <c r="E973" i="13"/>
  <c r="E967" i="13"/>
  <c r="E963" i="13"/>
  <c r="E942" i="13"/>
  <c r="E930" i="13"/>
  <c r="E929" i="13"/>
  <c r="E915" i="13"/>
  <c r="E913" i="13"/>
  <c r="E902" i="13"/>
  <c r="E901" i="13"/>
  <c r="E899" i="13"/>
  <c r="E898" i="13"/>
  <c r="E896" i="13"/>
  <c r="E895" i="13"/>
  <c r="E894" i="13"/>
  <c r="E893" i="13"/>
  <c r="E892" i="13"/>
  <c r="E891" i="13"/>
  <c r="E888" i="13"/>
  <c r="E887" i="13"/>
  <c r="E885" i="13"/>
  <c r="E883" i="13"/>
  <c r="E881" i="13"/>
  <c r="E878" i="13"/>
  <c r="E877" i="13"/>
  <c r="E876" i="13"/>
  <c r="E875" i="13"/>
  <c r="E873" i="13"/>
  <c r="E872" i="13"/>
  <c r="E871" i="13"/>
  <c r="E870" i="13"/>
  <c r="E869" i="13"/>
  <c r="E868" i="13"/>
  <c r="E867" i="13"/>
  <c r="E865" i="13"/>
  <c r="E864" i="13"/>
  <c r="E863" i="13"/>
  <c r="E861" i="13"/>
  <c r="E858" i="13"/>
  <c r="E857" i="13"/>
  <c r="E856" i="13"/>
  <c r="E855" i="13"/>
  <c r="E854" i="13"/>
  <c r="E853" i="13"/>
  <c r="E852" i="13"/>
  <c r="E846" i="13"/>
  <c r="E842" i="13"/>
  <c r="E833" i="13"/>
  <c r="E824" i="13"/>
  <c r="E820" i="13"/>
  <c r="E803" i="13"/>
  <c r="E802" i="13"/>
  <c r="E801" i="13"/>
  <c r="E796" i="13"/>
  <c r="E795" i="13"/>
  <c r="E789" i="13"/>
  <c r="E788" i="13"/>
  <c r="E781" i="13"/>
  <c r="E780" i="13"/>
  <c r="E774" i="13"/>
  <c r="E766" i="13"/>
  <c r="N1164" i="13"/>
  <c r="N1161" i="13"/>
  <c r="N1158" i="13"/>
  <c r="N1157" i="13"/>
  <c r="N1156" i="13"/>
  <c r="N1155" i="13"/>
  <c r="N1154" i="13"/>
  <c r="N1152" i="13"/>
  <c r="N1151" i="13"/>
  <c r="N1150" i="13"/>
  <c r="N1149" i="13"/>
  <c r="N1148" i="13"/>
  <c r="N1147" i="13"/>
  <c r="N1146" i="13"/>
  <c r="N1142" i="13"/>
  <c r="N1140" i="13"/>
  <c r="N1139" i="13"/>
  <c r="N1138" i="13"/>
  <c r="N1136" i="13"/>
  <c r="N1135" i="13"/>
  <c r="N1131" i="13"/>
  <c r="N1129" i="13"/>
  <c r="N1128" i="13"/>
  <c r="N1126" i="13"/>
  <c r="N1124" i="13"/>
  <c r="N1123" i="13"/>
  <c r="N1121" i="13"/>
  <c r="N1120" i="13"/>
  <c r="N1119" i="13"/>
  <c r="N1117" i="13"/>
  <c r="N1115" i="13"/>
  <c r="N1111" i="13"/>
  <c r="N1107" i="13"/>
  <c r="N1106" i="13"/>
  <c r="N1105" i="13"/>
  <c r="N1104" i="13"/>
  <c r="N1103" i="13"/>
  <c r="N1102" i="13"/>
  <c r="N1101" i="13"/>
  <c r="N1100" i="13"/>
  <c r="N1099" i="13"/>
  <c r="N1098" i="13"/>
  <c r="N1097" i="13"/>
  <c r="N1096" i="13"/>
  <c r="N1093" i="13"/>
  <c r="N1092" i="13"/>
  <c r="N1091" i="13"/>
  <c r="N1090" i="13"/>
  <c r="N1089" i="13"/>
  <c r="N1088" i="13"/>
  <c r="N1087" i="13"/>
  <c r="N1086" i="13"/>
  <c r="N1085" i="13"/>
  <c r="N1084" i="13"/>
  <c r="N1083" i="13"/>
  <c r="N1082" i="13"/>
  <c r="N1081" i="13"/>
  <c r="N1080" i="13"/>
  <c r="N1079" i="13"/>
  <c r="N1078" i="13"/>
  <c r="N1077" i="13"/>
  <c r="N1074" i="13"/>
  <c r="N1073" i="13"/>
  <c r="N1072" i="13"/>
  <c r="N1071" i="13"/>
  <c r="N1069" i="13"/>
  <c r="N1068" i="13"/>
  <c r="N1067" i="13"/>
  <c r="N1066" i="13"/>
  <c r="N1065" i="13"/>
  <c r="N1064" i="13"/>
  <c r="N1063" i="13"/>
  <c r="N1062" i="13"/>
  <c r="N1061" i="13"/>
  <c r="N1060" i="13"/>
  <c r="N1059" i="13"/>
  <c r="N1058" i="13"/>
  <c r="N1057" i="13"/>
  <c r="N1056" i="13"/>
  <c r="N1055" i="13"/>
  <c r="N1054" i="13"/>
  <c r="N1053" i="13"/>
  <c r="N1052" i="13"/>
  <c r="N1051" i="13"/>
  <c r="N1050" i="13"/>
  <c r="N1049" i="13"/>
  <c r="N1048" i="13"/>
  <c r="N1047" i="13"/>
  <c r="N1046" i="13"/>
  <c r="N1045" i="13"/>
  <c r="N1043" i="13"/>
  <c r="N1042" i="13"/>
  <c r="N1039" i="13"/>
  <c r="N1038" i="13"/>
  <c r="N1037" i="13"/>
  <c r="N1036" i="13"/>
  <c r="N1035" i="13"/>
  <c r="N1033" i="13"/>
  <c r="N1030" i="13"/>
  <c r="N1029" i="13"/>
  <c r="N1028" i="13"/>
  <c r="N1027" i="13"/>
  <c r="N1031" i="13"/>
  <c r="N1026" i="13"/>
  <c r="N1025" i="13"/>
  <c r="N1024" i="13"/>
  <c r="N1023" i="13"/>
  <c r="N1022" i="13"/>
  <c r="N1021" i="13"/>
  <c r="N1020" i="13"/>
  <c r="N1019" i="13"/>
  <c r="N1018" i="13"/>
  <c r="N1017" i="13"/>
  <c r="N1016" i="13"/>
  <c r="N1015" i="13"/>
  <c r="N1014" i="13"/>
  <c r="N1013" i="13"/>
  <c r="N1012" i="13"/>
  <c r="N1011" i="13"/>
  <c r="N1010" i="13"/>
  <c r="N1009" i="13"/>
  <c r="N1008" i="13"/>
  <c r="N1007" i="13"/>
  <c r="N1006" i="13"/>
  <c r="N1005" i="13"/>
  <c r="N1004" i="13"/>
  <c r="N1003" i="13"/>
  <c r="N1002" i="13"/>
  <c r="N1001" i="13"/>
  <c r="N999" i="13"/>
  <c r="N998" i="13"/>
  <c r="N1000" i="13"/>
  <c r="N997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969" i="13"/>
  <c r="N968" i="13"/>
  <c r="N967" i="13"/>
  <c r="N966" i="13"/>
  <c r="N965" i="13"/>
  <c r="N964" i="13"/>
  <c r="N963" i="13"/>
  <c r="N962" i="13"/>
  <c r="N961" i="13"/>
  <c r="N960" i="13"/>
  <c r="N958" i="13"/>
  <c r="N957" i="13"/>
  <c r="N956" i="13"/>
  <c r="N955" i="13"/>
  <c r="N954" i="13"/>
  <c r="N953" i="13"/>
  <c r="N952" i="13"/>
  <c r="N951" i="13"/>
  <c r="N950" i="13"/>
  <c r="N949" i="13"/>
  <c r="N948" i="13"/>
  <c r="N947" i="13"/>
  <c r="N946" i="13"/>
  <c r="N945" i="13"/>
  <c r="N944" i="13"/>
  <c r="N943" i="13"/>
  <c r="N942" i="13"/>
  <c r="N941" i="13"/>
  <c r="N940" i="13"/>
  <c r="N939" i="13"/>
  <c r="N938" i="13"/>
  <c r="N937" i="13"/>
  <c r="N936" i="13"/>
  <c r="N935" i="13"/>
  <c r="N934" i="13"/>
  <c r="N933" i="13"/>
  <c r="N932" i="13"/>
  <c r="N931" i="13"/>
  <c r="N930" i="13"/>
  <c r="N928" i="13"/>
  <c r="N927" i="13"/>
  <c r="N926" i="13"/>
  <c r="N925" i="13"/>
  <c r="N924" i="13"/>
  <c r="N923" i="13"/>
  <c r="N922" i="13"/>
  <c r="N921" i="13"/>
  <c r="N920" i="13"/>
  <c r="N919" i="13"/>
  <c r="N918" i="13"/>
  <c r="N917" i="13"/>
  <c r="N916" i="13"/>
  <c r="N915" i="13"/>
  <c r="N914" i="13"/>
  <c r="N912" i="13"/>
  <c r="N911" i="13"/>
  <c r="N910" i="13"/>
  <c r="N909" i="13"/>
  <c r="N908" i="13"/>
  <c r="N907" i="13"/>
  <c r="N906" i="13"/>
  <c r="N904" i="13"/>
  <c r="N902" i="13"/>
  <c r="N901" i="13"/>
  <c r="N899" i="13"/>
  <c r="N898" i="13"/>
  <c r="N895" i="13"/>
  <c r="N894" i="13"/>
  <c r="N893" i="13"/>
  <c r="N892" i="13"/>
  <c r="N891" i="13"/>
  <c r="N890" i="13"/>
  <c r="N889" i="13"/>
  <c r="N887" i="13"/>
  <c r="N884" i="13"/>
  <c r="N881" i="13"/>
  <c r="N880" i="13"/>
  <c r="N878" i="13"/>
  <c r="N877" i="13"/>
  <c r="N876" i="13"/>
  <c r="N875" i="13"/>
  <c r="N873" i="13"/>
  <c r="N872" i="13"/>
  <c r="N870" i="13"/>
  <c r="N869" i="13"/>
  <c r="N868" i="13"/>
  <c r="N867" i="13"/>
  <c r="N865" i="13"/>
  <c r="N864" i="13"/>
  <c r="N863" i="13"/>
  <c r="N862" i="13"/>
  <c r="N861" i="13"/>
  <c r="N860" i="13"/>
  <c r="N858" i="13"/>
  <c r="N857" i="13"/>
  <c r="N856" i="13"/>
  <c r="N855" i="13"/>
  <c r="N854" i="13"/>
  <c r="N853" i="13"/>
  <c r="N852" i="13"/>
  <c r="N851" i="13"/>
  <c r="N849" i="13"/>
  <c r="N847" i="13"/>
  <c r="N845" i="13"/>
  <c r="N844" i="13"/>
  <c r="N842" i="13"/>
  <c r="N840" i="13"/>
  <c r="N839" i="13"/>
  <c r="N837" i="13"/>
  <c r="N835" i="13"/>
  <c r="N833" i="13"/>
  <c r="N831" i="13"/>
  <c r="N827" i="13"/>
  <c r="N826" i="13"/>
  <c r="N822" i="13"/>
  <c r="N821" i="13"/>
  <c r="N819" i="13"/>
  <c r="N818" i="13"/>
  <c r="N816" i="13"/>
  <c r="N813" i="13"/>
  <c r="N814" i="13"/>
  <c r="N812" i="13"/>
  <c r="N811" i="13"/>
  <c r="N806" i="13"/>
  <c r="N804" i="13"/>
  <c r="N803" i="13"/>
  <c r="N802" i="13"/>
  <c r="N801" i="13"/>
  <c r="N799" i="13"/>
  <c r="N798" i="13"/>
  <c r="N793" i="13"/>
  <c r="N792" i="13"/>
  <c r="N789" i="13"/>
  <c r="N788" i="13"/>
  <c r="N786" i="13"/>
  <c r="N784" i="13"/>
  <c r="N783" i="13"/>
  <c r="N782" i="13"/>
  <c r="N781" i="13"/>
  <c r="N779" i="13"/>
  <c r="N778" i="13"/>
  <c r="N777" i="13"/>
  <c r="N776" i="13"/>
  <c r="N775" i="13"/>
  <c r="N774" i="13"/>
  <c r="N773" i="13"/>
  <c r="N772" i="13"/>
  <c r="N771" i="13"/>
  <c r="N770" i="13"/>
  <c r="N769" i="13"/>
  <c r="N767" i="13"/>
  <c r="N765" i="13"/>
  <c r="N762" i="13"/>
  <c r="N760" i="13"/>
  <c r="N759" i="13"/>
  <c r="E533" i="13"/>
  <c r="F397" i="13" l="1"/>
  <c r="I393" i="13"/>
  <c r="G393" i="13"/>
  <c r="F393" i="13"/>
  <c r="E393" i="13"/>
  <c r="N1125" i="13"/>
  <c r="D1126" i="13"/>
  <c r="U1125" i="13"/>
  <c r="T1125" i="13"/>
  <c r="S1125" i="13"/>
  <c r="R1125" i="13"/>
  <c r="Q1125" i="13"/>
  <c r="P1125" i="13"/>
  <c r="O1125" i="13"/>
  <c r="M1125" i="13"/>
  <c r="L1125" i="13"/>
  <c r="K1125" i="13"/>
  <c r="J1125" i="13"/>
  <c r="I1125" i="13"/>
  <c r="H1125" i="13"/>
  <c r="G1125" i="13"/>
  <c r="F1125" i="13"/>
  <c r="E1125" i="13"/>
  <c r="U1116" i="13"/>
  <c r="T1116" i="13"/>
  <c r="S1116" i="13"/>
  <c r="R1116" i="13"/>
  <c r="Q1116" i="13"/>
  <c r="P1116" i="13"/>
  <c r="O1116" i="13"/>
  <c r="N1116" i="13"/>
  <c r="M1116" i="13"/>
  <c r="L1116" i="13"/>
  <c r="K1116" i="13"/>
  <c r="J1116" i="13"/>
  <c r="I1116" i="13"/>
  <c r="H1116" i="13"/>
  <c r="G1116" i="13"/>
  <c r="F1116" i="13"/>
  <c r="E1116" i="13"/>
  <c r="V1117" i="13"/>
  <c r="D1117" i="13"/>
  <c r="C1117" i="13" s="1"/>
  <c r="C1116" i="13" s="1"/>
  <c r="V1073" i="13"/>
  <c r="D1073" i="13"/>
  <c r="C1073" i="13" s="1"/>
  <c r="D1116" i="13" l="1"/>
  <c r="C1126" i="13"/>
  <c r="C1125" i="13" s="1"/>
  <c r="D1125" i="13"/>
  <c r="V1126" i="13"/>
  <c r="V968" i="13"/>
  <c r="D968" i="13"/>
  <c r="C968" i="13" s="1"/>
  <c r="V1136" i="13" l="1"/>
  <c r="R763" i="13"/>
  <c r="N763" i="13"/>
  <c r="V763" i="13" s="1"/>
  <c r="J763" i="13"/>
  <c r="V1069" i="13"/>
  <c r="J1069" i="13"/>
  <c r="V1065" i="13"/>
  <c r="J1065" i="13"/>
  <c r="V1063" i="13"/>
  <c r="D1063" i="13"/>
  <c r="V906" i="13"/>
  <c r="J906" i="13"/>
  <c r="U291" i="13"/>
  <c r="T291" i="13"/>
  <c r="S291" i="13"/>
  <c r="Q291" i="13"/>
  <c r="O291" i="13"/>
  <c r="M291" i="13"/>
  <c r="K291" i="13"/>
  <c r="D292" i="13"/>
  <c r="C292" i="13" s="1"/>
  <c r="L1145" i="13"/>
  <c r="D890" i="13"/>
  <c r="U879" i="13"/>
  <c r="T879" i="13"/>
  <c r="S879" i="13"/>
  <c r="Q879" i="13"/>
  <c r="P879" i="13"/>
  <c r="O879" i="13"/>
  <c r="M879" i="13"/>
  <c r="L879" i="13"/>
  <c r="K879" i="13"/>
  <c r="J880" i="13"/>
  <c r="U838" i="13"/>
  <c r="T838" i="13"/>
  <c r="S838" i="13"/>
  <c r="R838" i="13"/>
  <c r="Q838" i="13"/>
  <c r="P838" i="13"/>
  <c r="O838" i="13"/>
  <c r="M838" i="13"/>
  <c r="L838" i="13"/>
  <c r="K838" i="13"/>
  <c r="J838" i="13"/>
  <c r="I838" i="13"/>
  <c r="H838" i="13"/>
  <c r="G838" i="13"/>
  <c r="F838" i="13"/>
  <c r="E838" i="13"/>
  <c r="U834" i="13"/>
  <c r="T834" i="13"/>
  <c r="S834" i="13"/>
  <c r="R834" i="13"/>
  <c r="Q834" i="13"/>
  <c r="P834" i="13"/>
  <c r="O834" i="13"/>
  <c r="M834" i="13"/>
  <c r="L834" i="13"/>
  <c r="K834" i="13"/>
  <c r="J834" i="13"/>
  <c r="I834" i="13"/>
  <c r="H834" i="13"/>
  <c r="G834" i="13"/>
  <c r="F834" i="13"/>
  <c r="E834" i="13"/>
  <c r="N834" i="13"/>
  <c r="D835" i="13"/>
  <c r="D834" i="13" s="1"/>
  <c r="U825" i="13"/>
  <c r="T825" i="13"/>
  <c r="S825" i="13"/>
  <c r="R825" i="13"/>
  <c r="Q825" i="13"/>
  <c r="P825" i="13"/>
  <c r="O825" i="13"/>
  <c r="M825" i="13"/>
  <c r="L825" i="13"/>
  <c r="K825" i="13"/>
  <c r="J825" i="13"/>
  <c r="I825" i="13"/>
  <c r="H825" i="13"/>
  <c r="G825" i="13"/>
  <c r="F825" i="13"/>
  <c r="E825" i="13"/>
  <c r="D828" i="13"/>
  <c r="C828" i="13" s="1"/>
  <c r="V867" i="13"/>
  <c r="J867" i="13"/>
  <c r="G867" i="13"/>
  <c r="V1032" i="13"/>
  <c r="H1032" i="13"/>
  <c r="G1032" i="13"/>
  <c r="G1153" i="13"/>
  <c r="I466" i="13"/>
  <c r="H466" i="13"/>
  <c r="G466" i="13"/>
  <c r="E466" i="13"/>
  <c r="E420" i="13"/>
  <c r="I711" i="13"/>
  <c r="G711" i="13"/>
  <c r="F711" i="13"/>
  <c r="E711" i="13"/>
  <c r="I709" i="13"/>
  <c r="G709" i="13"/>
  <c r="F709" i="13"/>
  <c r="E709" i="13"/>
  <c r="E719" i="13"/>
  <c r="E357" i="13"/>
  <c r="E752" i="13"/>
  <c r="L304" i="13"/>
  <c r="I400" i="13"/>
  <c r="G400" i="13"/>
  <c r="F400" i="13"/>
  <c r="E400" i="13"/>
  <c r="I392" i="13"/>
  <c r="G392" i="13"/>
  <c r="F392" i="13"/>
  <c r="E392" i="13"/>
  <c r="I391" i="13"/>
  <c r="G391" i="13"/>
  <c r="F391" i="13"/>
  <c r="E391" i="13"/>
  <c r="E389" i="13"/>
  <c r="I387" i="13"/>
  <c r="G387" i="13"/>
  <c r="E387" i="13"/>
  <c r="N370" i="13"/>
  <c r="I619" i="13"/>
  <c r="H619" i="13"/>
  <c r="G619" i="13"/>
  <c r="F619" i="13"/>
  <c r="E619" i="13"/>
  <c r="I747" i="13"/>
  <c r="G747" i="13"/>
  <c r="F747" i="13"/>
  <c r="E747" i="13"/>
  <c r="I550" i="13"/>
  <c r="H550" i="13"/>
  <c r="G550" i="13"/>
  <c r="F550" i="13"/>
  <c r="E550" i="13"/>
  <c r="V891" i="13"/>
  <c r="J891" i="13"/>
  <c r="G891" i="13"/>
  <c r="V1024" i="13"/>
  <c r="D1024" i="13"/>
  <c r="V1023" i="13"/>
  <c r="D1023" i="13"/>
  <c r="D1069" i="13" l="1"/>
  <c r="C1069" i="13" s="1"/>
  <c r="D906" i="13"/>
  <c r="C906" i="13" s="1"/>
  <c r="D763" i="13"/>
  <c r="C763" i="13" s="1"/>
  <c r="D1065" i="13"/>
  <c r="C1065" i="13" s="1"/>
  <c r="C1063" i="13"/>
  <c r="D1136" i="13"/>
  <c r="C890" i="13"/>
  <c r="D880" i="13"/>
  <c r="V880" i="13"/>
  <c r="V835" i="13"/>
  <c r="C1023" i="13"/>
  <c r="C1024" i="13"/>
  <c r="D891" i="13"/>
  <c r="C891" i="13" s="1"/>
  <c r="D867" i="13"/>
  <c r="C867" i="13" s="1"/>
  <c r="C835" i="13"/>
  <c r="C834" i="13" s="1"/>
  <c r="D1032" i="13"/>
  <c r="C1032" i="13" s="1"/>
  <c r="H973" i="13"/>
  <c r="G973" i="13"/>
  <c r="D607" i="13"/>
  <c r="N607" i="13"/>
  <c r="V607" i="13" s="1"/>
  <c r="R607" i="13"/>
  <c r="R1141" i="13"/>
  <c r="V1142" i="13"/>
  <c r="D1142" i="13"/>
  <c r="D1141" i="13" s="1"/>
  <c r="U1141" i="13"/>
  <c r="T1141" i="13"/>
  <c r="S1141" i="13"/>
  <c r="Q1141" i="13"/>
  <c r="P1141" i="13"/>
  <c r="O1141" i="13"/>
  <c r="M1141" i="13"/>
  <c r="L1141" i="13"/>
  <c r="K1141" i="13"/>
  <c r="J1141" i="13"/>
  <c r="I1141" i="13"/>
  <c r="H1141" i="13"/>
  <c r="G1141" i="13"/>
  <c r="F1141" i="13"/>
  <c r="E1141" i="13"/>
  <c r="V804" i="13"/>
  <c r="D804" i="13"/>
  <c r="V1146" i="13"/>
  <c r="D1146" i="13"/>
  <c r="V1037" i="13"/>
  <c r="D1037" i="13"/>
  <c r="N886" i="13"/>
  <c r="V886" i="13" s="1"/>
  <c r="J886" i="13"/>
  <c r="I482" i="13"/>
  <c r="H482" i="13"/>
  <c r="G482" i="13"/>
  <c r="F482" i="13"/>
  <c r="E482" i="13"/>
  <c r="C1136" i="13" l="1"/>
  <c r="C880" i="13"/>
  <c r="C607" i="13"/>
  <c r="C804" i="13"/>
  <c r="N1141" i="13"/>
  <c r="C1142" i="13"/>
  <c r="C1141" i="13" s="1"/>
  <c r="D886" i="13"/>
  <c r="C886" i="13" s="1"/>
  <c r="C1146" i="13"/>
  <c r="C1037" i="13"/>
  <c r="D772" i="13"/>
  <c r="C772" i="13" s="1"/>
  <c r="P297" i="13"/>
  <c r="P291" i="13" s="1"/>
  <c r="I602" i="13"/>
  <c r="H602" i="13"/>
  <c r="G602" i="13"/>
  <c r="F602" i="13"/>
  <c r="E602" i="13"/>
  <c r="I470" i="13"/>
  <c r="G470" i="13"/>
  <c r="F470" i="13"/>
  <c r="E470" i="13"/>
  <c r="I476" i="13"/>
  <c r="G476" i="13"/>
  <c r="F476" i="13"/>
  <c r="E476" i="13"/>
  <c r="I508" i="13"/>
  <c r="G508" i="13"/>
  <c r="F508" i="13"/>
  <c r="E508" i="13"/>
  <c r="I700" i="13"/>
  <c r="G700" i="13"/>
  <c r="F700" i="13"/>
  <c r="E700" i="13"/>
  <c r="I481" i="13"/>
  <c r="H481" i="13"/>
  <c r="G481" i="13"/>
  <c r="F481" i="13"/>
  <c r="E481" i="13"/>
  <c r="I491" i="13"/>
  <c r="G491" i="13"/>
  <c r="F491" i="13"/>
  <c r="E491" i="13"/>
  <c r="V939" i="13"/>
  <c r="D939" i="13"/>
  <c r="N96" i="13"/>
  <c r="R96" i="13"/>
  <c r="U96" i="13"/>
  <c r="U68" i="13"/>
  <c r="N456" i="13"/>
  <c r="V456" i="13" s="1"/>
  <c r="J456" i="13"/>
  <c r="J455" i="13" s="1"/>
  <c r="H456" i="13"/>
  <c r="F456" i="13"/>
  <c r="F455" i="13" s="1"/>
  <c r="U455" i="13"/>
  <c r="T455" i="13"/>
  <c r="S455" i="13"/>
  <c r="R455" i="13"/>
  <c r="Q455" i="13"/>
  <c r="P455" i="13"/>
  <c r="O455" i="13"/>
  <c r="M455" i="13"/>
  <c r="L455" i="13"/>
  <c r="K455" i="13"/>
  <c r="I455" i="13"/>
  <c r="G455" i="13"/>
  <c r="E455" i="13"/>
  <c r="C939" i="13" l="1"/>
  <c r="D456" i="13"/>
  <c r="C456" i="13" s="1"/>
  <c r="C455" i="13" s="1"/>
  <c r="V455" i="13" s="1"/>
  <c r="H455" i="13"/>
  <c r="N455" i="13"/>
  <c r="D839" i="13"/>
  <c r="G1138" i="13"/>
  <c r="V839" i="13" l="1"/>
  <c r="D455" i="13"/>
  <c r="C839" i="13"/>
  <c r="D1138" i="13"/>
  <c r="C1138" i="13" s="1"/>
  <c r="V933" i="13"/>
  <c r="D933" i="13"/>
  <c r="V932" i="13"/>
  <c r="D932" i="13"/>
  <c r="V979" i="13"/>
  <c r="D979" i="13"/>
  <c r="V940" i="13"/>
  <c r="D940" i="13"/>
  <c r="V911" i="13"/>
  <c r="D911" i="13"/>
  <c r="V888" i="13"/>
  <c r="J888" i="13"/>
  <c r="G888" i="13"/>
  <c r="V869" i="13"/>
  <c r="J869" i="13"/>
  <c r="G869" i="13"/>
  <c r="V868" i="13"/>
  <c r="J868" i="13"/>
  <c r="G868" i="13"/>
  <c r="V786" i="13"/>
  <c r="D786" i="13"/>
  <c r="U785" i="13"/>
  <c r="T785" i="13"/>
  <c r="S785" i="13"/>
  <c r="R785" i="13"/>
  <c r="Q785" i="13"/>
  <c r="P785" i="13"/>
  <c r="O785" i="13"/>
  <c r="M785" i="13"/>
  <c r="L785" i="13"/>
  <c r="K785" i="13"/>
  <c r="J785" i="13"/>
  <c r="I785" i="13"/>
  <c r="H785" i="13"/>
  <c r="G785" i="13"/>
  <c r="F785" i="13"/>
  <c r="E785" i="13"/>
  <c r="V773" i="13"/>
  <c r="D773" i="13"/>
  <c r="V775" i="13"/>
  <c r="D775" i="13"/>
  <c r="V507" i="13"/>
  <c r="J507" i="13"/>
  <c r="I507" i="13"/>
  <c r="H507" i="13"/>
  <c r="G507" i="13"/>
  <c r="E507" i="13"/>
  <c r="V960" i="13"/>
  <c r="D960" i="13"/>
  <c r="V1082" i="13"/>
  <c r="D1082" i="13"/>
  <c r="V1080" i="13"/>
  <c r="D1080" i="13"/>
  <c r="C940" i="13" l="1"/>
  <c r="D507" i="13"/>
  <c r="C507" i="13" s="1"/>
  <c r="C932" i="13"/>
  <c r="C1082" i="13"/>
  <c r="N785" i="13"/>
  <c r="C786" i="13"/>
  <c r="D869" i="13"/>
  <c r="C869" i="13" s="1"/>
  <c r="D888" i="13"/>
  <c r="C888" i="13" s="1"/>
  <c r="C960" i="13"/>
  <c r="C933" i="13"/>
  <c r="C1080" i="13"/>
  <c r="C775" i="13"/>
  <c r="C773" i="13"/>
  <c r="D868" i="13"/>
  <c r="C868" i="13" s="1"/>
  <c r="D785" i="13"/>
  <c r="C911" i="13"/>
  <c r="C979" i="13"/>
  <c r="V1062" i="13"/>
  <c r="D1062" i="13"/>
  <c r="V969" i="13"/>
  <c r="D969" i="13"/>
  <c r="V1077" i="13"/>
  <c r="D1077" i="13"/>
  <c r="V1081" i="13"/>
  <c r="D1081" i="13"/>
  <c r="V915" i="13"/>
  <c r="J915" i="13"/>
  <c r="G915" i="13"/>
  <c r="V1007" i="13"/>
  <c r="D1007" i="13"/>
  <c r="V964" i="13"/>
  <c r="D964" i="13"/>
  <c r="V1072" i="13"/>
  <c r="D1072" i="13"/>
  <c r="V1031" i="13"/>
  <c r="D1031" i="13"/>
  <c r="V1044" i="13"/>
  <c r="J1044" i="13"/>
  <c r="H1044" i="13"/>
  <c r="G1044" i="13"/>
  <c r="C785" i="13" l="1"/>
  <c r="V785" i="13" s="1"/>
  <c r="C1031" i="13"/>
  <c r="C1062" i="13"/>
  <c r="C969" i="13"/>
  <c r="C1007" i="13"/>
  <c r="D915" i="13"/>
  <c r="C915" i="13" s="1"/>
  <c r="D1044" i="13"/>
  <c r="C1044" i="13" s="1"/>
  <c r="C1072" i="13"/>
  <c r="C964" i="13"/>
  <c r="C1081" i="13"/>
  <c r="C1077" i="13"/>
  <c r="V1093" i="13"/>
  <c r="D1093" i="13"/>
  <c r="U286" i="13"/>
  <c r="T286" i="13"/>
  <c r="S286" i="13"/>
  <c r="Q286" i="13"/>
  <c r="P286" i="13"/>
  <c r="O286" i="13"/>
  <c r="M286" i="13"/>
  <c r="L286" i="13"/>
  <c r="K286" i="13"/>
  <c r="U314" i="13"/>
  <c r="T314" i="13"/>
  <c r="S314" i="13"/>
  <c r="R314" i="13"/>
  <c r="Q314" i="13"/>
  <c r="P314" i="13"/>
  <c r="O314" i="13"/>
  <c r="M314" i="13"/>
  <c r="L314" i="13"/>
  <c r="K314" i="13"/>
  <c r="J314" i="13"/>
  <c r="I314" i="13"/>
  <c r="H314" i="13"/>
  <c r="G314" i="13"/>
  <c r="F314" i="13"/>
  <c r="E314" i="13"/>
  <c r="U316" i="13"/>
  <c r="T316" i="13"/>
  <c r="S316" i="13"/>
  <c r="R316" i="13"/>
  <c r="Q316" i="13"/>
  <c r="P316" i="13"/>
  <c r="O316" i="13"/>
  <c r="M316" i="13"/>
  <c r="L316" i="13"/>
  <c r="K316" i="13"/>
  <c r="J316" i="13"/>
  <c r="I316" i="13"/>
  <c r="H316" i="13"/>
  <c r="G316" i="13"/>
  <c r="F316" i="13"/>
  <c r="E316" i="13"/>
  <c r="U320" i="13"/>
  <c r="T320" i="13"/>
  <c r="S320" i="13"/>
  <c r="Q320" i="13"/>
  <c r="O320" i="13"/>
  <c r="N320" i="13"/>
  <c r="M320" i="13"/>
  <c r="L320" i="13"/>
  <c r="K320" i="13"/>
  <c r="J320" i="13"/>
  <c r="I320" i="13"/>
  <c r="H320" i="13"/>
  <c r="G320" i="13"/>
  <c r="F320" i="13"/>
  <c r="E320" i="13"/>
  <c r="U322" i="13"/>
  <c r="T322" i="13"/>
  <c r="S322" i="13"/>
  <c r="Q322" i="13"/>
  <c r="P322" i="13"/>
  <c r="O322" i="13"/>
  <c r="M322" i="13"/>
  <c r="L322" i="13"/>
  <c r="K322" i="13"/>
  <c r="U326" i="13"/>
  <c r="T326" i="13"/>
  <c r="S326" i="13"/>
  <c r="Q326" i="13"/>
  <c r="P326" i="13"/>
  <c r="O326" i="13"/>
  <c r="N326" i="13"/>
  <c r="M326" i="13"/>
  <c r="L326" i="13"/>
  <c r="K326" i="13"/>
  <c r="I326" i="13"/>
  <c r="H326" i="13"/>
  <c r="G326" i="13"/>
  <c r="F326" i="13"/>
  <c r="U328" i="13"/>
  <c r="T328" i="13"/>
  <c r="S328" i="13"/>
  <c r="Q328" i="13"/>
  <c r="P328" i="13"/>
  <c r="O328" i="13"/>
  <c r="M328" i="13"/>
  <c r="L328" i="13"/>
  <c r="K328" i="13"/>
  <c r="J328" i="13"/>
  <c r="I328" i="13"/>
  <c r="H328" i="13"/>
  <c r="G328" i="13"/>
  <c r="F328" i="13"/>
  <c r="E328" i="13"/>
  <c r="U332" i="13"/>
  <c r="T332" i="13"/>
  <c r="S332" i="13"/>
  <c r="R332" i="13"/>
  <c r="Q332" i="13"/>
  <c r="P332" i="13"/>
  <c r="O332" i="13"/>
  <c r="M332" i="13"/>
  <c r="L332" i="13"/>
  <c r="K332" i="13"/>
  <c r="I332" i="13"/>
  <c r="G332" i="13"/>
  <c r="F332" i="13"/>
  <c r="U334" i="13"/>
  <c r="T334" i="13"/>
  <c r="S334" i="13"/>
  <c r="R334" i="13"/>
  <c r="Q334" i="13"/>
  <c r="P334" i="13"/>
  <c r="O334" i="13"/>
  <c r="M334" i="13"/>
  <c r="L334" i="13"/>
  <c r="K334" i="13"/>
  <c r="I334" i="13"/>
  <c r="U340" i="13"/>
  <c r="T340" i="13"/>
  <c r="S340" i="13"/>
  <c r="Q340" i="13"/>
  <c r="P340" i="13"/>
  <c r="O340" i="13"/>
  <c r="M340" i="13"/>
  <c r="L340" i="13"/>
  <c r="K340" i="13"/>
  <c r="J340" i="13"/>
  <c r="U348" i="13"/>
  <c r="T348" i="13"/>
  <c r="S348" i="13"/>
  <c r="R348" i="13"/>
  <c r="Q348" i="13"/>
  <c r="P348" i="13"/>
  <c r="O348" i="13"/>
  <c r="M348" i="13"/>
  <c r="L348" i="13"/>
  <c r="K348" i="13"/>
  <c r="J348" i="13"/>
  <c r="I348" i="13"/>
  <c r="H348" i="13"/>
  <c r="G348" i="13"/>
  <c r="F348" i="13"/>
  <c r="E348" i="13"/>
  <c r="U350" i="13"/>
  <c r="T350" i="13"/>
  <c r="S350" i="13"/>
  <c r="R350" i="13"/>
  <c r="Q350" i="13"/>
  <c r="P350" i="13"/>
  <c r="O350" i="13"/>
  <c r="N350" i="13"/>
  <c r="M350" i="13"/>
  <c r="L350" i="13"/>
  <c r="K350" i="13"/>
  <c r="J350" i="13"/>
  <c r="I350" i="13"/>
  <c r="H350" i="13"/>
  <c r="G350" i="13"/>
  <c r="F350" i="13"/>
  <c r="E350" i="13"/>
  <c r="U352" i="13"/>
  <c r="T352" i="13"/>
  <c r="S352" i="13"/>
  <c r="R352" i="13"/>
  <c r="Q352" i="13"/>
  <c r="P352" i="13"/>
  <c r="O352" i="13"/>
  <c r="M352" i="13"/>
  <c r="L352" i="13"/>
  <c r="K352" i="13"/>
  <c r="J352" i="13"/>
  <c r="I352" i="13"/>
  <c r="H352" i="13"/>
  <c r="G352" i="13"/>
  <c r="F352" i="13"/>
  <c r="E352" i="13"/>
  <c r="U356" i="13"/>
  <c r="T356" i="13"/>
  <c r="S356" i="13"/>
  <c r="Q356" i="13"/>
  <c r="P356" i="13"/>
  <c r="O356" i="13"/>
  <c r="M356" i="13"/>
  <c r="L356" i="13"/>
  <c r="K356" i="13"/>
  <c r="J356" i="13"/>
  <c r="U358" i="13"/>
  <c r="T358" i="13"/>
  <c r="S358" i="13"/>
  <c r="R358" i="13"/>
  <c r="Q358" i="13"/>
  <c r="P358" i="13"/>
  <c r="O358" i="13"/>
  <c r="M358" i="13"/>
  <c r="L358" i="13"/>
  <c r="K358" i="13"/>
  <c r="J358" i="13"/>
  <c r="I358" i="13"/>
  <c r="H358" i="13"/>
  <c r="G358" i="13"/>
  <c r="F358" i="13"/>
  <c r="E358" i="13"/>
  <c r="U361" i="13"/>
  <c r="T361" i="13"/>
  <c r="S361" i="13"/>
  <c r="R361" i="13"/>
  <c r="Q361" i="13"/>
  <c r="P361" i="13"/>
  <c r="O361" i="13"/>
  <c r="M361" i="13"/>
  <c r="L361" i="13"/>
  <c r="K361" i="13"/>
  <c r="J361" i="13"/>
  <c r="I361" i="13"/>
  <c r="H361" i="13"/>
  <c r="G361" i="13"/>
  <c r="F361" i="13"/>
  <c r="E361" i="13"/>
  <c r="U363" i="13"/>
  <c r="T363" i="13"/>
  <c r="S363" i="13"/>
  <c r="R363" i="13"/>
  <c r="Q363" i="13"/>
  <c r="P363" i="13"/>
  <c r="O363" i="13"/>
  <c r="N363" i="13"/>
  <c r="M363" i="13"/>
  <c r="L363" i="13"/>
  <c r="K363" i="13"/>
  <c r="J363" i="13"/>
  <c r="I363" i="13"/>
  <c r="H363" i="13"/>
  <c r="G363" i="13"/>
  <c r="F363" i="13"/>
  <c r="E363" i="13"/>
  <c r="U365" i="13"/>
  <c r="T365" i="13"/>
  <c r="S365" i="13"/>
  <c r="R365" i="13"/>
  <c r="Q365" i="13"/>
  <c r="P365" i="13"/>
  <c r="O365" i="13"/>
  <c r="M365" i="13"/>
  <c r="L365" i="13"/>
  <c r="K365" i="13"/>
  <c r="J365" i="13"/>
  <c r="I365" i="13"/>
  <c r="H365" i="13"/>
  <c r="G365" i="13"/>
  <c r="F365" i="13"/>
  <c r="E365" i="13"/>
  <c r="U369" i="13"/>
  <c r="T369" i="13"/>
  <c r="S369" i="13"/>
  <c r="R369" i="13"/>
  <c r="Q369" i="13"/>
  <c r="P369" i="13"/>
  <c r="O369" i="13"/>
  <c r="M369" i="13"/>
  <c r="L369" i="13"/>
  <c r="K369" i="13"/>
  <c r="J369" i="13"/>
  <c r="I369" i="13"/>
  <c r="H369" i="13"/>
  <c r="G369" i="13"/>
  <c r="F369" i="13"/>
  <c r="E369" i="13"/>
  <c r="U373" i="13"/>
  <c r="T373" i="13"/>
  <c r="S373" i="13"/>
  <c r="Q373" i="13"/>
  <c r="P373" i="13"/>
  <c r="O373" i="13"/>
  <c r="M373" i="13"/>
  <c r="L373" i="13"/>
  <c r="K373" i="13"/>
  <c r="J373" i="13"/>
  <c r="I373" i="13"/>
  <c r="H373" i="13"/>
  <c r="G373" i="13"/>
  <c r="F373" i="13"/>
  <c r="E373" i="13"/>
  <c r="U380" i="13"/>
  <c r="T380" i="13"/>
  <c r="S380" i="13"/>
  <c r="R380" i="13"/>
  <c r="Q380" i="13"/>
  <c r="P380" i="13"/>
  <c r="O380" i="13"/>
  <c r="M380" i="13"/>
  <c r="L380" i="13"/>
  <c r="K380" i="13"/>
  <c r="J380" i="13"/>
  <c r="I380" i="13"/>
  <c r="H380" i="13"/>
  <c r="G380" i="13"/>
  <c r="F380" i="13"/>
  <c r="E380" i="13"/>
  <c r="U382" i="13"/>
  <c r="T382" i="13"/>
  <c r="Q382" i="13"/>
  <c r="O382" i="13"/>
  <c r="M382" i="13"/>
  <c r="L382" i="13"/>
  <c r="K382" i="13"/>
  <c r="U403" i="13"/>
  <c r="T403" i="13"/>
  <c r="S403" i="13"/>
  <c r="Q403" i="13"/>
  <c r="P403" i="13"/>
  <c r="O403" i="13"/>
  <c r="M403" i="13"/>
  <c r="L403" i="13"/>
  <c r="K403" i="13"/>
  <c r="U405" i="13"/>
  <c r="T405" i="13"/>
  <c r="S405" i="13"/>
  <c r="Q405" i="13"/>
  <c r="P405" i="13"/>
  <c r="O405" i="13"/>
  <c r="M405" i="13"/>
  <c r="L405" i="13"/>
  <c r="K405" i="13"/>
  <c r="U415" i="13"/>
  <c r="T415" i="13"/>
  <c r="S415" i="13"/>
  <c r="Q415" i="13"/>
  <c r="P415" i="13"/>
  <c r="O415" i="13"/>
  <c r="M415" i="13"/>
  <c r="L415" i="13"/>
  <c r="K415" i="13"/>
  <c r="U423" i="13"/>
  <c r="T423" i="13"/>
  <c r="S423" i="13"/>
  <c r="Q423" i="13"/>
  <c r="P423" i="13"/>
  <c r="O423" i="13"/>
  <c r="M423" i="13"/>
  <c r="L423" i="13"/>
  <c r="K423" i="13"/>
  <c r="J423" i="13"/>
  <c r="I423" i="13"/>
  <c r="H423" i="13"/>
  <c r="G423" i="13"/>
  <c r="F423" i="13"/>
  <c r="E423" i="13"/>
  <c r="U425" i="13"/>
  <c r="T425" i="13"/>
  <c r="S425" i="13"/>
  <c r="Q425" i="13"/>
  <c r="P425" i="13"/>
  <c r="O425" i="13"/>
  <c r="M425" i="13"/>
  <c r="L425" i="13"/>
  <c r="K425" i="13"/>
  <c r="H425" i="13"/>
  <c r="F425" i="13"/>
  <c r="U427" i="13"/>
  <c r="T427" i="13"/>
  <c r="S427" i="13"/>
  <c r="Q427" i="13"/>
  <c r="O427" i="13"/>
  <c r="M427" i="13"/>
  <c r="L427" i="13"/>
  <c r="K427" i="13"/>
  <c r="U446" i="13"/>
  <c r="T446" i="13"/>
  <c r="S446" i="13"/>
  <c r="Q446" i="13"/>
  <c r="P446" i="13"/>
  <c r="O446" i="13"/>
  <c r="N446" i="13"/>
  <c r="M446" i="13"/>
  <c r="L446" i="13"/>
  <c r="K446" i="13"/>
  <c r="J446" i="13"/>
  <c r="I446" i="13"/>
  <c r="H446" i="13"/>
  <c r="G446" i="13"/>
  <c r="F446" i="13"/>
  <c r="E446" i="13"/>
  <c r="U448" i="13"/>
  <c r="T448" i="13"/>
  <c r="S448" i="13"/>
  <c r="R448" i="13"/>
  <c r="Q448" i="13"/>
  <c r="P448" i="13"/>
  <c r="O448" i="13"/>
  <c r="N448" i="13"/>
  <c r="M448" i="13"/>
  <c r="L448" i="13"/>
  <c r="K448" i="13"/>
  <c r="I448" i="13"/>
  <c r="H448" i="13"/>
  <c r="G448" i="13"/>
  <c r="F448" i="13"/>
  <c r="E448" i="13"/>
  <c r="U450" i="13"/>
  <c r="T450" i="13"/>
  <c r="S450" i="13"/>
  <c r="Q450" i="13"/>
  <c r="P450" i="13"/>
  <c r="O450" i="13"/>
  <c r="M450" i="13"/>
  <c r="L450" i="13"/>
  <c r="K450" i="13"/>
  <c r="J450" i="13"/>
  <c r="I450" i="13"/>
  <c r="H450" i="13"/>
  <c r="G450" i="13"/>
  <c r="F450" i="13"/>
  <c r="E450" i="13"/>
  <c r="U453" i="13"/>
  <c r="T453" i="13"/>
  <c r="S453" i="13"/>
  <c r="Q453" i="13"/>
  <c r="P453" i="13"/>
  <c r="O453" i="13"/>
  <c r="M453" i="13"/>
  <c r="L453" i="13"/>
  <c r="K453" i="13"/>
  <c r="U695" i="13"/>
  <c r="T695" i="13"/>
  <c r="S695" i="13"/>
  <c r="Q695" i="13"/>
  <c r="P695" i="13"/>
  <c r="O695" i="13"/>
  <c r="M695" i="13"/>
  <c r="L695" i="13"/>
  <c r="K695" i="13"/>
  <c r="J695" i="13"/>
  <c r="U699" i="13"/>
  <c r="T699" i="13"/>
  <c r="S699" i="13"/>
  <c r="Q699" i="13"/>
  <c r="P699" i="13"/>
  <c r="O699" i="13"/>
  <c r="M699" i="13"/>
  <c r="L699" i="13"/>
  <c r="K699" i="13"/>
  <c r="J699" i="13"/>
  <c r="H699" i="13"/>
  <c r="U701" i="13"/>
  <c r="T701" i="13"/>
  <c r="S701" i="13"/>
  <c r="Q701" i="13"/>
  <c r="P701" i="13"/>
  <c r="O701" i="13"/>
  <c r="M701" i="13"/>
  <c r="L701" i="13"/>
  <c r="K701" i="13"/>
  <c r="J701" i="13"/>
  <c r="U704" i="13"/>
  <c r="T704" i="13"/>
  <c r="S704" i="13"/>
  <c r="Q704" i="13"/>
  <c r="P704" i="13"/>
  <c r="O704" i="13"/>
  <c r="M704" i="13"/>
  <c r="L704" i="13"/>
  <c r="K704" i="13"/>
  <c r="J704" i="13"/>
  <c r="U715" i="13"/>
  <c r="T715" i="13"/>
  <c r="S715" i="13"/>
  <c r="Q715" i="13"/>
  <c r="P715" i="13"/>
  <c r="O715" i="13"/>
  <c r="M715" i="13"/>
  <c r="L715" i="13"/>
  <c r="K715" i="13"/>
  <c r="J715" i="13"/>
  <c r="I715" i="13"/>
  <c r="H715" i="13"/>
  <c r="G715" i="13"/>
  <c r="F715" i="13"/>
  <c r="U717" i="13"/>
  <c r="T717" i="13"/>
  <c r="S717" i="13"/>
  <c r="Q717" i="13"/>
  <c r="P717" i="13"/>
  <c r="O717" i="13"/>
  <c r="M717" i="13"/>
  <c r="L717" i="13"/>
  <c r="K717" i="13"/>
  <c r="J717" i="13"/>
  <c r="I717" i="13"/>
  <c r="H717" i="13"/>
  <c r="G717" i="13"/>
  <c r="F717" i="13"/>
  <c r="U721" i="13"/>
  <c r="T721" i="13"/>
  <c r="S721" i="13"/>
  <c r="Q721" i="13"/>
  <c r="P721" i="13"/>
  <c r="O721" i="13"/>
  <c r="M721" i="13"/>
  <c r="L721" i="13"/>
  <c r="K721" i="13"/>
  <c r="J721" i="13"/>
  <c r="U723" i="13"/>
  <c r="T723" i="13"/>
  <c r="S723" i="13"/>
  <c r="Q723" i="13"/>
  <c r="P723" i="13"/>
  <c r="O723" i="13"/>
  <c r="M723" i="13"/>
  <c r="L723" i="13"/>
  <c r="K723" i="13"/>
  <c r="J723" i="13"/>
  <c r="F723" i="13"/>
  <c r="U727" i="13"/>
  <c r="T727" i="13"/>
  <c r="S727" i="13"/>
  <c r="Q727" i="13"/>
  <c r="P727" i="13"/>
  <c r="O727" i="13"/>
  <c r="M727" i="13"/>
  <c r="L727" i="13"/>
  <c r="K727" i="13"/>
  <c r="J727" i="13"/>
  <c r="I727" i="13"/>
  <c r="H727" i="13"/>
  <c r="G727" i="13"/>
  <c r="F727" i="13"/>
  <c r="E727" i="13"/>
  <c r="U729" i="13"/>
  <c r="T729" i="13"/>
  <c r="S729" i="13"/>
  <c r="R729" i="13"/>
  <c r="Q729" i="13"/>
  <c r="P729" i="13"/>
  <c r="O729" i="13"/>
  <c r="N729" i="13"/>
  <c r="M729" i="13"/>
  <c r="L729" i="13"/>
  <c r="K729" i="13"/>
  <c r="J729" i="13"/>
  <c r="I729" i="13"/>
  <c r="H729" i="13"/>
  <c r="G729" i="13"/>
  <c r="F729" i="13"/>
  <c r="U731" i="13"/>
  <c r="T731" i="13"/>
  <c r="S731" i="13"/>
  <c r="Q731" i="13"/>
  <c r="P731" i="13"/>
  <c r="O731" i="13"/>
  <c r="M731" i="13"/>
  <c r="L731" i="13"/>
  <c r="K731" i="13"/>
  <c r="U734" i="13"/>
  <c r="T734" i="13"/>
  <c r="S734" i="13"/>
  <c r="Q734" i="13"/>
  <c r="P734" i="13"/>
  <c r="O734" i="13"/>
  <c r="M734" i="13"/>
  <c r="L734" i="13"/>
  <c r="K734" i="13"/>
  <c r="J734" i="13"/>
  <c r="U751" i="13"/>
  <c r="T751" i="13"/>
  <c r="S751" i="13"/>
  <c r="Q751" i="13"/>
  <c r="P751" i="13"/>
  <c r="O751" i="13"/>
  <c r="M751" i="13"/>
  <c r="L751" i="13"/>
  <c r="K751" i="13"/>
  <c r="J751" i="13"/>
  <c r="U754" i="13"/>
  <c r="T754" i="13"/>
  <c r="S754" i="13"/>
  <c r="R754" i="13"/>
  <c r="Q754" i="13"/>
  <c r="P754" i="13"/>
  <c r="O754" i="13"/>
  <c r="M754" i="13"/>
  <c r="L754" i="13"/>
  <c r="K754" i="13"/>
  <c r="J754" i="13"/>
  <c r="E754" i="13"/>
  <c r="K285" i="13" l="1"/>
  <c r="M285" i="13"/>
  <c r="U285" i="13"/>
  <c r="O285" i="13"/>
  <c r="Q285" i="13"/>
  <c r="T285" i="13"/>
  <c r="C1093" i="13"/>
  <c r="V653" i="13" l="1"/>
  <c r="J653" i="13"/>
  <c r="D653" i="13" s="1"/>
  <c r="C653" i="13" s="1"/>
  <c r="V651" i="13"/>
  <c r="J651" i="13"/>
  <c r="D651" i="13" s="1"/>
  <c r="C651" i="13" s="1"/>
  <c r="V634" i="13"/>
  <c r="D634" i="13"/>
  <c r="C634" i="13" s="1"/>
  <c r="V545" i="13"/>
  <c r="J545" i="13"/>
  <c r="D545" i="13" s="1"/>
  <c r="C545" i="13" s="1"/>
  <c r="V505" i="13"/>
  <c r="J505" i="13"/>
  <c r="D505" i="13" s="1"/>
  <c r="C505" i="13" s="1"/>
  <c r="V504" i="13"/>
  <c r="J504" i="13"/>
  <c r="D504" i="13" s="1"/>
  <c r="C504" i="13" s="1"/>
  <c r="V503" i="13"/>
  <c r="J503" i="13"/>
  <c r="D503" i="13" s="1"/>
  <c r="C503" i="13" s="1"/>
  <c r="V506" i="13"/>
  <c r="J506" i="13"/>
  <c r="D506" i="13" s="1"/>
  <c r="C506" i="13" s="1"/>
  <c r="V449" i="13"/>
  <c r="J449" i="13"/>
  <c r="V433" i="13"/>
  <c r="J433" i="13"/>
  <c r="H433" i="13"/>
  <c r="V429" i="13"/>
  <c r="J429" i="13"/>
  <c r="H429" i="13"/>
  <c r="D449" i="13" l="1"/>
  <c r="D448" i="13" s="1"/>
  <c r="J448" i="13"/>
  <c r="D433" i="13"/>
  <c r="C433" i="13" s="1"/>
  <c r="D429" i="13"/>
  <c r="C429" i="13" s="1"/>
  <c r="C449" i="13" l="1"/>
  <c r="V667" i="13"/>
  <c r="D667" i="13"/>
  <c r="C667" i="13" s="1"/>
  <c r="C448" i="13" l="1"/>
  <c r="V448" i="13" s="1"/>
  <c r="E546" i="13"/>
  <c r="F546" i="13"/>
  <c r="G546" i="13"/>
  <c r="H546" i="13"/>
  <c r="I546" i="13"/>
  <c r="E426" i="13"/>
  <c r="E425" i="13" s="1"/>
  <c r="G426" i="13"/>
  <c r="G425" i="13" s="1"/>
  <c r="I426" i="13"/>
  <c r="I425" i="13" s="1"/>
  <c r="E738" i="13"/>
  <c r="F738" i="13"/>
  <c r="G738" i="13"/>
  <c r="I738" i="13"/>
  <c r="E703" i="13"/>
  <c r="F703" i="13"/>
  <c r="G703" i="13"/>
  <c r="H703" i="13"/>
  <c r="I703" i="13"/>
  <c r="E702" i="13"/>
  <c r="E697" i="13"/>
  <c r="F697" i="13"/>
  <c r="G697" i="13"/>
  <c r="H697" i="13"/>
  <c r="I697" i="13"/>
  <c r="E696" i="13"/>
  <c r="F696" i="13"/>
  <c r="G696" i="13"/>
  <c r="H696" i="13"/>
  <c r="I696" i="13"/>
  <c r="E662" i="13"/>
  <c r="F662" i="13"/>
  <c r="G662" i="13"/>
  <c r="I662" i="13"/>
  <c r="E661" i="13"/>
  <c r="F661" i="13"/>
  <c r="G661" i="13"/>
  <c r="I661" i="13"/>
  <c r="E660" i="13"/>
  <c r="F660" i="13"/>
  <c r="G660" i="13"/>
  <c r="I660" i="13"/>
  <c r="H660" i="13"/>
  <c r="E659" i="13"/>
  <c r="F659" i="13"/>
  <c r="G659" i="13"/>
  <c r="H659" i="13"/>
  <c r="I659" i="13"/>
  <c r="V184" i="13"/>
  <c r="J184" i="13"/>
  <c r="D184" i="13" s="1"/>
  <c r="C184" i="13" s="1"/>
  <c r="F701" i="13" l="1"/>
  <c r="G701" i="13"/>
  <c r="H701" i="13"/>
  <c r="I701" i="13"/>
  <c r="E701" i="13"/>
  <c r="V197" i="13"/>
  <c r="J197" i="13"/>
  <c r="D197" i="13" s="1"/>
  <c r="C197" i="13" s="1"/>
  <c r="V1035" i="13" l="1"/>
  <c r="D1035" i="13"/>
  <c r="V555" i="13"/>
  <c r="J555" i="13"/>
  <c r="V554" i="13"/>
  <c r="J554" i="13"/>
  <c r="H554" i="13"/>
  <c r="V514" i="13"/>
  <c r="J514" i="13"/>
  <c r="V510" i="13"/>
  <c r="J510" i="13"/>
  <c r="V509" i="13"/>
  <c r="J509" i="13"/>
  <c r="S390" i="13"/>
  <c r="R390" i="13"/>
  <c r="V390" i="13"/>
  <c r="J390" i="13"/>
  <c r="H390" i="13"/>
  <c r="V736" i="13"/>
  <c r="D736" i="13"/>
  <c r="C1035" i="13" l="1"/>
  <c r="C736" i="13"/>
  <c r="D554" i="13"/>
  <c r="C554" i="13" s="1"/>
  <c r="D555" i="13"/>
  <c r="C555" i="13" s="1"/>
  <c r="D514" i="13"/>
  <c r="C514" i="13" s="1"/>
  <c r="C390" i="13"/>
  <c r="D509" i="13"/>
  <c r="C509" i="13" s="1"/>
  <c r="D510" i="13"/>
  <c r="C510" i="13" s="1"/>
  <c r="V608" i="13"/>
  <c r="J608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364" i="13"/>
  <c r="D36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364" i="13" l="1"/>
  <c r="C363" i="13" s="1"/>
  <c r="V363" i="13" s="1"/>
  <c r="D363" i="13"/>
  <c r="D608" i="13"/>
  <c r="C608" i="13" s="1"/>
  <c r="C198" i="13"/>
  <c r="V730" i="13"/>
  <c r="N670" i="13"/>
  <c r="D370" i="13"/>
  <c r="I493" i="13"/>
  <c r="F493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R743" i="13"/>
  <c r="N743" i="13"/>
  <c r="V743" i="13" s="1"/>
  <c r="H647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V370" i="13" l="1"/>
  <c r="D730" i="13"/>
  <c r="D729" i="13" s="1"/>
  <c r="E729" i="13"/>
  <c r="C370" i="13"/>
  <c r="R430" i="13"/>
  <c r="N430" i="13"/>
  <c r="D430" i="13"/>
  <c r="V750" i="13"/>
  <c r="D750" i="13"/>
  <c r="C750" i="13" s="1"/>
  <c r="V600" i="13"/>
  <c r="D600" i="13"/>
  <c r="V575" i="13"/>
  <c r="D575" i="13"/>
  <c r="N654" i="13"/>
  <c r="N609" i="13"/>
  <c r="R594" i="13"/>
  <c r="N593" i="13"/>
  <c r="P502" i="13"/>
  <c r="P457" i="13" s="1"/>
  <c r="N395" i="13"/>
  <c r="I741" i="13"/>
  <c r="G741" i="13"/>
  <c r="F741" i="13"/>
  <c r="E741" i="13"/>
  <c r="I740" i="13"/>
  <c r="G740" i="13"/>
  <c r="F740" i="13"/>
  <c r="E740" i="13"/>
  <c r="I739" i="13"/>
  <c r="G739" i="13"/>
  <c r="F739" i="13"/>
  <c r="E739" i="13"/>
  <c r="I737" i="13"/>
  <c r="G737" i="13"/>
  <c r="F737" i="13"/>
  <c r="E737" i="13"/>
  <c r="D281" i="13"/>
  <c r="C281" i="13" s="1"/>
  <c r="U1159" i="13"/>
  <c r="T1159" i="13"/>
  <c r="S1159" i="13"/>
  <c r="Q1159" i="13"/>
  <c r="P1159" i="13"/>
  <c r="O1159" i="13"/>
  <c r="M1159" i="13"/>
  <c r="L1159" i="13"/>
  <c r="K1159" i="13"/>
  <c r="J1159" i="13"/>
  <c r="E1159" i="13"/>
  <c r="D1160" i="13"/>
  <c r="C1160" i="13" s="1"/>
  <c r="D1162" i="13"/>
  <c r="C730" i="13" l="1"/>
  <c r="C729" i="13" s="1"/>
  <c r="V729" i="13" s="1"/>
  <c r="V430" i="13"/>
  <c r="C600" i="13"/>
  <c r="C575" i="13"/>
  <c r="C430" i="13"/>
  <c r="C1162" i="13"/>
  <c r="V490" i="13"/>
  <c r="J490" i="13"/>
  <c r="H490" i="13"/>
  <c r="F490" i="13"/>
  <c r="V569" i="13"/>
  <c r="J569" i="13"/>
  <c r="I569" i="13"/>
  <c r="H569" i="13"/>
  <c r="G569" i="13"/>
  <c r="F569" i="13"/>
  <c r="D829" i="13"/>
  <c r="C829" i="13" s="1"/>
  <c r="V304" i="13"/>
  <c r="D304" i="13"/>
  <c r="U866" i="13"/>
  <c r="T866" i="13"/>
  <c r="S866" i="13"/>
  <c r="Q866" i="13"/>
  <c r="P866" i="13"/>
  <c r="O866" i="13"/>
  <c r="M866" i="13"/>
  <c r="L866" i="13"/>
  <c r="K866" i="13"/>
  <c r="J866" i="13"/>
  <c r="D871" i="13"/>
  <c r="V871" i="13"/>
  <c r="I458" i="13"/>
  <c r="H458" i="13"/>
  <c r="G458" i="13"/>
  <c r="F458" i="13"/>
  <c r="E458" i="13"/>
  <c r="I585" i="13"/>
  <c r="H585" i="13"/>
  <c r="G585" i="13"/>
  <c r="F585" i="13"/>
  <c r="E585" i="13"/>
  <c r="I492" i="13"/>
  <c r="G492" i="13"/>
  <c r="F492" i="13"/>
  <c r="E492" i="13"/>
  <c r="D490" i="13" l="1"/>
  <c r="C490" i="13" s="1"/>
  <c r="D569" i="13"/>
  <c r="C569" i="13" s="1"/>
  <c r="C304" i="13"/>
  <c r="C871" i="13"/>
  <c r="I441" i="13" l="1"/>
  <c r="G441" i="13"/>
  <c r="F441" i="13"/>
  <c r="E441" i="13"/>
  <c r="I440" i="13"/>
  <c r="G440" i="13"/>
  <c r="F440" i="13"/>
  <c r="E440" i="13"/>
  <c r="I436" i="13"/>
  <c r="G436" i="13"/>
  <c r="F436" i="13"/>
  <c r="E436" i="13"/>
  <c r="I434" i="13"/>
  <c r="G434" i="13"/>
  <c r="F434" i="13"/>
  <c r="E434" i="13"/>
  <c r="N454" i="13"/>
  <c r="N453" i="13" s="1"/>
  <c r="E454" i="13"/>
  <c r="E453" i="13" s="1"/>
  <c r="I323" i="13"/>
  <c r="I322" i="13" s="1"/>
  <c r="G323" i="13"/>
  <c r="G322" i="13" s="1"/>
  <c r="E323" i="13"/>
  <c r="E322" i="13" s="1"/>
  <c r="E724" i="13"/>
  <c r="E723" i="13" s="1"/>
  <c r="G419" i="13"/>
  <c r="E419" i="13"/>
  <c r="I417" i="13"/>
  <c r="H417" i="13"/>
  <c r="G417" i="13"/>
  <c r="F417" i="13"/>
  <c r="E417" i="13"/>
  <c r="I416" i="13"/>
  <c r="H416" i="13"/>
  <c r="G416" i="13"/>
  <c r="F416" i="13"/>
  <c r="E416" i="13"/>
  <c r="E333" i="13"/>
  <c r="E332" i="13" s="1"/>
  <c r="E327" i="13"/>
  <c r="E326" i="13" s="1"/>
  <c r="I414" i="13"/>
  <c r="H414" i="13"/>
  <c r="G414" i="13"/>
  <c r="F414" i="13"/>
  <c r="E414" i="13"/>
  <c r="I413" i="13"/>
  <c r="H413" i="13"/>
  <c r="G413" i="13"/>
  <c r="F413" i="13"/>
  <c r="E413" i="13"/>
  <c r="I411" i="13"/>
  <c r="G411" i="13"/>
  <c r="F411" i="13"/>
  <c r="E411" i="13"/>
  <c r="I410" i="13"/>
  <c r="G410" i="13"/>
  <c r="F410" i="13"/>
  <c r="E410" i="13"/>
  <c r="E404" i="13"/>
  <c r="E403" i="13" s="1"/>
  <c r="I432" i="13"/>
  <c r="G432" i="13"/>
  <c r="F432" i="13"/>
  <c r="E432" i="13"/>
  <c r="I431" i="13"/>
  <c r="G431" i="13"/>
  <c r="F431" i="13"/>
  <c r="E431" i="13"/>
  <c r="I437" i="13"/>
  <c r="G437" i="13"/>
  <c r="F437" i="13"/>
  <c r="E437" i="13"/>
  <c r="I435" i="13"/>
  <c r="G435" i="13"/>
  <c r="F435" i="13"/>
  <c r="E435" i="13"/>
  <c r="I438" i="13"/>
  <c r="G438" i="13"/>
  <c r="F438" i="13"/>
  <c r="E438" i="13"/>
  <c r="E290" i="13"/>
  <c r="E287" i="13"/>
  <c r="I286" i="13" l="1"/>
  <c r="E427" i="13"/>
  <c r="I427" i="13"/>
  <c r="I415" i="13"/>
  <c r="G427" i="13"/>
  <c r="F427" i="13"/>
  <c r="G415" i="13"/>
  <c r="H820" i="13"/>
  <c r="G820" i="13"/>
  <c r="D819" i="13"/>
  <c r="P440" i="13"/>
  <c r="P434" i="13"/>
  <c r="U1145" i="13"/>
  <c r="T1145" i="13"/>
  <c r="S1145" i="13"/>
  <c r="Q1145" i="13"/>
  <c r="P1145" i="13"/>
  <c r="O1145" i="13"/>
  <c r="M1145" i="13"/>
  <c r="K1145" i="13"/>
  <c r="J1145" i="13"/>
  <c r="I1159" i="13"/>
  <c r="I879" i="13"/>
  <c r="I755" i="13"/>
  <c r="I754" i="13" s="1"/>
  <c r="I752" i="13"/>
  <c r="I751" i="13" s="1"/>
  <c r="I748" i="13"/>
  <c r="I746" i="13"/>
  <c r="I745" i="13"/>
  <c r="I744" i="13"/>
  <c r="I743" i="13"/>
  <c r="I724" i="13"/>
  <c r="I723" i="13" s="1"/>
  <c r="I722" i="13"/>
  <c r="I721" i="13" s="1"/>
  <c r="I699" i="13"/>
  <c r="I698" i="13"/>
  <c r="I695" i="13" s="1"/>
  <c r="I668" i="13"/>
  <c r="I658" i="13"/>
  <c r="I652" i="13"/>
  <c r="I642" i="13"/>
  <c r="I533" i="13"/>
  <c r="I511" i="13"/>
  <c r="I454" i="13"/>
  <c r="I453" i="13" s="1"/>
  <c r="I409" i="13"/>
  <c r="I408" i="13"/>
  <c r="I407" i="13"/>
  <c r="I406" i="13"/>
  <c r="I404" i="13"/>
  <c r="I403" i="13" s="1"/>
  <c r="I395" i="13"/>
  <c r="I398" i="13"/>
  <c r="I394" i="13"/>
  <c r="I357" i="13"/>
  <c r="I356" i="13" s="1"/>
  <c r="I344" i="13"/>
  <c r="I343" i="13"/>
  <c r="I313" i="13"/>
  <c r="I297" i="13"/>
  <c r="H1159" i="13"/>
  <c r="H1150" i="13"/>
  <c r="H1124" i="13"/>
  <c r="H1120" i="13"/>
  <c r="H1115" i="13"/>
  <c r="H1113" i="13"/>
  <c r="H1109" i="13"/>
  <c r="H1099" i="13"/>
  <c r="H1098" i="13"/>
  <c r="H1097" i="13"/>
  <c r="H1070" i="13"/>
  <c r="H1046" i="13"/>
  <c r="H1033" i="13"/>
  <c r="H1028" i="13"/>
  <c r="H1002" i="13"/>
  <c r="H996" i="13"/>
  <c r="H995" i="13"/>
  <c r="H967" i="13"/>
  <c r="H963" i="13"/>
  <c r="H942" i="13"/>
  <c r="H930" i="13"/>
  <c r="H879" i="13"/>
  <c r="H833" i="13"/>
  <c r="H803" i="13"/>
  <c r="H802" i="13"/>
  <c r="H796" i="13"/>
  <c r="H774" i="13"/>
  <c r="H766" i="13"/>
  <c r="H755" i="13"/>
  <c r="H754" i="13" s="1"/>
  <c r="H752" i="13"/>
  <c r="H751" i="13" s="1"/>
  <c r="H748" i="13"/>
  <c r="H745" i="13"/>
  <c r="H744" i="13"/>
  <c r="H743" i="13"/>
  <c r="H741" i="13"/>
  <c r="H740" i="13"/>
  <c r="H739" i="13"/>
  <c r="H738" i="13"/>
  <c r="H737" i="13"/>
  <c r="H735" i="13"/>
  <c r="H724" i="13"/>
  <c r="H723" i="13" s="1"/>
  <c r="H722" i="13"/>
  <c r="H721" i="13" s="1"/>
  <c r="H711" i="13"/>
  <c r="H712" i="13"/>
  <c r="H709" i="13"/>
  <c r="H698" i="13"/>
  <c r="H695" i="13" s="1"/>
  <c r="H658" i="13"/>
  <c r="H652" i="13"/>
  <c r="H650" i="13"/>
  <c r="H649" i="13"/>
  <c r="H642" i="13"/>
  <c r="H1041" i="13"/>
  <c r="H1040" i="13"/>
  <c r="H596" i="13"/>
  <c r="H580" i="13"/>
  <c r="H579" i="13"/>
  <c r="H533" i="13"/>
  <c r="H511" i="13"/>
  <c r="H929" i="13"/>
  <c r="H476" i="13"/>
  <c r="I291" i="13" l="1"/>
  <c r="I340" i="13"/>
  <c r="I382" i="13"/>
  <c r="I405" i="13"/>
  <c r="P427" i="13"/>
  <c r="H734" i="13"/>
  <c r="I734" i="13"/>
  <c r="H704" i="13"/>
  <c r="I704" i="13"/>
  <c r="H866" i="13"/>
  <c r="I866" i="13"/>
  <c r="I1145" i="13"/>
  <c r="H1145" i="13"/>
  <c r="C819" i="13"/>
  <c r="D820" i="13"/>
  <c r="C820" i="13" s="1"/>
  <c r="H454" i="13"/>
  <c r="H453" i="13" s="1"/>
  <c r="H443" i="13"/>
  <c r="H441" i="13"/>
  <c r="H440" i="13"/>
  <c r="H439" i="13"/>
  <c r="H437" i="13"/>
  <c r="H436" i="13"/>
  <c r="H435" i="13"/>
  <c r="H434" i="13"/>
  <c r="H438" i="13"/>
  <c r="H432" i="13"/>
  <c r="H431" i="13"/>
  <c r="H420" i="13"/>
  <c r="H415" i="13" s="1"/>
  <c r="H409" i="13"/>
  <c r="H408" i="13"/>
  <c r="H407" i="13"/>
  <c r="H406" i="13"/>
  <c r="H404" i="13"/>
  <c r="H403" i="13" s="1"/>
  <c r="H400" i="13"/>
  <c r="H397" i="13"/>
  <c r="H396" i="13"/>
  <c r="H395" i="13"/>
  <c r="H393" i="13"/>
  <c r="H394" i="13"/>
  <c r="H392" i="13"/>
  <c r="H391" i="13"/>
  <c r="H389" i="13"/>
  <c r="H387" i="13"/>
  <c r="H357" i="13"/>
  <c r="H356" i="13" s="1"/>
  <c r="H344" i="13"/>
  <c r="H343" i="13"/>
  <c r="H333" i="13"/>
  <c r="H332" i="13" s="1"/>
  <c r="H323" i="13"/>
  <c r="H322" i="13" s="1"/>
  <c r="H313" i="13"/>
  <c r="H297" i="13"/>
  <c r="H295" i="13"/>
  <c r="H290" i="13"/>
  <c r="H287" i="13"/>
  <c r="F1159" i="13"/>
  <c r="F879" i="13"/>
  <c r="F755" i="13"/>
  <c r="F754" i="13" s="1"/>
  <c r="F752" i="13"/>
  <c r="F751" i="13" s="1"/>
  <c r="F748" i="13"/>
  <c r="F746" i="13"/>
  <c r="F745" i="13"/>
  <c r="F744" i="13"/>
  <c r="F743" i="13"/>
  <c r="F721" i="13"/>
  <c r="F699" i="13"/>
  <c r="F698" i="13"/>
  <c r="F695" i="13" s="1"/>
  <c r="F668" i="13"/>
  <c r="F652" i="13"/>
  <c r="F533" i="13"/>
  <c r="F511" i="13"/>
  <c r="F409" i="13"/>
  <c r="F404" i="13"/>
  <c r="F403" i="13" s="1"/>
  <c r="F396" i="13"/>
  <c r="F395" i="13"/>
  <c r="F398" i="13"/>
  <c r="F394" i="13"/>
  <c r="F344" i="13"/>
  <c r="F313" i="13"/>
  <c r="F297" i="13"/>
  <c r="F291" i="13" l="1"/>
  <c r="H291" i="13"/>
  <c r="F704" i="13"/>
  <c r="H340" i="13"/>
  <c r="H382" i="13"/>
  <c r="H427" i="13"/>
  <c r="F405" i="13"/>
  <c r="F734" i="13"/>
  <c r="H405" i="13"/>
  <c r="F866" i="13"/>
  <c r="F1145" i="13"/>
  <c r="G1159" i="13"/>
  <c r="G1158" i="13"/>
  <c r="G1157" i="13"/>
  <c r="G1156" i="13"/>
  <c r="G1155" i="13"/>
  <c r="G1154" i="13"/>
  <c r="G1149" i="13"/>
  <c r="G1148" i="13"/>
  <c r="G1147" i="13"/>
  <c r="G1152" i="13"/>
  <c r="G1151" i="13"/>
  <c r="G1150" i="13"/>
  <c r="G1144" i="13"/>
  <c r="G1133" i="13"/>
  <c r="G1124" i="13"/>
  <c r="G1120" i="13"/>
  <c r="G1115" i="13"/>
  <c r="G1113" i="13"/>
  <c r="G1099" i="13"/>
  <c r="G1098" i="13"/>
  <c r="G1097" i="13"/>
  <c r="G1070" i="13"/>
  <c r="G1046" i="13"/>
  <c r="G1033" i="13"/>
  <c r="G1028" i="13"/>
  <c r="G1002" i="13"/>
  <c r="G996" i="13"/>
  <c r="G995" i="13"/>
  <c r="G967" i="13"/>
  <c r="G963" i="13"/>
  <c r="G942" i="13"/>
  <c r="G930" i="13"/>
  <c r="G913" i="13"/>
  <c r="G883" i="13"/>
  <c r="G873" i="13"/>
  <c r="G872" i="13"/>
  <c r="G870" i="13"/>
  <c r="G865" i="13"/>
  <c r="G864" i="13"/>
  <c r="G863" i="13"/>
  <c r="G861" i="13"/>
  <c r="G858" i="13"/>
  <c r="G857" i="13"/>
  <c r="G852" i="13"/>
  <c r="G846" i="13"/>
  <c r="G833" i="13"/>
  <c r="G803" i="13"/>
  <c r="G802" i="13"/>
  <c r="G781" i="13"/>
  <c r="G780" i="13"/>
  <c r="G774" i="13"/>
  <c r="G748" i="13"/>
  <c r="G746" i="13"/>
  <c r="G745" i="13"/>
  <c r="G744" i="13"/>
  <c r="G743" i="13"/>
  <c r="G735" i="13"/>
  <c r="G734" i="13" l="1"/>
  <c r="G866" i="13"/>
  <c r="G1145" i="13"/>
  <c r="G699" i="13"/>
  <c r="G698" i="13"/>
  <c r="G695" i="13" s="1"/>
  <c r="G668" i="13"/>
  <c r="G652" i="13"/>
  <c r="G642" i="13"/>
  <c r="G1041" i="13"/>
  <c r="G1040" i="13"/>
  <c r="G344" i="13"/>
  <c r="G313" i="13"/>
  <c r="E313" i="13"/>
  <c r="G297" i="13"/>
  <c r="E297" i="13"/>
  <c r="G295" i="13"/>
  <c r="N287" i="13"/>
  <c r="E356" i="13"/>
  <c r="G929" i="13"/>
  <c r="G533" i="13"/>
  <c r="G291" i="13" l="1"/>
  <c r="G704" i="13"/>
  <c r="U903" i="13"/>
  <c r="T903" i="13"/>
  <c r="S903" i="13"/>
  <c r="Q903" i="13"/>
  <c r="P903" i="13"/>
  <c r="O903" i="13"/>
  <c r="M903" i="13"/>
  <c r="K903" i="13"/>
  <c r="I903" i="13"/>
  <c r="H903" i="13"/>
  <c r="G903" i="13"/>
  <c r="F903" i="13"/>
  <c r="V1095" i="13"/>
  <c r="D1095" i="13"/>
  <c r="U787" i="13"/>
  <c r="T787" i="13"/>
  <c r="S787" i="13"/>
  <c r="Q787" i="13"/>
  <c r="P787" i="13"/>
  <c r="O787" i="13"/>
  <c r="M787" i="13"/>
  <c r="L787" i="13"/>
  <c r="K787" i="13"/>
  <c r="J787" i="13"/>
  <c r="U790" i="13"/>
  <c r="T790" i="13"/>
  <c r="S790" i="13"/>
  <c r="Q790" i="13"/>
  <c r="P790" i="13"/>
  <c r="O790" i="13"/>
  <c r="M790" i="13"/>
  <c r="L790" i="13"/>
  <c r="K790" i="13"/>
  <c r="J790" i="13"/>
  <c r="I790" i="13"/>
  <c r="H790" i="13"/>
  <c r="G790" i="13"/>
  <c r="F790" i="13"/>
  <c r="E790" i="13"/>
  <c r="U794" i="13"/>
  <c r="T794" i="13"/>
  <c r="S794" i="13"/>
  <c r="Q794" i="13"/>
  <c r="P794" i="13"/>
  <c r="O794" i="13"/>
  <c r="N794" i="13"/>
  <c r="M794" i="13"/>
  <c r="L794" i="13"/>
  <c r="K794" i="13"/>
  <c r="U797" i="13"/>
  <c r="T797" i="13"/>
  <c r="S797" i="13"/>
  <c r="Q797" i="13"/>
  <c r="P797" i="13"/>
  <c r="O797" i="13"/>
  <c r="M797" i="13"/>
  <c r="L797" i="13"/>
  <c r="K797" i="13"/>
  <c r="J797" i="13"/>
  <c r="I797" i="13"/>
  <c r="H797" i="13"/>
  <c r="G797" i="13"/>
  <c r="F797" i="13"/>
  <c r="E797" i="13"/>
  <c r="U800" i="13"/>
  <c r="T800" i="13"/>
  <c r="S800" i="13"/>
  <c r="Q800" i="13"/>
  <c r="P800" i="13"/>
  <c r="O800" i="13"/>
  <c r="M800" i="13"/>
  <c r="L800" i="13"/>
  <c r="K800" i="13"/>
  <c r="U805" i="13"/>
  <c r="T805" i="13"/>
  <c r="S805" i="13"/>
  <c r="Q805" i="13"/>
  <c r="P805" i="13"/>
  <c r="O805" i="13"/>
  <c r="M805" i="13"/>
  <c r="L805" i="13"/>
  <c r="K805" i="13"/>
  <c r="J805" i="13"/>
  <c r="I805" i="13"/>
  <c r="H805" i="13"/>
  <c r="G805" i="13"/>
  <c r="F805" i="13"/>
  <c r="E805" i="13"/>
  <c r="U807" i="13"/>
  <c r="T807" i="13"/>
  <c r="S807" i="13"/>
  <c r="Q807" i="13"/>
  <c r="P807" i="13"/>
  <c r="O807" i="13"/>
  <c r="N807" i="13"/>
  <c r="M807" i="13"/>
  <c r="L807" i="13"/>
  <c r="K807" i="13"/>
  <c r="J807" i="13"/>
  <c r="I807" i="13"/>
  <c r="H807" i="13"/>
  <c r="G807" i="13"/>
  <c r="F807" i="13"/>
  <c r="E807" i="13"/>
  <c r="U810" i="13"/>
  <c r="T810" i="13"/>
  <c r="S810" i="13"/>
  <c r="Q810" i="13"/>
  <c r="P810" i="13"/>
  <c r="O810" i="13"/>
  <c r="M810" i="13"/>
  <c r="L810" i="13"/>
  <c r="K810" i="13"/>
  <c r="J810" i="13"/>
  <c r="I810" i="13"/>
  <c r="H810" i="13"/>
  <c r="G810" i="13"/>
  <c r="F810" i="13"/>
  <c r="E810" i="13"/>
  <c r="U815" i="13"/>
  <c r="T815" i="13"/>
  <c r="S815" i="13"/>
  <c r="Q815" i="13"/>
  <c r="P815" i="13"/>
  <c r="O815" i="13"/>
  <c r="M815" i="13"/>
  <c r="L815" i="13"/>
  <c r="K815" i="13"/>
  <c r="J815" i="13"/>
  <c r="I815" i="13"/>
  <c r="H815" i="13"/>
  <c r="G815" i="13"/>
  <c r="F815" i="13"/>
  <c r="E815" i="13"/>
  <c r="U817" i="13"/>
  <c r="T817" i="13"/>
  <c r="S817" i="13"/>
  <c r="Q817" i="13"/>
  <c r="P817" i="13"/>
  <c r="O817" i="13"/>
  <c r="M817" i="13"/>
  <c r="L817" i="13"/>
  <c r="K817" i="13"/>
  <c r="J817" i="13"/>
  <c r="I817" i="13"/>
  <c r="H817" i="13"/>
  <c r="G817" i="13"/>
  <c r="F817" i="13"/>
  <c r="E817" i="13"/>
  <c r="U823" i="13"/>
  <c r="T823" i="13"/>
  <c r="S823" i="13"/>
  <c r="R823" i="13"/>
  <c r="Q823" i="13"/>
  <c r="P823" i="13"/>
  <c r="O823" i="13"/>
  <c r="N823" i="13"/>
  <c r="M823" i="13"/>
  <c r="L823" i="13"/>
  <c r="K823" i="13"/>
  <c r="J823" i="13"/>
  <c r="H823" i="13"/>
  <c r="F823" i="13"/>
  <c r="U830" i="13"/>
  <c r="T830" i="13"/>
  <c r="S830" i="13"/>
  <c r="R830" i="13"/>
  <c r="Q830" i="13"/>
  <c r="P830" i="13"/>
  <c r="O830" i="13"/>
  <c r="M830" i="13"/>
  <c r="L830" i="13"/>
  <c r="K830" i="13"/>
  <c r="J830" i="13"/>
  <c r="I830" i="13"/>
  <c r="H830" i="13"/>
  <c r="G830" i="13"/>
  <c r="F830" i="13"/>
  <c r="E830" i="13"/>
  <c r="U832" i="13"/>
  <c r="T832" i="13"/>
  <c r="S832" i="13"/>
  <c r="Q832" i="13"/>
  <c r="P832" i="13"/>
  <c r="O832" i="13"/>
  <c r="M832" i="13"/>
  <c r="L832" i="13"/>
  <c r="K832" i="13"/>
  <c r="J832" i="13"/>
  <c r="U836" i="13"/>
  <c r="T836" i="13"/>
  <c r="S836" i="13"/>
  <c r="R836" i="13"/>
  <c r="Q836" i="13"/>
  <c r="P836" i="13"/>
  <c r="O836" i="13"/>
  <c r="M836" i="13"/>
  <c r="L836" i="13"/>
  <c r="K836" i="13"/>
  <c r="J836" i="13"/>
  <c r="I836" i="13"/>
  <c r="H836" i="13"/>
  <c r="G836" i="13"/>
  <c r="F836" i="13"/>
  <c r="E836" i="13"/>
  <c r="U841" i="13"/>
  <c r="T841" i="13"/>
  <c r="S841" i="13"/>
  <c r="Q841" i="13"/>
  <c r="P841" i="13"/>
  <c r="O841" i="13"/>
  <c r="M841" i="13"/>
  <c r="L841" i="13"/>
  <c r="K841" i="13"/>
  <c r="J841" i="13"/>
  <c r="U843" i="13"/>
  <c r="T843" i="13"/>
  <c r="S843" i="13"/>
  <c r="Q843" i="13"/>
  <c r="P843" i="13"/>
  <c r="O843" i="13"/>
  <c r="M843" i="13"/>
  <c r="L843" i="13"/>
  <c r="K843" i="13"/>
  <c r="J843" i="13"/>
  <c r="U848" i="13"/>
  <c r="T848" i="13"/>
  <c r="S848" i="13"/>
  <c r="R848" i="13"/>
  <c r="Q848" i="13"/>
  <c r="P848" i="13"/>
  <c r="O848" i="13"/>
  <c r="M848" i="13"/>
  <c r="L848" i="13"/>
  <c r="K848" i="13"/>
  <c r="J848" i="13"/>
  <c r="I848" i="13"/>
  <c r="H848" i="13"/>
  <c r="G848" i="13"/>
  <c r="F848" i="13"/>
  <c r="E848" i="13"/>
  <c r="U850" i="13"/>
  <c r="T850" i="13"/>
  <c r="Q850" i="13"/>
  <c r="O850" i="13"/>
  <c r="M850" i="13"/>
  <c r="L850" i="13"/>
  <c r="K850" i="13"/>
  <c r="U874" i="13"/>
  <c r="T874" i="13"/>
  <c r="S874" i="13"/>
  <c r="Q874" i="13"/>
  <c r="P874" i="13"/>
  <c r="O874" i="13"/>
  <c r="M874" i="13"/>
  <c r="L874" i="13"/>
  <c r="K874" i="13"/>
  <c r="F874" i="13"/>
  <c r="U882" i="13"/>
  <c r="T882" i="13"/>
  <c r="S882" i="13"/>
  <c r="Q882" i="13"/>
  <c r="P882" i="13"/>
  <c r="O882" i="13"/>
  <c r="M882" i="13"/>
  <c r="L882" i="13"/>
  <c r="K882" i="13"/>
  <c r="U897" i="13"/>
  <c r="T897" i="13"/>
  <c r="S897" i="13"/>
  <c r="Q897" i="13"/>
  <c r="P897" i="13"/>
  <c r="O897" i="13"/>
  <c r="M897" i="13"/>
  <c r="L897" i="13"/>
  <c r="K897" i="13"/>
  <c r="U900" i="13"/>
  <c r="T900" i="13"/>
  <c r="S900" i="13"/>
  <c r="Q900" i="13"/>
  <c r="P900" i="13"/>
  <c r="O900" i="13"/>
  <c r="M900" i="13"/>
  <c r="L900" i="13"/>
  <c r="K900" i="13"/>
  <c r="J900" i="13"/>
  <c r="U1108" i="13"/>
  <c r="T1108" i="13"/>
  <c r="S1108" i="13"/>
  <c r="Q1108" i="13"/>
  <c r="P1108" i="13"/>
  <c r="O1108" i="13"/>
  <c r="N1108" i="13"/>
  <c r="M1108" i="13"/>
  <c r="L1108" i="13"/>
  <c r="K1108" i="13"/>
  <c r="U1110" i="13"/>
  <c r="T1110" i="13"/>
  <c r="S1110" i="13"/>
  <c r="Q1110" i="13"/>
  <c r="P1110" i="13"/>
  <c r="O1110" i="13"/>
  <c r="M1110" i="13"/>
  <c r="L1110" i="13"/>
  <c r="K1110" i="13"/>
  <c r="U1112" i="13"/>
  <c r="T1112" i="13"/>
  <c r="S1112" i="13"/>
  <c r="R1112" i="13"/>
  <c r="Q1112" i="13"/>
  <c r="P1112" i="13"/>
  <c r="O1112" i="13"/>
  <c r="N1112" i="13"/>
  <c r="M1112" i="13"/>
  <c r="L1112" i="13"/>
  <c r="K1112" i="13"/>
  <c r="J1112" i="13"/>
  <c r="U1114" i="13"/>
  <c r="T1114" i="13"/>
  <c r="S1114" i="13"/>
  <c r="Q1114" i="13"/>
  <c r="P1114" i="13"/>
  <c r="O1114" i="13"/>
  <c r="M1114" i="13"/>
  <c r="L1114" i="13"/>
  <c r="K1114" i="13"/>
  <c r="J1114" i="13"/>
  <c r="U1118" i="13"/>
  <c r="T1118" i="13"/>
  <c r="S1118" i="13"/>
  <c r="Q1118" i="13"/>
  <c r="P1118" i="13"/>
  <c r="O1118" i="13"/>
  <c r="M1118" i="13"/>
  <c r="L1118" i="13"/>
  <c r="K1118" i="13"/>
  <c r="J1118" i="13"/>
  <c r="U1122" i="13"/>
  <c r="T1122" i="13"/>
  <c r="S1122" i="13"/>
  <c r="Q1122" i="13"/>
  <c r="P1122" i="13"/>
  <c r="O1122" i="13"/>
  <c r="M1122" i="13"/>
  <c r="L1122" i="13"/>
  <c r="K1122" i="13"/>
  <c r="J1122" i="13"/>
  <c r="U1127" i="13"/>
  <c r="T1127" i="13"/>
  <c r="S1127" i="13"/>
  <c r="Q1127" i="13"/>
  <c r="P1127" i="13"/>
  <c r="O1127" i="13"/>
  <c r="M1127" i="13"/>
  <c r="L1127" i="13"/>
  <c r="K1127" i="13"/>
  <c r="J1127" i="13"/>
  <c r="I1127" i="13"/>
  <c r="H1127" i="13"/>
  <c r="G1127" i="13"/>
  <c r="F1127" i="13"/>
  <c r="U1130" i="13"/>
  <c r="T1130" i="13"/>
  <c r="S1130" i="13"/>
  <c r="Q1130" i="13"/>
  <c r="P1130" i="13"/>
  <c r="O1130" i="13"/>
  <c r="M1130" i="13"/>
  <c r="L1130" i="13"/>
  <c r="K1130" i="13"/>
  <c r="J1130" i="13"/>
  <c r="I1130" i="13"/>
  <c r="H1130" i="13"/>
  <c r="G1130" i="13"/>
  <c r="F1130" i="13"/>
  <c r="E1130" i="13"/>
  <c r="U1132" i="13"/>
  <c r="T1132" i="13"/>
  <c r="S1132" i="13"/>
  <c r="R1132" i="13"/>
  <c r="Q1132" i="13"/>
  <c r="P1132" i="13"/>
  <c r="O1132" i="13"/>
  <c r="N1132" i="13"/>
  <c r="M1132" i="13"/>
  <c r="L1132" i="13"/>
  <c r="K1132" i="13"/>
  <c r="J1132" i="13"/>
  <c r="U1134" i="13"/>
  <c r="T1134" i="13"/>
  <c r="S1134" i="13"/>
  <c r="Q1134" i="13"/>
  <c r="P1134" i="13"/>
  <c r="O1134" i="13"/>
  <c r="M1134" i="13"/>
  <c r="L1134" i="13"/>
  <c r="K1134" i="13"/>
  <c r="J1134" i="13"/>
  <c r="U1137" i="13"/>
  <c r="T1137" i="13"/>
  <c r="S1137" i="13"/>
  <c r="Q1137" i="13"/>
  <c r="P1137" i="13"/>
  <c r="O1137" i="13"/>
  <c r="M1137" i="13"/>
  <c r="L1137" i="13"/>
  <c r="K1137" i="13"/>
  <c r="J1137" i="13"/>
  <c r="I1137" i="13"/>
  <c r="H1137" i="13"/>
  <c r="G1137" i="13"/>
  <c r="F1137" i="13"/>
  <c r="E1137" i="13"/>
  <c r="U1143" i="13"/>
  <c r="T1143" i="13"/>
  <c r="S1143" i="13"/>
  <c r="Q1143" i="13"/>
  <c r="P1143" i="13"/>
  <c r="O1143" i="13"/>
  <c r="N1143" i="13"/>
  <c r="M1143" i="13"/>
  <c r="L1143" i="13"/>
  <c r="K1143" i="13"/>
  <c r="J1143" i="13"/>
  <c r="U758" i="13"/>
  <c r="T758" i="13"/>
  <c r="S758" i="13"/>
  <c r="Q758" i="13"/>
  <c r="P758" i="13"/>
  <c r="O758" i="13"/>
  <c r="M758" i="13"/>
  <c r="L758" i="13"/>
  <c r="K758" i="13"/>
  <c r="J758" i="13"/>
  <c r="I758" i="13"/>
  <c r="H758" i="13"/>
  <c r="G758" i="13"/>
  <c r="F758" i="13"/>
  <c r="E758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T96" i="13"/>
  <c r="S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Q10" i="13"/>
  <c r="U10" i="13"/>
  <c r="K10" i="13"/>
  <c r="T10" i="13"/>
  <c r="O10" i="13"/>
  <c r="C1095" i="13"/>
  <c r="V511" i="13"/>
  <c r="J511" i="13"/>
  <c r="G511" i="13"/>
  <c r="E511" i="13"/>
  <c r="N388" i="13"/>
  <c r="D511" i="13" l="1"/>
  <c r="C511" i="13" s="1"/>
  <c r="N1159" i="13"/>
  <c r="R1159" i="13"/>
  <c r="N755" i="13"/>
  <c r="N754" i="13" s="1"/>
  <c r="G755" i="13"/>
  <c r="G754" i="13" s="1"/>
  <c r="V1161" i="13" l="1"/>
  <c r="V755" i="13"/>
  <c r="D755" i="13"/>
  <c r="D754" i="13" s="1"/>
  <c r="D1161" i="13"/>
  <c r="D1159" i="13" s="1"/>
  <c r="N753" i="13"/>
  <c r="V753" i="13" s="1"/>
  <c r="D753" i="13"/>
  <c r="D13" i="13"/>
  <c r="C13" i="13" s="1"/>
  <c r="V13" i="13"/>
  <c r="N57" i="13"/>
  <c r="C755" i="13" l="1"/>
  <c r="C754" i="13" s="1"/>
  <c r="C1161" i="13"/>
  <c r="C1159" i="13" s="1"/>
  <c r="C753" i="13"/>
  <c r="V354" i="13"/>
  <c r="R321" i="13"/>
  <c r="R320" i="13" s="1"/>
  <c r="P321" i="13"/>
  <c r="P320" i="13" s="1"/>
  <c r="V300" i="13"/>
  <c r="V299" i="13"/>
  <c r="V289" i="13"/>
  <c r="V749" i="13"/>
  <c r="V281" i="13"/>
  <c r="V278" i="13"/>
  <c r="V277" i="13"/>
  <c r="V276" i="13"/>
  <c r="V279" i="13"/>
  <c r="V275" i="13"/>
  <c r="V274" i="13"/>
  <c r="V273" i="13"/>
  <c r="V272" i="13"/>
  <c r="V271" i="13"/>
  <c r="V732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671" i="13"/>
  <c r="V231" i="13"/>
  <c r="V670" i="13"/>
  <c r="V229" i="13"/>
  <c r="V227" i="13"/>
  <c r="V226" i="13"/>
  <c r="V224" i="13"/>
  <c r="V223" i="13"/>
  <c r="V222" i="13"/>
  <c r="V654" i="13"/>
  <c r="V219" i="13"/>
  <c r="V218" i="13"/>
  <c r="V650" i="13"/>
  <c r="V649" i="13"/>
  <c r="V648" i="13"/>
  <c r="V647" i="13"/>
  <c r="V646" i="13"/>
  <c r="V217" i="13"/>
  <c r="V216" i="13"/>
  <c r="V215" i="13"/>
  <c r="V635" i="13"/>
  <c r="V212" i="13"/>
  <c r="V629" i="13"/>
  <c r="V211" i="13"/>
  <c r="V210" i="13"/>
  <c r="V209" i="13"/>
  <c r="V609" i="13"/>
  <c r="V208" i="13"/>
  <c r="V207" i="13"/>
  <c r="V205" i="13"/>
  <c r="V204" i="13"/>
  <c r="V603" i="13"/>
  <c r="V601" i="13"/>
  <c r="V203" i="13"/>
  <c r="V202" i="13"/>
  <c r="V201" i="13"/>
  <c r="V596" i="13"/>
  <c r="V595" i="13"/>
  <c r="V200" i="13"/>
  <c r="V594" i="13"/>
  <c r="V593" i="13"/>
  <c r="V584" i="13"/>
  <c r="V583" i="13"/>
  <c r="V582" i="13"/>
  <c r="V580" i="13"/>
  <c r="V579" i="13"/>
  <c r="V578" i="13"/>
  <c r="V196" i="13"/>
  <c r="V195" i="13"/>
  <c r="V194" i="13"/>
  <c r="V193" i="13"/>
  <c r="V192" i="13"/>
  <c r="V191" i="13"/>
  <c r="V190" i="13"/>
  <c r="V189" i="13"/>
  <c r="V188" i="13"/>
  <c r="V553" i="13"/>
  <c r="V552" i="13"/>
  <c r="V186" i="13"/>
  <c r="V185" i="13"/>
  <c r="V549" i="13"/>
  <c r="V183" i="13"/>
  <c r="V182" i="13"/>
  <c r="V181" i="13"/>
  <c r="V180" i="13"/>
  <c r="V179" i="13"/>
  <c r="V178" i="13"/>
  <c r="V177" i="13"/>
  <c r="V176" i="13"/>
  <c r="V515" i="13"/>
  <c r="V175" i="13"/>
  <c r="V513" i="13"/>
  <c r="V512" i="13"/>
  <c r="V174" i="13"/>
  <c r="V173" i="13"/>
  <c r="V172" i="13"/>
  <c r="V171" i="13"/>
  <c r="V170" i="13"/>
  <c r="V169" i="13"/>
  <c r="V168" i="13"/>
  <c r="V502" i="13"/>
  <c r="V167" i="13"/>
  <c r="V166" i="13"/>
  <c r="V163" i="13"/>
  <c r="V162" i="13"/>
  <c r="V161" i="13"/>
  <c r="V160" i="13"/>
  <c r="V159" i="13"/>
  <c r="V158" i="13"/>
  <c r="V157" i="13"/>
  <c r="V493" i="13"/>
  <c r="V155" i="13"/>
  <c r="V154" i="13"/>
  <c r="V153" i="13"/>
  <c r="V152" i="13"/>
  <c r="V151" i="13"/>
  <c r="V150" i="13"/>
  <c r="V149" i="13"/>
  <c r="V148" i="13"/>
  <c r="V147" i="13"/>
  <c r="V142" i="13"/>
  <c r="V141" i="13"/>
  <c r="V479" i="13"/>
  <c r="V478" i="13"/>
  <c r="V140" i="13"/>
  <c r="V139" i="13"/>
  <c r="V138" i="13"/>
  <c r="V137" i="13"/>
  <c r="V136" i="13"/>
  <c r="V135" i="13"/>
  <c r="V134" i="13"/>
  <c r="V133" i="13"/>
  <c r="V132" i="13"/>
  <c r="V131" i="13"/>
  <c r="V464" i="13"/>
  <c r="V463" i="13"/>
  <c r="V462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85" i="13"/>
  <c r="V383" i="13"/>
  <c r="V63" i="13"/>
  <c r="V62" i="13"/>
  <c r="V58" i="13"/>
  <c r="V56" i="13"/>
  <c r="V52" i="13"/>
  <c r="V50" i="13"/>
  <c r="V48" i="13"/>
  <c r="V44" i="13"/>
  <c r="V39" i="13"/>
  <c r="V339" i="13"/>
  <c r="V37" i="13"/>
  <c r="V36" i="13"/>
  <c r="V336" i="13"/>
  <c r="V329" i="13"/>
  <c r="V34" i="13"/>
  <c r="V32" i="13"/>
  <c r="V31" i="13"/>
  <c r="V321" i="13"/>
  <c r="V29" i="13"/>
  <c r="V20" i="13"/>
  <c r="V19" i="13"/>
  <c r="V18" i="13"/>
  <c r="V15" i="13"/>
  <c r="V14" i="13"/>
  <c r="V17" i="13"/>
  <c r="V12" i="13"/>
  <c r="V754" i="13" l="1"/>
  <c r="V1159" i="13"/>
  <c r="V288" i="13"/>
  <c r="V1099" i="13"/>
  <c r="V1098" i="13"/>
  <c r="V1097" i="13"/>
  <c r="V1096" i="13"/>
  <c r="V1039" i="13"/>
  <c r="V1020" i="13"/>
  <c r="V1010" i="13"/>
  <c r="V941" i="13"/>
  <c r="V893" i="13"/>
  <c r="V892" i="13"/>
  <c r="V860" i="13"/>
  <c r="V814" i="13"/>
  <c r="V778" i="13"/>
  <c r="V771" i="13"/>
  <c r="V769" i="13"/>
  <c r="V762" i="13"/>
  <c r="V682" i="13"/>
  <c r="N602" i="13"/>
  <c r="V602" i="13" s="1"/>
  <c r="N592" i="13"/>
  <c r="V592" i="13" s="1"/>
  <c r="V445" i="13"/>
  <c r="V444" i="13"/>
  <c r="N443" i="13"/>
  <c r="V443" i="13" s="1"/>
  <c r="N440" i="13"/>
  <c r="V440" i="13" s="1"/>
  <c r="N435" i="13"/>
  <c r="V435" i="13" s="1"/>
  <c r="N438" i="13"/>
  <c r="V438" i="13" s="1"/>
  <c r="N421" i="13"/>
  <c r="V421" i="13" s="1"/>
  <c r="N384" i="13"/>
  <c r="N368" i="13"/>
  <c r="V368" i="13" s="1"/>
  <c r="N367" i="13"/>
  <c r="V367" i="13" s="1"/>
  <c r="N366" i="13"/>
  <c r="N335" i="13"/>
  <c r="N334" i="13" s="1"/>
  <c r="N313" i="13"/>
  <c r="V313" i="13" s="1"/>
  <c r="N310" i="13"/>
  <c r="V310" i="13" s="1"/>
  <c r="V309" i="13"/>
  <c r="N308" i="13"/>
  <c r="V308" i="13" s="1"/>
  <c r="V305" i="13"/>
  <c r="V303" i="13"/>
  <c r="V295" i="13"/>
  <c r="N290" i="13"/>
  <c r="V290" i="13" s="1"/>
  <c r="N294" i="13"/>
  <c r="V294" i="13" s="1"/>
  <c r="N293" i="13"/>
  <c r="N302" i="13"/>
  <c r="V302" i="13" s="1"/>
  <c r="V301" i="13"/>
  <c r="N298" i="13"/>
  <c r="V298" i="13" s="1"/>
  <c r="N297" i="13"/>
  <c r="V297" i="13" s="1"/>
  <c r="V296" i="13"/>
  <c r="N306" i="13"/>
  <c r="V306" i="13" s="1"/>
  <c r="N307" i="13"/>
  <c r="V307" i="13" s="1"/>
  <c r="N315" i="13"/>
  <c r="N314" i="13" s="1"/>
  <c r="N319" i="13"/>
  <c r="V319" i="13" s="1"/>
  <c r="N318" i="13"/>
  <c r="N325" i="13"/>
  <c r="V325" i="13" s="1"/>
  <c r="N324" i="13"/>
  <c r="V324" i="13" s="1"/>
  <c r="N323" i="13"/>
  <c r="N331" i="13"/>
  <c r="V331" i="13" s="1"/>
  <c r="N330" i="13"/>
  <c r="N333" i="13"/>
  <c r="N332" i="13" s="1"/>
  <c r="N342" i="13"/>
  <c r="V342" i="13" s="1"/>
  <c r="N341" i="13"/>
  <c r="N347" i="13"/>
  <c r="V347" i="13" s="1"/>
  <c r="N346" i="13"/>
  <c r="V346" i="13" s="1"/>
  <c r="N345" i="13"/>
  <c r="V345" i="13" s="1"/>
  <c r="N349" i="13"/>
  <c r="N355" i="13"/>
  <c r="V355" i="13" s="1"/>
  <c r="N353" i="13"/>
  <c r="N357" i="13"/>
  <c r="N356" i="13" s="1"/>
  <c r="V360" i="13"/>
  <c r="N362" i="13"/>
  <c r="N361" i="13" s="1"/>
  <c r="N372" i="13"/>
  <c r="V372" i="13" s="1"/>
  <c r="N371" i="13"/>
  <c r="N376" i="13"/>
  <c r="V376" i="13" s="1"/>
  <c r="N375" i="13"/>
  <c r="V375" i="13" s="1"/>
  <c r="N374" i="13"/>
  <c r="V378" i="13"/>
  <c r="N380" i="13"/>
  <c r="N394" i="13"/>
  <c r="V394" i="13" s="1"/>
  <c r="N392" i="13"/>
  <c r="V392" i="13" s="1"/>
  <c r="N391" i="13"/>
  <c r="V391" i="13" s="1"/>
  <c r="N389" i="13"/>
  <c r="V389" i="13" s="1"/>
  <c r="V388" i="13"/>
  <c r="N387" i="13"/>
  <c r="V387" i="13" s="1"/>
  <c r="N398" i="13"/>
  <c r="V398" i="13" s="1"/>
  <c r="N402" i="13"/>
  <c r="V402" i="13" s="1"/>
  <c r="N401" i="13"/>
  <c r="V401" i="13" s="1"/>
  <c r="N400" i="13"/>
  <c r="V400" i="13" s="1"/>
  <c r="N399" i="13"/>
  <c r="V399" i="13" s="1"/>
  <c r="N397" i="13"/>
  <c r="V397" i="13" s="1"/>
  <c r="N396" i="13"/>
  <c r="V396" i="13" s="1"/>
  <c r="N404" i="13"/>
  <c r="N403" i="13" s="1"/>
  <c r="V412" i="13"/>
  <c r="N411" i="13"/>
  <c r="V411" i="13" s="1"/>
  <c r="N410" i="13"/>
  <c r="V410" i="13" s="1"/>
  <c r="N409" i="13"/>
  <c r="V409" i="13" s="1"/>
  <c r="V408" i="13"/>
  <c r="V407" i="13"/>
  <c r="N406" i="13"/>
  <c r="N418" i="13"/>
  <c r="V418" i="13" s="1"/>
  <c r="N419" i="13"/>
  <c r="V419" i="13" s="1"/>
  <c r="N420" i="13"/>
  <c r="V420" i="13" s="1"/>
  <c r="N422" i="13"/>
  <c r="V422" i="13" s="1"/>
  <c r="N423" i="13"/>
  <c r="N426" i="13"/>
  <c r="N425" i="13" s="1"/>
  <c r="N432" i="13"/>
  <c r="V432" i="13" s="1"/>
  <c r="N431" i="13"/>
  <c r="N437" i="13"/>
  <c r="V437" i="13" s="1"/>
  <c r="N436" i="13"/>
  <c r="V436" i="13" s="1"/>
  <c r="V442" i="13"/>
  <c r="N441" i="13"/>
  <c r="V441" i="13" s="1"/>
  <c r="V452" i="13"/>
  <c r="N469" i="13"/>
  <c r="V469" i="13" s="1"/>
  <c r="V468" i="13"/>
  <c r="N466" i="13"/>
  <c r="V466" i="13" s="1"/>
  <c r="N467" i="13"/>
  <c r="V467" i="13" s="1"/>
  <c r="V465" i="13"/>
  <c r="N461" i="13"/>
  <c r="V461" i="13" s="1"/>
  <c r="N460" i="13"/>
  <c r="V460" i="13" s="1"/>
  <c r="N477" i="13"/>
  <c r="V477" i="13" s="1"/>
  <c r="N476" i="13"/>
  <c r="V476" i="13" s="1"/>
  <c r="N475" i="13"/>
  <c r="V475" i="13" s="1"/>
  <c r="V474" i="13"/>
  <c r="V473" i="13"/>
  <c r="N472" i="13"/>
  <c r="V472" i="13" s="1"/>
  <c r="V471" i="13"/>
  <c r="N489" i="13"/>
  <c r="V489" i="13" s="1"/>
  <c r="N488" i="13"/>
  <c r="V488" i="13" s="1"/>
  <c r="N487" i="13"/>
  <c r="V487" i="13" s="1"/>
  <c r="N486" i="13"/>
  <c r="V486" i="13" s="1"/>
  <c r="N485" i="13"/>
  <c r="V485" i="13" s="1"/>
  <c r="N484" i="13"/>
  <c r="V484" i="13" s="1"/>
  <c r="N483" i="13"/>
  <c r="V483" i="13" s="1"/>
  <c r="N496" i="13"/>
  <c r="V496" i="13" s="1"/>
  <c r="N495" i="13"/>
  <c r="V495" i="13" s="1"/>
  <c r="N494" i="13"/>
  <c r="V494" i="13" s="1"/>
  <c r="N501" i="13"/>
  <c r="V501" i="13" s="1"/>
  <c r="N500" i="13"/>
  <c r="V500" i="13" s="1"/>
  <c r="N499" i="13"/>
  <c r="V499" i="13" s="1"/>
  <c r="N498" i="13"/>
  <c r="V498" i="13" s="1"/>
  <c r="N497" i="13"/>
  <c r="V497" i="13" s="1"/>
  <c r="N517" i="13"/>
  <c r="V517" i="13" s="1"/>
  <c r="N516" i="13"/>
  <c r="V516" i="13" s="1"/>
  <c r="V533" i="13"/>
  <c r="V532" i="13"/>
  <c r="V531" i="13"/>
  <c r="V530" i="13"/>
  <c r="V529" i="13"/>
  <c r="V528" i="13"/>
  <c r="V527" i="13"/>
  <c r="V526" i="13"/>
  <c r="V525" i="13"/>
  <c r="V524" i="13"/>
  <c r="V523" i="13"/>
  <c r="V522" i="13"/>
  <c r="V521" i="13"/>
  <c r="V520" i="13"/>
  <c r="V519" i="13"/>
  <c r="N544" i="13"/>
  <c r="V544" i="13" s="1"/>
  <c r="N539" i="13"/>
  <c r="V539" i="13" s="1"/>
  <c r="N538" i="13"/>
  <c r="V538" i="13" s="1"/>
  <c r="N537" i="13"/>
  <c r="V537" i="13" s="1"/>
  <c r="N543" i="13"/>
  <c r="V543" i="13" s="1"/>
  <c r="N542" i="13"/>
  <c r="V542" i="13" s="1"/>
  <c r="N541" i="13"/>
  <c r="V541" i="13" s="1"/>
  <c r="N540" i="13"/>
  <c r="V540" i="13" s="1"/>
  <c r="N536" i="13"/>
  <c r="V536" i="13" s="1"/>
  <c r="N535" i="13"/>
  <c r="V535" i="13" s="1"/>
  <c r="N534" i="13"/>
  <c r="V534" i="13" s="1"/>
  <c r="V518" i="13"/>
  <c r="V556" i="13"/>
  <c r="V560" i="13"/>
  <c r="N559" i="13"/>
  <c r="V559" i="13" s="1"/>
  <c r="N551" i="13"/>
  <c r="V551" i="13" s="1"/>
  <c r="N550" i="13"/>
  <c r="V550" i="13" s="1"/>
  <c r="N548" i="13"/>
  <c r="V548" i="13" s="1"/>
  <c r="N547" i="13"/>
  <c r="V547" i="13" s="1"/>
  <c r="N574" i="13"/>
  <c r="V574" i="13" s="1"/>
  <c r="V573" i="13"/>
  <c r="V572" i="13"/>
  <c r="N571" i="13"/>
  <c r="V571" i="13" s="1"/>
  <c r="N570" i="13"/>
  <c r="V570" i="13" s="1"/>
  <c r="N568" i="13"/>
  <c r="V568" i="13" s="1"/>
  <c r="N567" i="13"/>
  <c r="V567" i="13" s="1"/>
  <c r="N566" i="13"/>
  <c r="V566" i="13" s="1"/>
  <c r="N565" i="13"/>
  <c r="V565" i="13" s="1"/>
  <c r="N564" i="13"/>
  <c r="V564" i="13" s="1"/>
  <c r="N563" i="13"/>
  <c r="V563" i="13" s="1"/>
  <c r="V562" i="13"/>
  <c r="N561" i="13"/>
  <c r="V561" i="13" s="1"/>
  <c r="V558" i="13"/>
  <c r="V557" i="13"/>
  <c r="N591" i="13"/>
  <c r="V591" i="13" s="1"/>
  <c r="N590" i="13"/>
  <c r="V590" i="13" s="1"/>
  <c r="N589" i="13"/>
  <c r="V589" i="13" s="1"/>
  <c r="N588" i="13"/>
  <c r="V588" i="13" s="1"/>
  <c r="V587" i="13"/>
  <c r="N586" i="13"/>
  <c r="V586" i="13" s="1"/>
  <c r="N585" i="13"/>
  <c r="V585" i="13" s="1"/>
  <c r="N577" i="13"/>
  <c r="V577" i="13" s="1"/>
  <c r="N576" i="13"/>
  <c r="V576" i="13" s="1"/>
  <c r="N599" i="13"/>
  <c r="V599" i="13" s="1"/>
  <c r="N598" i="13"/>
  <c r="V598" i="13" s="1"/>
  <c r="N597" i="13"/>
  <c r="V597" i="13" s="1"/>
  <c r="V613" i="13"/>
  <c r="V611" i="13"/>
  <c r="N610" i="13"/>
  <c r="V610" i="13" s="1"/>
  <c r="N605" i="13"/>
  <c r="V605" i="13" s="1"/>
  <c r="V604" i="13"/>
  <c r="N615" i="13"/>
  <c r="V615" i="13" s="1"/>
  <c r="N614" i="13"/>
  <c r="V614" i="13" s="1"/>
  <c r="N623" i="13"/>
  <c r="V623" i="13" s="1"/>
  <c r="N622" i="13"/>
  <c r="V622" i="13" s="1"/>
  <c r="V621" i="13"/>
  <c r="N620" i="13"/>
  <c r="V620" i="13" s="1"/>
  <c r="N619" i="13"/>
  <c r="V619" i="13" s="1"/>
  <c r="N618" i="13"/>
  <c r="V618" i="13" s="1"/>
  <c r="V617" i="13"/>
  <c r="N616" i="13"/>
  <c r="V616" i="13" s="1"/>
  <c r="N625" i="13"/>
  <c r="V625" i="13" s="1"/>
  <c r="N645" i="13"/>
  <c r="V645" i="13" s="1"/>
  <c r="N644" i="13"/>
  <c r="V644" i="13" s="1"/>
  <c r="N643" i="13"/>
  <c r="V643" i="13" s="1"/>
  <c r="N642" i="13"/>
  <c r="V642" i="13" s="1"/>
  <c r="N641" i="13"/>
  <c r="V641" i="13" s="1"/>
  <c r="N640" i="13"/>
  <c r="V640" i="13" s="1"/>
  <c r="N636" i="13"/>
  <c r="V636" i="13" s="1"/>
  <c r="N639" i="13"/>
  <c r="V639" i="13" s="1"/>
  <c r="N638" i="13"/>
  <c r="V638" i="13" s="1"/>
  <c r="N637" i="13"/>
  <c r="V637" i="13" s="1"/>
  <c r="N633" i="13"/>
  <c r="V633" i="13" s="1"/>
  <c r="N632" i="13"/>
  <c r="V632" i="13" s="1"/>
  <c r="N631" i="13"/>
  <c r="V631" i="13" s="1"/>
  <c r="V630" i="13"/>
  <c r="V628" i="13"/>
  <c r="V627" i="13"/>
  <c r="N626" i="13"/>
  <c r="V626" i="13" s="1"/>
  <c r="N658" i="13"/>
  <c r="V658" i="13" s="1"/>
  <c r="N657" i="13"/>
  <c r="V657" i="13" s="1"/>
  <c r="N655" i="13"/>
  <c r="V655" i="13" s="1"/>
  <c r="N656" i="13"/>
  <c r="V656" i="13" s="1"/>
  <c r="N663" i="13"/>
  <c r="V663" i="13" s="1"/>
  <c r="N681" i="13"/>
  <c r="V681" i="13" s="1"/>
  <c r="N680" i="13"/>
  <c r="V680" i="13" s="1"/>
  <c r="N679" i="13"/>
  <c r="V679" i="13" s="1"/>
  <c r="V678" i="13"/>
  <c r="V672" i="13"/>
  <c r="V675" i="13"/>
  <c r="V674" i="13"/>
  <c r="V673" i="13"/>
  <c r="N669" i="13"/>
  <c r="V669" i="13" s="1"/>
  <c r="N668" i="13"/>
  <c r="V668" i="13" s="1"/>
  <c r="V666" i="13"/>
  <c r="N665" i="13"/>
  <c r="V665" i="13" s="1"/>
  <c r="V664" i="13"/>
  <c r="N694" i="13"/>
  <c r="V694" i="13" s="1"/>
  <c r="N693" i="13"/>
  <c r="V693" i="13" s="1"/>
  <c r="N692" i="13"/>
  <c r="N691" i="13"/>
  <c r="V691" i="13" s="1"/>
  <c r="N690" i="13"/>
  <c r="V690" i="13" s="1"/>
  <c r="N677" i="13"/>
  <c r="V677" i="13" s="1"/>
  <c r="N676" i="13"/>
  <c r="V676" i="13" s="1"/>
  <c r="V689" i="13"/>
  <c r="N688" i="13"/>
  <c r="V688" i="13" s="1"/>
  <c r="N687" i="13"/>
  <c r="V687" i="13" s="1"/>
  <c r="N686" i="13"/>
  <c r="V686" i="13" s="1"/>
  <c r="V685" i="13"/>
  <c r="N684" i="13"/>
  <c r="V684" i="13" s="1"/>
  <c r="V683" i="13"/>
  <c r="N698" i="13"/>
  <c r="V698" i="13" s="1"/>
  <c r="N697" i="13"/>
  <c r="V697" i="13" s="1"/>
  <c r="N696" i="13"/>
  <c r="N703" i="13"/>
  <c r="V703" i="13" s="1"/>
  <c r="N702" i="13"/>
  <c r="N710" i="13"/>
  <c r="V710" i="13" s="1"/>
  <c r="N709" i="13"/>
  <c r="V709" i="13" s="1"/>
  <c r="N708" i="13"/>
  <c r="V708" i="13" s="1"/>
  <c r="N707" i="13"/>
  <c r="V707" i="13" s="1"/>
  <c r="V706" i="13"/>
  <c r="V714" i="13"/>
  <c r="N716" i="13"/>
  <c r="N715" i="13" s="1"/>
  <c r="N720" i="13"/>
  <c r="V720" i="13" s="1"/>
  <c r="N719" i="13"/>
  <c r="V719" i="13" s="1"/>
  <c r="N718" i="13"/>
  <c r="N721" i="13"/>
  <c r="V725" i="13"/>
  <c r="N724" i="13"/>
  <c r="V726" i="13"/>
  <c r="N728" i="13"/>
  <c r="N727" i="13" s="1"/>
  <c r="N733" i="13"/>
  <c r="N731" i="13" s="1"/>
  <c r="V742" i="13"/>
  <c r="N741" i="13"/>
  <c r="V741" i="13" s="1"/>
  <c r="N740" i="13"/>
  <c r="V740" i="13" s="1"/>
  <c r="N739" i="13"/>
  <c r="V739" i="13" s="1"/>
  <c r="N738" i="13"/>
  <c r="V738" i="13" s="1"/>
  <c r="N737" i="13"/>
  <c r="V737" i="13" s="1"/>
  <c r="N748" i="13"/>
  <c r="V748" i="13" s="1"/>
  <c r="N747" i="13"/>
  <c r="V747" i="13" s="1"/>
  <c r="N746" i="13"/>
  <c r="V746" i="13" s="1"/>
  <c r="N745" i="13"/>
  <c r="V745" i="13" s="1"/>
  <c r="N744" i="13"/>
  <c r="V744" i="13" s="1"/>
  <c r="N752" i="13"/>
  <c r="N751" i="13" s="1"/>
  <c r="V760" i="13"/>
  <c r="V765" i="13"/>
  <c r="V767" i="13"/>
  <c r="V770" i="13"/>
  <c r="V777" i="13"/>
  <c r="V776" i="13"/>
  <c r="V774" i="13"/>
  <c r="V784" i="13"/>
  <c r="V783" i="13"/>
  <c r="V782" i="13"/>
  <c r="V779" i="13"/>
  <c r="V781" i="13"/>
  <c r="V789" i="13"/>
  <c r="V793" i="13"/>
  <c r="V799" i="13"/>
  <c r="V803" i="13"/>
  <c r="V802" i="13"/>
  <c r="V812" i="13"/>
  <c r="V813" i="13"/>
  <c r="V827" i="13"/>
  <c r="V845" i="13"/>
  <c r="V847" i="13"/>
  <c r="V858" i="13"/>
  <c r="V857" i="13"/>
  <c r="V856" i="13"/>
  <c r="V855" i="13"/>
  <c r="V854" i="13"/>
  <c r="V853" i="13"/>
  <c r="V852" i="13"/>
  <c r="V865" i="13"/>
  <c r="V864" i="13"/>
  <c r="V863" i="13"/>
  <c r="V862" i="13"/>
  <c r="V861" i="13"/>
  <c r="V873" i="13"/>
  <c r="V872" i="13"/>
  <c r="V878" i="13"/>
  <c r="V876" i="13"/>
  <c r="V877" i="13"/>
  <c r="N879" i="13"/>
  <c r="V887" i="13"/>
  <c r="V889" i="13"/>
  <c r="V895" i="13"/>
  <c r="V894" i="13"/>
  <c r="V899" i="13"/>
  <c r="V902" i="13"/>
  <c r="V912" i="13"/>
  <c r="V910" i="13"/>
  <c r="V909" i="13"/>
  <c r="V908" i="13"/>
  <c r="V907" i="13"/>
  <c r="V918" i="13"/>
  <c r="V917" i="13"/>
  <c r="V916" i="13"/>
  <c r="V914" i="13"/>
  <c r="V928" i="13"/>
  <c r="V927" i="13"/>
  <c r="V926" i="13"/>
  <c r="V925" i="13"/>
  <c r="V924" i="13"/>
  <c r="V923" i="13"/>
  <c r="V922" i="13"/>
  <c r="V921" i="13"/>
  <c r="V920" i="13"/>
  <c r="V919" i="13"/>
  <c r="V938" i="13"/>
  <c r="V937" i="13"/>
  <c r="V936" i="13"/>
  <c r="V935" i="13"/>
  <c r="V934" i="13"/>
  <c r="V931" i="13"/>
  <c r="V930" i="13"/>
  <c r="V944" i="13"/>
  <c r="V943" i="13"/>
  <c r="V954" i="13"/>
  <c r="V942" i="13"/>
  <c r="V958" i="13"/>
  <c r="V957" i="13"/>
  <c r="V956" i="13"/>
  <c r="V955" i="13"/>
  <c r="V953" i="13"/>
  <c r="V952" i="13"/>
  <c r="V951" i="13"/>
  <c r="V950" i="13"/>
  <c r="V949" i="13"/>
  <c r="V948" i="13"/>
  <c r="V947" i="13"/>
  <c r="V946" i="13"/>
  <c r="V945" i="13"/>
  <c r="V965" i="13"/>
  <c r="V963" i="13"/>
  <c r="V962" i="13"/>
  <c r="V961" i="13"/>
  <c r="V976" i="13"/>
  <c r="V975" i="13"/>
  <c r="V974" i="13"/>
  <c r="V973" i="13"/>
  <c r="V972" i="13"/>
  <c r="V971" i="13"/>
  <c r="V970" i="13"/>
  <c r="V967" i="13"/>
  <c r="V966" i="13"/>
  <c r="V984" i="13"/>
  <c r="V991" i="13"/>
  <c r="V985" i="13"/>
  <c r="V983" i="13"/>
  <c r="V982" i="13"/>
  <c r="V981" i="13"/>
  <c r="V978" i="13"/>
  <c r="V980" i="13"/>
  <c r="V977" i="13"/>
  <c r="V994" i="13"/>
  <c r="V990" i="13"/>
  <c r="V989" i="13"/>
  <c r="V988" i="13"/>
  <c r="V987" i="13"/>
  <c r="V993" i="13"/>
  <c r="V992" i="13"/>
  <c r="V986" i="13"/>
  <c r="V1001" i="13"/>
  <c r="V999" i="13"/>
  <c r="V998" i="13"/>
  <c r="V1000" i="13"/>
  <c r="V997" i="13"/>
  <c r="V1009" i="13"/>
  <c r="V1008" i="13"/>
  <c r="V1006" i="13"/>
  <c r="V1005" i="13"/>
  <c r="V1004" i="13"/>
  <c r="V1003" i="13"/>
  <c r="V1002" i="13"/>
  <c r="V1012" i="13"/>
  <c r="V1019" i="13"/>
  <c r="V1018" i="13"/>
  <c r="V1017" i="13"/>
  <c r="V1016" i="13"/>
  <c r="V1015" i="13"/>
  <c r="V1014" i="13"/>
  <c r="V1013" i="13"/>
  <c r="V1027" i="13"/>
  <c r="V1030" i="13"/>
  <c r="V1029" i="13"/>
  <c r="V1028" i="13"/>
  <c r="V1026" i="13"/>
  <c r="V1025" i="13"/>
  <c r="V1022" i="13"/>
  <c r="V1021" i="13"/>
  <c r="V1036" i="13"/>
  <c r="V1033" i="13"/>
  <c r="V1038" i="13"/>
  <c r="V1045" i="13"/>
  <c r="V1043" i="13"/>
  <c r="V1042" i="13"/>
  <c r="V1046" i="13"/>
  <c r="V1054" i="13"/>
  <c r="V1053" i="13"/>
  <c r="V1052" i="13"/>
  <c r="V1051" i="13"/>
  <c r="V1050" i="13"/>
  <c r="V1049" i="13"/>
  <c r="V1048" i="13"/>
  <c r="V1047" i="13"/>
  <c r="V1067" i="13"/>
  <c r="V1066" i="13"/>
  <c r="V1068" i="13"/>
  <c r="V1064" i="13"/>
  <c r="V1061" i="13"/>
  <c r="V1056" i="13"/>
  <c r="V1055" i="13"/>
  <c r="V1060" i="13"/>
  <c r="V1059" i="13"/>
  <c r="V1058" i="13"/>
  <c r="V1057" i="13"/>
  <c r="V1074" i="13"/>
  <c r="V1079" i="13"/>
  <c r="V1078" i="13"/>
  <c r="V1071" i="13"/>
  <c r="V1092" i="13"/>
  <c r="V1091" i="13"/>
  <c r="V1090" i="13"/>
  <c r="V1089" i="13"/>
  <c r="V1088" i="13"/>
  <c r="V1087" i="13"/>
  <c r="V1086" i="13"/>
  <c r="V1085" i="13"/>
  <c r="V1084" i="13"/>
  <c r="V1083" i="13"/>
  <c r="V1107" i="13"/>
  <c r="V1106" i="13"/>
  <c r="V1105" i="13"/>
  <c r="V1104" i="13"/>
  <c r="V1103" i="13"/>
  <c r="V1102" i="13"/>
  <c r="V1101" i="13"/>
  <c r="V1100" i="13"/>
  <c r="V1121" i="13"/>
  <c r="V1120" i="13"/>
  <c r="N711" i="13"/>
  <c r="V711" i="13" s="1"/>
  <c r="V1124" i="13"/>
  <c r="V1129" i="13"/>
  <c r="V1140" i="13"/>
  <c r="V1152" i="13"/>
  <c r="V1151" i="13"/>
  <c r="V1158" i="13"/>
  <c r="V1157" i="13"/>
  <c r="V1156" i="13"/>
  <c r="V1155" i="13"/>
  <c r="V1154" i="13"/>
  <c r="V1149" i="13"/>
  <c r="V1148" i="13"/>
  <c r="V1164" i="13"/>
  <c r="V1153" i="13"/>
  <c r="V1144" i="13"/>
  <c r="V1133" i="13"/>
  <c r="V1113" i="13"/>
  <c r="V1109" i="13"/>
  <c r="V1094" i="13"/>
  <c r="V1076" i="13"/>
  <c r="V1075" i="13"/>
  <c r="V1070" i="13"/>
  <c r="V1034" i="13"/>
  <c r="V996" i="13"/>
  <c r="V995" i="13"/>
  <c r="V959" i="13"/>
  <c r="V913" i="13"/>
  <c r="V905" i="13"/>
  <c r="V896" i="13"/>
  <c r="V885" i="13"/>
  <c r="V883" i="13"/>
  <c r="V859" i="13"/>
  <c r="V846" i="13"/>
  <c r="V824" i="13"/>
  <c r="V809" i="13"/>
  <c r="V808" i="13"/>
  <c r="V796" i="13"/>
  <c r="V795" i="13"/>
  <c r="V791" i="13"/>
  <c r="V780" i="13"/>
  <c r="V768" i="13"/>
  <c r="V766" i="13"/>
  <c r="V764" i="13"/>
  <c r="V713" i="13"/>
  <c r="V712" i="13"/>
  <c r="V662" i="13"/>
  <c r="V661" i="13"/>
  <c r="V660" i="13"/>
  <c r="V659" i="13"/>
  <c r="V652" i="13"/>
  <c r="V624" i="13"/>
  <c r="V1041" i="13"/>
  <c r="V1040" i="13"/>
  <c r="V612" i="13"/>
  <c r="V546" i="13"/>
  <c r="V508" i="13"/>
  <c r="V929" i="13"/>
  <c r="V492" i="13"/>
  <c r="V491" i="13"/>
  <c r="V482" i="13"/>
  <c r="V481" i="13"/>
  <c r="V470" i="13"/>
  <c r="V458" i="13"/>
  <c r="V447" i="13"/>
  <c r="V439" i="13"/>
  <c r="V434" i="13"/>
  <c r="V428" i="13"/>
  <c r="V414" i="13"/>
  <c r="V413" i="13"/>
  <c r="V386" i="13"/>
  <c r="V379" i="13"/>
  <c r="V377" i="13"/>
  <c r="V351" i="13"/>
  <c r="V344" i="13"/>
  <c r="V338" i="13"/>
  <c r="V337" i="13"/>
  <c r="V327" i="13"/>
  <c r="V317" i="13"/>
  <c r="V312" i="13"/>
  <c r="V311" i="13"/>
  <c r="R1143" i="13"/>
  <c r="R1137" i="13"/>
  <c r="R1134" i="13"/>
  <c r="R1130" i="13"/>
  <c r="R711" i="13"/>
  <c r="R1114" i="13"/>
  <c r="R1110" i="13"/>
  <c r="R1108" i="13"/>
  <c r="R879" i="13"/>
  <c r="R843" i="13"/>
  <c r="R841" i="13"/>
  <c r="R832" i="13"/>
  <c r="R815" i="13"/>
  <c r="R805" i="13"/>
  <c r="R788" i="13"/>
  <c r="R762" i="13"/>
  <c r="R760" i="13"/>
  <c r="R759" i="13"/>
  <c r="R752" i="13"/>
  <c r="R751" i="13" s="1"/>
  <c r="R748" i="13"/>
  <c r="R747" i="13"/>
  <c r="R746" i="13"/>
  <c r="R745" i="13"/>
  <c r="R744" i="13"/>
  <c r="R742" i="13"/>
  <c r="R741" i="13"/>
  <c r="R740" i="13"/>
  <c r="R739" i="13"/>
  <c r="R738" i="13"/>
  <c r="R737" i="13"/>
  <c r="R733" i="13"/>
  <c r="R731" i="13" s="1"/>
  <c r="R728" i="13"/>
  <c r="R727" i="13" s="1"/>
  <c r="R726" i="13"/>
  <c r="R725" i="13"/>
  <c r="R724" i="13"/>
  <c r="R721" i="13"/>
  <c r="R720" i="13"/>
  <c r="R719" i="13"/>
  <c r="R718" i="13"/>
  <c r="R716" i="13"/>
  <c r="R715" i="13" s="1"/>
  <c r="R713" i="13"/>
  <c r="R714" i="13"/>
  <c r="R712" i="13"/>
  <c r="R710" i="13"/>
  <c r="R709" i="13"/>
  <c r="R708" i="13"/>
  <c r="R707" i="13"/>
  <c r="R706" i="13"/>
  <c r="R705" i="13"/>
  <c r="R703" i="13"/>
  <c r="R702" i="13"/>
  <c r="R700" i="13"/>
  <c r="R699" i="13" s="1"/>
  <c r="R698" i="13"/>
  <c r="R697" i="13"/>
  <c r="R696" i="13"/>
  <c r="R694" i="13"/>
  <c r="R693" i="13"/>
  <c r="R692" i="13"/>
  <c r="R691" i="13"/>
  <c r="R690" i="13"/>
  <c r="R677" i="13"/>
  <c r="R676" i="13"/>
  <c r="R689" i="13"/>
  <c r="R688" i="13"/>
  <c r="R687" i="13"/>
  <c r="R686" i="13"/>
  <c r="R685" i="13"/>
  <c r="R684" i="13"/>
  <c r="R683" i="13"/>
  <c r="R682" i="13"/>
  <c r="R681" i="13"/>
  <c r="R680" i="13"/>
  <c r="R679" i="13"/>
  <c r="R678" i="13"/>
  <c r="R672" i="13"/>
  <c r="R675" i="13"/>
  <c r="R674" i="13"/>
  <c r="R673" i="13"/>
  <c r="R669" i="13"/>
  <c r="R668" i="13"/>
  <c r="R666" i="13"/>
  <c r="R665" i="13"/>
  <c r="R664" i="13"/>
  <c r="R663" i="13"/>
  <c r="R662" i="13"/>
  <c r="R661" i="13"/>
  <c r="R660" i="13"/>
  <c r="R659" i="13"/>
  <c r="R658" i="13"/>
  <c r="R657" i="13"/>
  <c r="R655" i="13"/>
  <c r="R656" i="13"/>
  <c r="R652" i="13"/>
  <c r="R645" i="13"/>
  <c r="R644" i="13"/>
  <c r="R643" i="13"/>
  <c r="R642" i="13"/>
  <c r="R641" i="13"/>
  <c r="R640" i="13"/>
  <c r="R636" i="13"/>
  <c r="R639" i="13"/>
  <c r="R638" i="13"/>
  <c r="R637" i="13"/>
  <c r="R633" i="13"/>
  <c r="R632" i="13"/>
  <c r="R631" i="13"/>
  <c r="R630" i="13"/>
  <c r="R628" i="13"/>
  <c r="R627" i="13"/>
  <c r="R626" i="13"/>
  <c r="R625" i="13"/>
  <c r="R624" i="13"/>
  <c r="R623" i="13"/>
  <c r="R622" i="13"/>
  <c r="R621" i="13"/>
  <c r="R620" i="13"/>
  <c r="R619" i="13"/>
  <c r="R618" i="13"/>
  <c r="R617" i="13"/>
  <c r="R616" i="13"/>
  <c r="R615" i="13"/>
  <c r="R614" i="13"/>
  <c r="R612" i="13"/>
  <c r="R613" i="13"/>
  <c r="R611" i="13"/>
  <c r="R610" i="13"/>
  <c r="R605" i="13"/>
  <c r="R606" i="13"/>
  <c r="R604" i="13"/>
  <c r="R602" i="13"/>
  <c r="R599" i="13"/>
  <c r="R598" i="13"/>
  <c r="R597" i="13"/>
  <c r="R592" i="13"/>
  <c r="R591" i="13"/>
  <c r="R590" i="13"/>
  <c r="R589" i="13"/>
  <c r="R588" i="13"/>
  <c r="R587" i="13"/>
  <c r="R586" i="13"/>
  <c r="R585" i="13"/>
  <c r="R577" i="13"/>
  <c r="R576" i="13"/>
  <c r="R574" i="13"/>
  <c r="R573" i="13"/>
  <c r="R572" i="13"/>
  <c r="R571" i="13"/>
  <c r="R570" i="13"/>
  <c r="R568" i="13"/>
  <c r="R567" i="13"/>
  <c r="R566" i="13"/>
  <c r="R565" i="13"/>
  <c r="R564" i="13"/>
  <c r="R563" i="13"/>
  <c r="R562" i="13"/>
  <c r="R561" i="13"/>
  <c r="R558" i="13"/>
  <c r="R557" i="13"/>
  <c r="R556" i="13"/>
  <c r="R560" i="13"/>
  <c r="R559" i="13"/>
  <c r="R551" i="13"/>
  <c r="R550" i="13"/>
  <c r="R548" i="13"/>
  <c r="R547" i="13"/>
  <c r="R546" i="13"/>
  <c r="R544" i="13"/>
  <c r="R539" i="13"/>
  <c r="R538" i="13"/>
  <c r="R537" i="13"/>
  <c r="R543" i="13"/>
  <c r="R542" i="13"/>
  <c r="R541" i="13"/>
  <c r="R540" i="13"/>
  <c r="R536" i="13"/>
  <c r="R535" i="13"/>
  <c r="R534" i="13"/>
  <c r="R518" i="13"/>
  <c r="R532" i="13"/>
  <c r="R531" i="13"/>
  <c r="R530" i="13"/>
  <c r="R529" i="13"/>
  <c r="R528" i="13"/>
  <c r="R527" i="13"/>
  <c r="R526" i="13"/>
  <c r="R525" i="13"/>
  <c r="R524" i="13"/>
  <c r="R523" i="13"/>
  <c r="R522" i="13"/>
  <c r="R521" i="13"/>
  <c r="R520" i="13"/>
  <c r="R519" i="13"/>
  <c r="R517" i="13"/>
  <c r="R516" i="13"/>
  <c r="R508" i="13"/>
  <c r="R501" i="13"/>
  <c r="R500" i="13"/>
  <c r="R499" i="13"/>
  <c r="R498" i="13"/>
  <c r="R497" i="13"/>
  <c r="R496" i="13"/>
  <c r="R495" i="13"/>
  <c r="R494" i="13"/>
  <c r="R492" i="13"/>
  <c r="R491" i="13"/>
  <c r="R489" i="13"/>
  <c r="R488" i="13"/>
  <c r="R487" i="13"/>
  <c r="R486" i="13"/>
  <c r="R485" i="13"/>
  <c r="R484" i="13"/>
  <c r="R483" i="13"/>
  <c r="R482" i="13"/>
  <c r="R481" i="13"/>
  <c r="R477" i="13"/>
  <c r="R476" i="13"/>
  <c r="R475" i="13"/>
  <c r="R474" i="13"/>
  <c r="R473" i="13"/>
  <c r="R471" i="13"/>
  <c r="R470" i="13"/>
  <c r="R469" i="13"/>
  <c r="R468" i="13"/>
  <c r="R466" i="13"/>
  <c r="R467" i="13"/>
  <c r="R461" i="13"/>
  <c r="R460" i="13"/>
  <c r="R459" i="13"/>
  <c r="R458" i="13"/>
  <c r="R454" i="13"/>
  <c r="R453" i="13" s="1"/>
  <c r="R452" i="13"/>
  <c r="R451" i="13"/>
  <c r="R447" i="13"/>
  <c r="R446" i="13" s="1"/>
  <c r="R445" i="13"/>
  <c r="R444" i="13"/>
  <c r="R443" i="13"/>
  <c r="R442" i="13"/>
  <c r="R441" i="13"/>
  <c r="R440" i="13"/>
  <c r="R439" i="13"/>
  <c r="R437" i="13"/>
  <c r="R436" i="13"/>
  <c r="R435" i="13"/>
  <c r="R434" i="13"/>
  <c r="R438" i="13"/>
  <c r="R432" i="13"/>
  <c r="R431" i="13"/>
  <c r="R428" i="13"/>
  <c r="R426" i="13"/>
  <c r="R425" i="13" s="1"/>
  <c r="R424" i="13"/>
  <c r="R423" i="13" s="1"/>
  <c r="R422" i="13"/>
  <c r="R421" i="13"/>
  <c r="R420" i="13"/>
  <c r="R419" i="13"/>
  <c r="R418" i="13"/>
  <c r="R417" i="13"/>
  <c r="R416" i="13"/>
  <c r="R414" i="13"/>
  <c r="R413" i="13"/>
  <c r="R411" i="13"/>
  <c r="R410" i="13"/>
  <c r="R409" i="13"/>
  <c r="R408" i="13"/>
  <c r="R407" i="13"/>
  <c r="R404" i="13"/>
  <c r="R403" i="13" s="1"/>
  <c r="R402" i="13"/>
  <c r="R401" i="13"/>
  <c r="R400" i="13"/>
  <c r="R399" i="13"/>
  <c r="R397" i="13"/>
  <c r="R396" i="13"/>
  <c r="R395" i="13"/>
  <c r="R398" i="13"/>
  <c r="R394" i="13"/>
  <c r="R392" i="13"/>
  <c r="R391" i="13"/>
  <c r="R389" i="13"/>
  <c r="R387" i="13"/>
  <c r="R386" i="13"/>
  <c r="R384" i="13"/>
  <c r="R379" i="13"/>
  <c r="R373" i="13" s="1"/>
  <c r="R357" i="13"/>
  <c r="R356" i="13" s="1"/>
  <c r="R331" i="13"/>
  <c r="R328" i="13" s="1"/>
  <c r="R327" i="13"/>
  <c r="R326" i="13" s="1"/>
  <c r="R323" i="13"/>
  <c r="R322" i="13" s="1"/>
  <c r="R308" i="13"/>
  <c r="R297" i="13"/>
  <c r="R290" i="13"/>
  <c r="R287" i="13"/>
  <c r="D959" i="13"/>
  <c r="V606" i="13" l="1"/>
  <c r="R291" i="13"/>
  <c r="N291" i="13"/>
  <c r="V840" i="13"/>
  <c r="N838" i="13"/>
  <c r="N825" i="13"/>
  <c r="R382" i="13"/>
  <c r="R427" i="13"/>
  <c r="R450" i="13"/>
  <c r="R734" i="13"/>
  <c r="N717" i="13"/>
  <c r="N373" i="13"/>
  <c r="N316" i="13"/>
  <c r="N450" i="13"/>
  <c r="N369" i="13"/>
  <c r="R286" i="13"/>
  <c r="R695" i="13"/>
  <c r="R723" i="13"/>
  <c r="N734" i="13"/>
  <c r="N701" i="13"/>
  <c r="N427" i="13"/>
  <c r="N405" i="13"/>
  <c r="N328" i="13"/>
  <c r="N352" i="13"/>
  <c r="V349" i="13"/>
  <c r="N348" i="13"/>
  <c r="N286" i="13"/>
  <c r="R415" i="13"/>
  <c r="R701" i="13"/>
  <c r="R717" i="13"/>
  <c r="R405" i="13"/>
  <c r="R704" i="13"/>
  <c r="N723" i="13"/>
  <c r="N704" i="13"/>
  <c r="N695" i="13"/>
  <c r="N322" i="13"/>
  <c r="N365" i="13"/>
  <c r="V692" i="13"/>
  <c r="N866" i="13"/>
  <c r="R866" i="13"/>
  <c r="V1147" i="13"/>
  <c r="N1145" i="13"/>
  <c r="R1145" i="13"/>
  <c r="R903" i="13"/>
  <c r="R790" i="13"/>
  <c r="R850" i="13"/>
  <c r="R1118" i="13"/>
  <c r="R758" i="13"/>
  <c r="R797" i="13"/>
  <c r="R897" i="13"/>
  <c r="V424" i="13"/>
  <c r="V404" i="13"/>
  <c r="V381" i="13"/>
  <c r="V353" i="13"/>
  <c r="V333" i="13"/>
  <c r="V315" i="13"/>
  <c r="V293" i="13"/>
  <c r="V366" i="13"/>
  <c r="V1150" i="13"/>
  <c r="V1119" i="13"/>
  <c r="N1118" i="13"/>
  <c r="V1111" i="13"/>
  <c r="N1110" i="13"/>
  <c r="V875" i="13"/>
  <c r="N874" i="13"/>
  <c r="V870" i="13"/>
  <c r="V851" i="13"/>
  <c r="N850" i="13"/>
  <c r="V849" i="13"/>
  <c r="N848" i="13"/>
  <c r="V842" i="13"/>
  <c r="N841" i="13"/>
  <c r="V826" i="13"/>
  <c r="V811" i="13"/>
  <c r="N810" i="13"/>
  <c r="V752" i="13"/>
  <c r="V724" i="13"/>
  <c r="V696" i="13"/>
  <c r="V451" i="13"/>
  <c r="V426" i="13"/>
  <c r="V371" i="13"/>
  <c r="V357" i="13"/>
  <c r="V323" i="13"/>
  <c r="V287" i="13"/>
  <c r="V384" i="13"/>
  <c r="V454" i="13"/>
  <c r="V806" i="13"/>
  <c r="N805" i="13"/>
  <c r="R794" i="13"/>
  <c r="R800" i="13"/>
  <c r="R807" i="13"/>
  <c r="R882" i="13"/>
  <c r="R900" i="13"/>
  <c r="R1122" i="13"/>
  <c r="V1135" i="13"/>
  <c r="N1134" i="13"/>
  <c r="V837" i="13"/>
  <c r="N836" i="13"/>
  <c r="V798" i="13"/>
  <c r="N797" i="13"/>
  <c r="V1139" i="13"/>
  <c r="N1137" i="13"/>
  <c r="V1128" i="13"/>
  <c r="N1127" i="13"/>
  <c r="V1115" i="13"/>
  <c r="N1114" i="13"/>
  <c r="V901" i="13"/>
  <c r="N900" i="13"/>
  <c r="V881" i="13"/>
  <c r="V831" i="13"/>
  <c r="N830" i="13"/>
  <c r="V792" i="13"/>
  <c r="N790" i="13"/>
  <c r="V718" i="13"/>
  <c r="V459" i="13"/>
  <c r="V374" i="13"/>
  <c r="V341" i="13"/>
  <c r="V318" i="13"/>
  <c r="R787" i="13"/>
  <c r="R817" i="13"/>
  <c r="R874" i="13"/>
  <c r="R1127" i="13"/>
  <c r="V1123" i="13"/>
  <c r="N1122" i="13"/>
  <c r="V898" i="13"/>
  <c r="N897" i="13"/>
  <c r="V788" i="13"/>
  <c r="N787" i="13"/>
  <c r="V733" i="13"/>
  <c r="V1131" i="13"/>
  <c r="N1130" i="13"/>
  <c r="V904" i="13"/>
  <c r="V844" i="13"/>
  <c r="N843" i="13"/>
  <c r="V833" i="13"/>
  <c r="N832" i="13"/>
  <c r="V816" i="13"/>
  <c r="N815" i="13"/>
  <c r="V801" i="13"/>
  <c r="N800" i="13"/>
  <c r="V759" i="13"/>
  <c r="N758" i="13"/>
  <c r="V735" i="13"/>
  <c r="V728" i="13"/>
  <c r="V722" i="13"/>
  <c r="V716" i="13"/>
  <c r="V702" i="13"/>
  <c r="V431" i="13"/>
  <c r="V406" i="13"/>
  <c r="V362" i="13"/>
  <c r="V330" i="13"/>
  <c r="R810" i="13"/>
  <c r="V335" i="13"/>
  <c r="V705" i="13"/>
  <c r="C959" i="13"/>
  <c r="N417" i="13"/>
  <c r="V417" i="13" s="1"/>
  <c r="N416" i="13"/>
  <c r="V282" i="13"/>
  <c r="V283" i="13"/>
  <c r="N264" i="13"/>
  <c r="D265" i="13"/>
  <c r="D264" i="13" s="1"/>
  <c r="N415" i="13" l="1"/>
  <c r="V416" i="13"/>
  <c r="V280" i="13"/>
  <c r="N270" i="13"/>
  <c r="V27" i="13"/>
  <c r="N26" i="13"/>
  <c r="R270" i="13"/>
  <c r="V265" i="13"/>
  <c r="C265" i="13"/>
  <c r="C264" i="13" s="1"/>
  <c r="C20" i="13" l="1"/>
  <c r="C19" i="13"/>
  <c r="C299" i="13"/>
  <c r="C18" i="13"/>
  <c r="C15" i="13"/>
  <c r="C14" i="13"/>
  <c r="C17" i="13"/>
  <c r="U1163" i="13"/>
  <c r="T1163" i="13"/>
  <c r="S1163" i="13"/>
  <c r="R1163" i="13"/>
  <c r="Q1163" i="13"/>
  <c r="P1163" i="13"/>
  <c r="O1163" i="13"/>
  <c r="N1163" i="13"/>
  <c r="M1163" i="13"/>
  <c r="L1163" i="13"/>
  <c r="K1163" i="13"/>
  <c r="J1163" i="13"/>
  <c r="U761" i="13"/>
  <c r="U757" i="13" s="1"/>
  <c r="T761" i="13"/>
  <c r="T757" i="13" s="1"/>
  <c r="S761" i="13"/>
  <c r="Q761" i="13"/>
  <c r="Q757" i="13" s="1"/>
  <c r="P761" i="13"/>
  <c r="O761" i="13"/>
  <c r="O757" i="13" s="1"/>
  <c r="M761" i="13"/>
  <c r="M757" i="13" s="1"/>
  <c r="L761" i="13"/>
  <c r="K761" i="13"/>
  <c r="K757" i="13" s="1"/>
  <c r="J761" i="13"/>
  <c r="D1140" i="13"/>
  <c r="C1140" i="13" s="1"/>
  <c r="D1139" i="13"/>
  <c r="D1131" i="13"/>
  <c r="D1123" i="13"/>
  <c r="D1121" i="13"/>
  <c r="C1121" i="13" s="1"/>
  <c r="D1119" i="13"/>
  <c r="D1107" i="13"/>
  <c r="C1107" i="13" s="1"/>
  <c r="D1106" i="13"/>
  <c r="C1106" i="13" s="1"/>
  <c r="D1105" i="13"/>
  <c r="C1105" i="13" s="1"/>
  <c r="D1104" i="13"/>
  <c r="C1104" i="13" s="1"/>
  <c r="D1103" i="13"/>
  <c r="C1103" i="13" s="1"/>
  <c r="D1102" i="13"/>
  <c r="C1102" i="13" s="1"/>
  <c r="D1101" i="13"/>
  <c r="C1101" i="13" s="1"/>
  <c r="D1100" i="13"/>
  <c r="C1100" i="13" s="1"/>
  <c r="D1096" i="13"/>
  <c r="C1096" i="13" s="1"/>
  <c r="D1094" i="13"/>
  <c r="D1092" i="13"/>
  <c r="C1092" i="13" s="1"/>
  <c r="D1091" i="13"/>
  <c r="C1091" i="13" s="1"/>
  <c r="D1090" i="13"/>
  <c r="C1090" i="13" s="1"/>
  <c r="D1089" i="13"/>
  <c r="C1089" i="13" s="1"/>
  <c r="D1088" i="13"/>
  <c r="C1088" i="13" s="1"/>
  <c r="D1087" i="13"/>
  <c r="C1087" i="13" s="1"/>
  <c r="D1086" i="13"/>
  <c r="C1086" i="13" s="1"/>
  <c r="D1085" i="13"/>
  <c r="C1085" i="13" s="1"/>
  <c r="D1084" i="13"/>
  <c r="C1084" i="13" s="1"/>
  <c r="D1083" i="13"/>
  <c r="C1083" i="13" s="1"/>
  <c r="D1076" i="13"/>
  <c r="C1076" i="13" s="1"/>
  <c r="D1075" i="13"/>
  <c r="C1075" i="13" s="1"/>
  <c r="D1074" i="13"/>
  <c r="C1074" i="13" s="1"/>
  <c r="D1079" i="13"/>
  <c r="C1079" i="13" s="1"/>
  <c r="D1078" i="13"/>
  <c r="C1078" i="13" s="1"/>
  <c r="D1071" i="13"/>
  <c r="C1071" i="13" s="1"/>
  <c r="D1067" i="13"/>
  <c r="C1067" i="13" s="1"/>
  <c r="D1066" i="13"/>
  <c r="C1066" i="13" s="1"/>
  <c r="D1068" i="13"/>
  <c r="C1068" i="13" s="1"/>
  <c r="D1064" i="13"/>
  <c r="C1064" i="13" s="1"/>
  <c r="D1061" i="13"/>
  <c r="C1061" i="13" s="1"/>
  <c r="D1056" i="13"/>
  <c r="C1056" i="13" s="1"/>
  <c r="D1055" i="13"/>
  <c r="C1055" i="13" s="1"/>
  <c r="D1060" i="13"/>
  <c r="C1060" i="13" s="1"/>
  <c r="D1059" i="13"/>
  <c r="C1059" i="13" s="1"/>
  <c r="D1058" i="13"/>
  <c r="C1058" i="13" s="1"/>
  <c r="D1057" i="13"/>
  <c r="C1057" i="13" s="1"/>
  <c r="D1054" i="13"/>
  <c r="C1054" i="13" s="1"/>
  <c r="D1053" i="13"/>
  <c r="C1053" i="13" s="1"/>
  <c r="D1052" i="13"/>
  <c r="C1052" i="13" s="1"/>
  <c r="D1051" i="13"/>
  <c r="C1051" i="13" s="1"/>
  <c r="D1050" i="13"/>
  <c r="C1050" i="13" s="1"/>
  <c r="D1049" i="13"/>
  <c r="C1049" i="13" s="1"/>
  <c r="D1048" i="13"/>
  <c r="C1048" i="13" s="1"/>
  <c r="D1047" i="13"/>
  <c r="C1047" i="13" s="1"/>
  <c r="D1045" i="13"/>
  <c r="C1045" i="13" s="1"/>
  <c r="D1043" i="13"/>
  <c r="C1043" i="13" s="1"/>
  <c r="D1042" i="13"/>
  <c r="C1042" i="13" s="1"/>
  <c r="D1039" i="13"/>
  <c r="C1039" i="13" s="1"/>
  <c r="D1038" i="13"/>
  <c r="C1038" i="13" s="1"/>
  <c r="D1036" i="13"/>
  <c r="C1036" i="13" s="1"/>
  <c r="D1034" i="13"/>
  <c r="C1034" i="13" s="1"/>
  <c r="D1027" i="13"/>
  <c r="C1027" i="13" s="1"/>
  <c r="D1030" i="13"/>
  <c r="C1030" i="13" s="1"/>
  <c r="D1029" i="13"/>
  <c r="C1029" i="13" s="1"/>
  <c r="D1026" i="13"/>
  <c r="C1026" i="13" s="1"/>
  <c r="D1025" i="13"/>
  <c r="C1025" i="13" s="1"/>
  <c r="D1022" i="13"/>
  <c r="C1022" i="13" s="1"/>
  <c r="D1021" i="13"/>
  <c r="C1021" i="13" s="1"/>
  <c r="D1020" i="13"/>
  <c r="C1020" i="13" s="1"/>
  <c r="D1019" i="13"/>
  <c r="C1019" i="13" s="1"/>
  <c r="D1018" i="13"/>
  <c r="C1018" i="13" s="1"/>
  <c r="D1017" i="13"/>
  <c r="C1017" i="13" s="1"/>
  <c r="D1016" i="13"/>
  <c r="C1016" i="13" s="1"/>
  <c r="D1015" i="13"/>
  <c r="C1015" i="13" s="1"/>
  <c r="D1014" i="13"/>
  <c r="C1014" i="13" s="1"/>
  <c r="D1013" i="13"/>
  <c r="C1013" i="13" s="1"/>
  <c r="D1012" i="13"/>
  <c r="C1012" i="13" s="1"/>
  <c r="D1010" i="13"/>
  <c r="C1010" i="13" s="1"/>
  <c r="D1009" i="13"/>
  <c r="C1009" i="13" s="1"/>
  <c r="D1008" i="13"/>
  <c r="C1008" i="13" s="1"/>
  <c r="D1006" i="13"/>
  <c r="C1006" i="13" s="1"/>
  <c r="D1005" i="13"/>
  <c r="C1005" i="13" s="1"/>
  <c r="D1004" i="13"/>
  <c r="C1004" i="13" s="1"/>
  <c r="D1003" i="13"/>
  <c r="C1003" i="13" s="1"/>
  <c r="D1001" i="13"/>
  <c r="C1001" i="13" s="1"/>
  <c r="D999" i="13"/>
  <c r="C999" i="13" s="1"/>
  <c r="D998" i="13"/>
  <c r="C998" i="13" s="1"/>
  <c r="D1000" i="13"/>
  <c r="C1000" i="13" s="1"/>
  <c r="D997" i="13"/>
  <c r="C997" i="13" s="1"/>
  <c r="D994" i="13"/>
  <c r="C994" i="13" s="1"/>
  <c r="D990" i="13"/>
  <c r="C990" i="13" s="1"/>
  <c r="D989" i="13"/>
  <c r="C989" i="13" s="1"/>
  <c r="D988" i="13"/>
  <c r="C988" i="13" s="1"/>
  <c r="D987" i="13"/>
  <c r="C987" i="13" s="1"/>
  <c r="D993" i="13"/>
  <c r="C993" i="13" s="1"/>
  <c r="D992" i="13"/>
  <c r="C992" i="13" s="1"/>
  <c r="D986" i="13"/>
  <c r="C986" i="13" s="1"/>
  <c r="D984" i="13"/>
  <c r="C984" i="13" s="1"/>
  <c r="D991" i="13"/>
  <c r="C991" i="13" s="1"/>
  <c r="D985" i="13"/>
  <c r="C985" i="13" s="1"/>
  <c r="D983" i="13"/>
  <c r="C983" i="13" s="1"/>
  <c r="D982" i="13"/>
  <c r="C982" i="13" s="1"/>
  <c r="D981" i="13"/>
  <c r="D978" i="13"/>
  <c r="C978" i="13" s="1"/>
  <c r="D980" i="13"/>
  <c r="C980" i="13" s="1"/>
  <c r="D977" i="13"/>
  <c r="C977" i="13" s="1"/>
  <c r="D976" i="13"/>
  <c r="C976" i="13" s="1"/>
  <c r="D975" i="13"/>
  <c r="C975" i="13" s="1"/>
  <c r="D974" i="13"/>
  <c r="C974" i="13" s="1"/>
  <c r="D973" i="13"/>
  <c r="C973" i="13" s="1"/>
  <c r="D972" i="13"/>
  <c r="C972" i="13" s="1"/>
  <c r="D971" i="13"/>
  <c r="C971" i="13" s="1"/>
  <c r="D970" i="13"/>
  <c r="C970" i="13" s="1"/>
  <c r="D966" i="13"/>
  <c r="C966" i="13" s="1"/>
  <c r="D965" i="13"/>
  <c r="C965" i="13" s="1"/>
  <c r="D962" i="13"/>
  <c r="C962" i="13" s="1"/>
  <c r="D961" i="13"/>
  <c r="C961" i="13" s="1"/>
  <c r="D958" i="13"/>
  <c r="C958" i="13" s="1"/>
  <c r="D957" i="13"/>
  <c r="C957" i="13" s="1"/>
  <c r="D956" i="13"/>
  <c r="C956" i="13" s="1"/>
  <c r="D955" i="13"/>
  <c r="C955" i="13" s="1"/>
  <c r="D953" i="13"/>
  <c r="C953" i="13" s="1"/>
  <c r="D952" i="13"/>
  <c r="C952" i="13" s="1"/>
  <c r="D951" i="13"/>
  <c r="C951" i="13" s="1"/>
  <c r="D950" i="13"/>
  <c r="C950" i="13" s="1"/>
  <c r="D949" i="13"/>
  <c r="C949" i="13" s="1"/>
  <c r="D948" i="13"/>
  <c r="C948" i="13" s="1"/>
  <c r="D947" i="13"/>
  <c r="C947" i="13" s="1"/>
  <c r="D946" i="13"/>
  <c r="C946" i="13" s="1"/>
  <c r="D945" i="13"/>
  <c r="C945" i="13" s="1"/>
  <c r="D944" i="13"/>
  <c r="C944" i="13" s="1"/>
  <c r="D943" i="13"/>
  <c r="C943" i="13" s="1"/>
  <c r="D954" i="13"/>
  <c r="C954" i="13" s="1"/>
  <c r="D941" i="13"/>
  <c r="C941" i="13" s="1"/>
  <c r="D938" i="13"/>
  <c r="C938" i="13" s="1"/>
  <c r="D937" i="13"/>
  <c r="C937" i="13" s="1"/>
  <c r="D936" i="13"/>
  <c r="C936" i="13" s="1"/>
  <c r="D935" i="13"/>
  <c r="C935" i="13" s="1"/>
  <c r="D934" i="13"/>
  <c r="C934" i="13" s="1"/>
  <c r="D931" i="13"/>
  <c r="C931" i="13" s="1"/>
  <c r="D928" i="13"/>
  <c r="C928" i="13" s="1"/>
  <c r="D927" i="13"/>
  <c r="C927" i="13" s="1"/>
  <c r="D926" i="13"/>
  <c r="C926" i="13" s="1"/>
  <c r="D925" i="13"/>
  <c r="C925" i="13" s="1"/>
  <c r="D924" i="13"/>
  <c r="C924" i="13" s="1"/>
  <c r="D923" i="13"/>
  <c r="C923" i="13" s="1"/>
  <c r="D922" i="13"/>
  <c r="C922" i="13" s="1"/>
  <c r="D921" i="13"/>
  <c r="D920" i="13"/>
  <c r="C920" i="13" s="1"/>
  <c r="D919" i="13"/>
  <c r="C919" i="13" s="1"/>
  <c r="D918" i="13"/>
  <c r="C918" i="13" s="1"/>
  <c r="D917" i="13"/>
  <c r="C917" i="13" s="1"/>
  <c r="D916" i="13"/>
  <c r="C916" i="13" s="1"/>
  <c r="D914" i="13"/>
  <c r="C914" i="13" s="1"/>
  <c r="D912" i="13"/>
  <c r="C912" i="13" s="1"/>
  <c r="D910" i="13"/>
  <c r="C910" i="13" s="1"/>
  <c r="D909" i="13"/>
  <c r="C909" i="13" s="1"/>
  <c r="D908" i="13"/>
  <c r="C908" i="13" s="1"/>
  <c r="D907" i="13"/>
  <c r="C907" i="13" s="1"/>
  <c r="D905" i="13"/>
  <c r="D904" i="13"/>
  <c r="D889" i="13"/>
  <c r="C889" i="13" s="1"/>
  <c r="D884" i="13"/>
  <c r="D862" i="13"/>
  <c r="D860" i="13"/>
  <c r="D859" i="13"/>
  <c r="C859" i="13" s="1"/>
  <c r="D851" i="13"/>
  <c r="D849" i="13"/>
  <c r="D847" i="13"/>
  <c r="C847" i="13" s="1"/>
  <c r="D845" i="13"/>
  <c r="C845" i="13" s="1"/>
  <c r="D844" i="13"/>
  <c r="D837" i="13"/>
  <c r="C837" i="13" s="1"/>
  <c r="C836" i="13" s="1"/>
  <c r="D831" i="13"/>
  <c r="D827" i="13"/>
  <c r="C827" i="13" s="1"/>
  <c r="D826" i="13"/>
  <c r="D351" i="13"/>
  <c r="D350" i="13" s="1"/>
  <c r="D822" i="13"/>
  <c r="D821" i="13"/>
  <c r="D818" i="13"/>
  <c r="D816" i="13"/>
  <c r="D813" i="13"/>
  <c r="C813" i="13" s="1"/>
  <c r="D814" i="13"/>
  <c r="C814" i="13" s="1"/>
  <c r="D812" i="13"/>
  <c r="C812" i="13" s="1"/>
  <c r="D811" i="13"/>
  <c r="D809" i="13"/>
  <c r="C809" i="13" s="1"/>
  <c r="D808" i="13"/>
  <c r="D806" i="13"/>
  <c r="D799" i="13"/>
  <c r="C799" i="13" s="1"/>
  <c r="D798" i="13"/>
  <c r="D793" i="13"/>
  <c r="D792" i="13"/>
  <c r="C792" i="13" s="1"/>
  <c r="D791" i="13"/>
  <c r="D784" i="13"/>
  <c r="C784" i="13" s="1"/>
  <c r="D783" i="13"/>
  <c r="C783" i="13" s="1"/>
  <c r="D782" i="13"/>
  <c r="C782" i="13" s="1"/>
  <c r="D779" i="13"/>
  <c r="C779" i="13" s="1"/>
  <c r="D778" i="13"/>
  <c r="C778" i="13" s="1"/>
  <c r="D777" i="13"/>
  <c r="D776" i="13"/>
  <c r="C776" i="13" s="1"/>
  <c r="D771" i="13"/>
  <c r="C771" i="13" s="1"/>
  <c r="D770" i="13"/>
  <c r="C770" i="13" s="1"/>
  <c r="D769" i="13"/>
  <c r="C769" i="13" s="1"/>
  <c r="D768" i="13"/>
  <c r="C768" i="13" s="1"/>
  <c r="D767" i="13"/>
  <c r="D765" i="13"/>
  <c r="C765" i="13" s="1"/>
  <c r="D764" i="13"/>
  <c r="C764" i="13" s="1"/>
  <c r="D762" i="13"/>
  <c r="D760" i="13"/>
  <c r="C760" i="13" s="1"/>
  <c r="D759" i="13"/>
  <c r="D742" i="13"/>
  <c r="C742" i="13" s="1"/>
  <c r="D733" i="13"/>
  <c r="D728" i="13"/>
  <c r="D727" i="13" s="1"/>
  <c r="D726" i="13"/>
  <c r="D725" i="13"/>
  <c r="D714" i="13"/>
  <c r="C714" i="13" s="1"/>
  <c r="D710" i="13"/>
  <c r="D708" i="13"/>
  <c r="D707" i="13"/>
  <c r="D706" i="13"/>
  <c r="C706" i="13" s="1"/>
  <c r="D705" i="13"/>
  <c r="D694" i="13"/>
  <c r="C694" i="13" s="1"/>
  <c r="D693" i="13"/>
  <c r="C693" i="13" s="1"/>
  <c r="D692" i="13"/>
  <c r="C692" i="13" s="1"/>
  <c r="D691" i="13"/>
  <c r="C691" i="13" s="1"/>
  <c r="D690" i="13"/>
  <c r="C690" i="13" s="1"/>
  <c r="D677" i="13"/>
  <c r="C677" i="13" s="1"/>
  <c r="D676" i="13"/>
  <c r="C676" i="13" s="1"/>
  <c r="D689" i="13"/>
  <c r="C689" i="13" s="1"/>
  <c r="D688" i="13"/>
  <c r="C688" i="13" s="1"/>
  <c r="D687" i="13"/>
  <c r="C687" i="13" s="1"/>
  <c r="D686" i="13"/>
  <c r="C686" i="13" s="1"/>
  <c r="D685" i="13"/>
  <c r="C685" i="13" s="1"/>
  <c r="D684" i="13"/>
  <c r="C684" i="13" s="1"/>
  <c r="D683" i="13"/>
  <c r="C683" i="13" s="1"/>
  <c r="D682" i="13"/>
  <c r="D681" i="13"/>
  <c r="C681" i="13" s="1"/>
  <c r="D680" i="13"/>
  <c r="C680" i="13" s="1"/>
  <c r="D679" i="13"/>
  <c r="C679" i="13" s="1"/>
  <c r="D678" i="13"/>
  <c r="C678" i="13" s="1"/>
  <c r="D672" i="13"/>
  <c r="C672" i="13" s="1"/>
  <c r="D675" i="13"/>
  <c r="C675" i="13" s="1"/>
  <c r="D674" i="13"/>
  <c r="C674" i="13" s="1"/>
  <c r="D673" i="13"/>
  <c r="C673" i="13" s="1"/>
  <c r="D669" i="13"/>
  <c r="C669" i="13" s="1"/>
  <c r="D666" i="13"/>
  <c r="C666" i="13" s="1"/>
  <c r="D665" i="13"/>
  <c r="C665" i="13" s="1"/>
  <c r="D664" i="13"/>
  <c r="C664" i="13" s="1"/>
  <c r="D663" i="13"/>
  <c r="C663" i="13" s="1"/>
  <c r="D657" i="13"/>
  <c r="C657" i="13" s="1"/>
  <c r="D655" i="13"/>
  <c r="C655" i="13" s="1"/>
  <c r="D656" i="13"/>
  <c r="C656" i="13" s="1"/>
  <c r="D645" i="13"/>
  <c r="C645" i="13" s="1"/>
  <c r="D644" i="13"/>
  <c r="C644" i="13" s="1"/>
  <c r="D643" i="13"/>
  <c r="C643" i="13" s="1"/>
  <c r="D641" i="13"/>
  <c r="C641" i="13" s="1"/>
  <c r="D640" i="13"/>
  <c r="C640" i="13" s="1"/>
  <c r="D636" i="13"/>
  <c r="C636" i="13" s="1"/>
  <c r="D639" i="13"/>
  <c r="C639" i="13" s="1"/>
  <c r="D638" i="13"/>
  <c r="C638" i="13" s="1"/>
  <c r="D637" i="13"/>
  <c r="C637" i="13" s="1"/>
  <c r="D633" i="13"/>
  <c r="C633" i="13" s="1"/>
  <c r="D632" i="13"/>
  <c r="C632" i="13" s="1"/>
  <c r="D631" i="13"/>
  <c r="C631" i="13" s="1"/>
  <c r="D630" i="13"/>
  <c r="C630" i="13" s="1"/>
  <c r="D628" i="13"/>
  <c r="C628" i="13" s="1"/>
  <c r="D627" i="13"/>
  <c r="C627" i="13" s="1"/>
  <c r="D626" i="13"/>
  <c r="C626" i="13" s="1"/>
  <c r="D625" i="13"/>
  <c r="C625" i="13" s="1"/>
  <c r="D623" i="13"/>
  <c r="C623" i="13" s="1"/>
  <c r="D622" i="13"/>
  <c r="C622" i="13" s="1"/>
  <c r="D621" i="13"/>
  <c r="C621" i="13" s="1"/>
  <c r="D620" i="13"/>
  <c r="C620" i="13" s="1"/>
  <c r="D618" i="13"/>
  <c r="C618" i="13" s="1"/>
  <c r="D617" i="13"/>
  <c r="C617" i="13" s="1"/>
  <c r="D616" i="13"/>
  <c r="C616" i="13" s="1"/>
  <c r="D615" i="13"/>
  <c r="C615" i="13" s="1"/>
  <c r="D614" i="13"/>
  <c r="C614" i="13" s="1"/>
  <c r="D612" i="13"/>
  <c r="D613" i="13"/>
  <c r="C613" i="13" s="1"/>
  <c r="D611" i="13"/>
  <c r="C611" i="13" s="1"/>
  <c r="D610" i="13"/>
  <c r="C610" i="13" s="1"/>
  <c r="D605" i="13"/>
  <c r="C605" i="13" s="1"/>
  <c r="D606" i="13"/>
  <c r="C606" i="13" s="1"/>
  <c r="D604" i="13"/>
  <c r="C604" i="13" s="1"/>
  <c r="D599" i="13"/>
  <c r="C599" i="13" s="1"/>
  <c r="D598" i="13"/>
  <c r="C598" i="13" s="1"/>
  <c r="D597" i="13"/>
  <c r="C597" i="13" s="1"/>
  <c r="D592" i="13"/>
  <c r="C592" i="13" s="1"/>
  <c r="D591" i="13"/>
  <c r="C591" i="13" s="1"/>
  <c r="D590" i="13"/>
  <c r="C590" i="13" s="1"/>
  <c r="D589" i="13"/>
  <c r="C589" i="13" s="1"/>
  <c r="D588" i="13"/>
  <c r="C588" i="13" s="1"/>
  <c r="D587" i="13"/>
  <c r="C587" i="13" s="1"/>
  <c r="D586" i="13"/>
  <c r="C586" i="13" s="1"/>
  <c r="D577" i="13"/>
  <c r="C577" i="13" s="1"/>
  <c r="D576" i="13"/>
  <c r="C576" i="13" s="1"/>
  <c r="D574" i="13"/>
  <c r="C574" i="13" s="1"/>
  <c r="D573" i="13"/>
  <c r="C573" i="13" s="1"/>
  <c r="D572" i="13"/>
  <c r="C572" i="13" s="1"/>
  <c r="D571" i="13"/>
  <c r="C571" i="13" s="1"/>
  <c r="D570" i="13"/>
  <c r="C570" i="13" s="1"/>
  <c r="D568" i="13"/>
  <c r="C568" i="13" s="1"/>
  <c r="D567" i="13"/>
  <c r="C567" i="13" s="1"/>
  <c r="D566" i="13"/>
  <c r="C566" i="13" s="1"/>
  <c r="D565" i="13"/>
  <c r="C565" i="13" s="1"/>
  <c r="D564" i="13"/>
  <c r="C564" i="13" s="1"/>
  <c r="D563" i="13"/>
  <c r="C563" i="13" s="1"/>
  <c r="D562" i="13"/>
  <c r="C562" i="13" s="1"/>
  <c r="D561" i="13"/>
  <c r="C561" i="13" s="1"/>
  <c r="D558" i="13"/>
  <c r="C558" i="13" s="1"/>
  <c r="D557" i="13"/>
  <c r="C557" i="13" s="1"/>
  <c r="D556" i="13"/>
  <c r="C556" i="13" s="1"/>
  <c r="D560" i="13"/>
  <c r="C560" i="13" s="1"/>
  <c r="D559" i="13"/>
  <c r="C559" i="13" s="1"/>
  <c r="D551" i="13"/>
  <c r="C551" i="13" s="1"/>
  <c r="D548" i="13"/>
  <c r="C548" i="13" s="1"/>
  <c r="D547" i="13"/>
  <c r="C547" i="13" s="1"/>
  <c r="D544" i="13"/>
  <c r="C544" i="13" s="1"/>
  <c r="D539" i="13"/>
  <c r="C539" i="13" s="1"/>
  <c r="D538" i="13"/>
  <c r="C538" i="13" s="1"/>
  <c r="D537" i="13"/>
  <c r="C537" i="13" s="1"/>
  <c r="D543" i="13"/>
  <c r="C543" i="13" s="1"/>
  <c r="D542" i="13"/>
  <c r="C542" i="13" s="1"/>
  <c r="D541" i="13"/>
  <c r="C541" i="13" s="1"/>
  <c r="D540" i="13"/>
  <c r="C540" i="13" s="1"/>
  <c r="D536" i="13"/>
  <c r="C536" i="13" s="1"/>
  <c r="D535" i="13"/>
  <c r="C535" i="13" s="1"/>
  <c r="D534" i="13"/>
  <c r="C534" i="13" s="1"/>
  <c r="D518" i="13"/>
  <c r="C518" i="13" s="1"/>
  <c r="D532" i="13"/>
  <c r="C532" i="13" s="1"/>
  <c r="D531" i="13"/>
  <c r="C531" i="13" s="1"/>
  <c r="D530" i="13"/>
  <c r="C530" i="13" s="1"/>
  <c r="D529" i="13"/>
  <c r="C529" i="13" s="1"/>
  <c r="D528" i="13"/>
  <c r="C528" i="13" s="1"/>
  <c r="D527" i="13"/>
  <c r="C527" i="13" s="1"/>
  <c r="D526" i="13"/>
  <c r="C526" i="13" s="1"/>
  <c r="D525" i="13"/>
  <c r="C525" i="13" s="1"/>
  <c r="D524" i="13"/>
  <c r="C524" i="13" s="1"/>
  <c r="D523" i="13"/>
  <c r="C523" i="13" s="1"/>
  <c r="D522" i="13"/>
  <c r="C522" i="13" s="1"/>
  <c r="D521" i="13"/>
  <c r="C521" i="13" s="1"/>
  <c r="D520" i="13"/>
  <c r="C520" i="13" s="1"/>
  <c r="D519" i="13"/>
  <c r="C519" i="13" s="1"/>
  <c r="D517" i="13"/>
  <c r="C517" i="13" s="1"/>
  <c r="D516" i="13"/>
  <c r="C516" i="13" s="1"/>
  <c r="D501" i="13"/>
  <c r="C501" i="13" s="1"/>
  <c r="D500" i="13"/>
  <c r="C500" i="13" s="1"/>
  <c r="D499" i="13"/>
  <c r="C499" i="13" s="1"/>
  <c r="D498" i="13"/>
  <c r="C498" i="13" s="1"/>
  <c r="D497" i="13"/>
  <c r="C497" i="13" s="1"/>
  <c r="D496" i="13"/>
  <c r="C496" i="13" s="1"/>
  <c r="D495" i="13"/>
  <c r="C495" i="13" s="1"/>
  <c r="D494" i="13"/>
  <c r="D489" i="13"/>
  <c r="C489" i="13" s="1"/>
  <c r="D488" i="13"/>
  <c r="C488" i="13" s="1"/>
  <c r="D487" i="13"/>
  <c r="C487" i="13" s="1"/>
  <c r="D486" i="13"/>
  <c r="C486" i="13" s="1"/>
  <c r="D485" i="13"/>
  <c r="C485" i="13" s="1"/>
  <c r="D484" i="13"/>
  <c r="D483" i="13"/>
  <c r="C483" i="13" s="1"/>
  <c r="D477" i="13"/>
  <c r="C477" i="13" s="1"/>
  <c r="D475" i="13"/>
  <c r="C475" i="13" s="1"/>
  <c r="D474" i="13"/>
  <c r="C474" i="13" s="1"/>
  <c r="D473" i="13"/>
  <c r="C473" i="13" s="1"/>
  <c r="D472" i="13"/>
  <c r="C472" i="13" s="1"/>
  <c r="D471" i="13"/>
  <c r="C471" i="13" s="1"/>
  <c r="D469" i="13"/>
  <c r="D468" i="13"/>
  <c r="C468" i="13" s="1"/>
  <c r="D467" i="13"/>
  <c r="C467" i="13" s="1"/>
  <c r="D465" i="13"/>
  <c r="C465" i="13" s="1"/>
  <c r="D461" i="13"/>
  <c r="C461" i="13" s="1"/>
  <c r="D460" i="13"/>
  <c r="C460" i="13" s="1"/>
  <c r="D459" i="13"/>
  <c r="C459" i="13" s="1"/>
  <c r="D452" i="13"/>
  <c r="C452" i="13" s="1"/>
  <c r="D451" i="13"/>
  <c r="D447" i="13"/>
  <c r="D446" i="13" s="1"/>
  <c r="D445" i="13"/>
  <c r="C445" i="13" s="1"/>
  <c r="D444" i="13"/>
  <c r="C444" i="13" s="1"/>
  <c r="D442" i="13"/>
  <c r="D428" i="13"/>
  <c r="D424" i="13"/>
  <c r="D423" i="13" s="1"/>
  <c r="D422" i="13"/>
  <c r="D421" i="13"/>
  <c r="D418" i="13"/>
  <c r="D412" i="13"/>
  <c r="D402" i="13"/>
  <c r="D401" i="13"/>
  <c r="D399" i="13"/>
  <c r="D386" i="13"/>
  <c r="D384" i="13"/>
  <c r="D381" i="13"/>
  <c r="D380" i="13" s="1"/>
  <c r="D379" i="13"/>
  <c r="C379" i="13" s="1"/>
  <c r="D378" i="13"/>
  <c r="C378" i="13" s="1"/>
  <c r="D377" i="13"/>
  <c r="C377" i="13" s="1"/>
  <c r="D376" i="13"/>
  <c r="C376" i="13" s="1"/>
  <c r="D375" i="13"/>
  <c r="C375" i="13" s="1"/>
  <c r="D374" i="13"/>
  <c r="D840" i="13"/>
  <c r="D372" i="13"/>
  <c r="D371" i="13"/>
  <c r="D368" i="13"/>
  <c r="C368" i="13" s="1"/>
  <c r="D367" i="13"/>
  <c r="C367" i="13" s="1"/>
  <c r="D366" i="13"/>
  <c r="D362" i="13"/>
  <c r="D361" i="13" s="1"/>
  <c r="D360" i="13"/>
  <c r="C360" i="13" s="1"/>
  <c r="D359" i="13"/>
  <c r="D355" i="13"/>
  <c r="C355" i="13" s="1"/>
  <c r="D353" i="13"/>
  <c r="D349" i="13"/>
  <c r="D347" i="13"/>
  <c r="C347" i="13" s="1"/>
  <c r="D346" i="13"/>
  <c r="C346" i="13" s="1"/>
  <c r="D345" i="13"/>
  <c r="C345" i="13" s="1"/>
  <c r="D342" i="13"/>
  <c r="C342" i="13" s="1"/>
  <c r="D341" i="13"/>
  <c r="D338" i="13"/>
  <c r="C338" i="13" s="1"/>
  <c r="D337" i="13"/>
  <c r="C337" i="13" s="1"/>
  <c r="D335" i="13"/>
  <c r="D331" i="13"/>
  <c r="C331" i="13" s="1"/>
  <c r="D330" i="13"/>
  <c r="D325" i="13"/>
  <c r="C325" i="13" s="1"/>
  <c r="D324" i="13"/>
  <c r="C324" i="13" s="1"/>
  <c r="D319" i="13"/>
  <c r="C319" i="13" s="1"/>
  <c r="D318" i="13"/>
  <c r="C318" i="13" s="1"/>
  <c r="D317" i="13"/>
  <c r="D315" i="13"/>
  <c r="D314" i="13" s="1"/>
  <c r="D312" i="13"/>
  <c r="C312" i="13" s="1"/>
  <c r="D311" i="13"/>
  <c r="D310" i="13"/>
  <c r="C310" i="13" s="1"/>
  <c r="D309" i="13"/>
  <c r="C309" i="13" s="1"/>
  <c r="D308" i="13"/>
  <c r="C308" i="13" s="1"/>
  <c r="D306" i="13"/>
  <c r="C306" i="13" s="1"/>
  <c r="D307" i="13"/>
  <c r="C307" i="13" s="1"/>
  <c r="D305" i="13"/>
  <c r="C305" i="13" s="1"/>
  <c r="D303" i="13"/>
  <c r="C303" i="13" s="1"/>
  <c r="D302" i="13"/>
  <c r="C302" i="13" s="1"/>
  <c r="D301" i="13"/>
  <c r="C301" i="13" s="1"/>
  <c r="D298" i="13"/>
  <c r="C298" i="13" s="1"/>
  <c r="D296" i="13"/>
  <c r="C296" i="13" s="1"/>
  <c r="D294" i="13"/>
  <c r="D293" i="13"/>
  <c r="D283" i="13"/>
  <c r="C283" i="13" s="1"/>
  <c r="D749" i="13"/>
  <c r="C749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70" i="13"/>
  <c r="C670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654" i="13"/>
  <c r="C654" i="13" s="1"/>
  <c r="D648" i="13"/>
  <c r="C648" i="13" s="1"/>
  <c r="D646" i="13"/>
  <c r="C646" i="13" s="1"/>
  <c r="D217" i="13"/>
  <c r="C217" i="13" s="1"/>
  <c r="D216" i="13"/>
  <c r="C216" i="13" s="1"/>
  <c r="D215" i="13"/>
  <c r="C215" i="13" s="1"/>
  <c r="D635" i="13"/>
  <c r="C635" i="13" s="1"/>
  <c r="D214" i="13"/>
  <c r="D213" i="13"/>
  <c r="D629" i="13"/>
  <c r="C629" i="13" s="1"/>
  <c r="D210" i="13"/>
  <c r="C210" i="13" s="1"/>
  <c r="D209" i="13"/>
  <c r="C209" i="13" s="1"/>
  <c r="D609" i="13"/>
  <c r="C609" i="13" s="1"/>
  <c r="D204" i="13"/>
  <c r="C204" i="13" s="1"/>
  <c r="D603" i="13"/>
  <c r="C603" i="13" s="1"/>
  <c r="D601" i="13"/>
  <c r="C601" i="13" s="1"/>
  <c r="D203" i="13"/>
  <c r="D202" i="13"/>
  <c r="C202" i="13" s="1"/>
  <c r="D201" i="13"/>
  <c r="C201" i="13" s="1"/>
  <c r="D595" i="13"/>
  <c r="C595" i="13" s="1"/>
  <c r="D200" i="13"/>
  <c r="C200" i="13" s="1"/>
  <c r="D594" i="13"/>
  <c r="C594" i="13" s="1"/>
  <c r="D593" i="13"/>
  <c r="C593" i="13" s="1"/>
  <c r="D199" i="13"/>
  <c r="D1011" i="13"/>
  <c r="D584" i="13"/>
  <c r="C584" i="13" s="1"/>
  <c r="D583" i="13"/>
  <c r="C583" i="13" s="1"/>
  <c r="D196" i="13"/>
  <c r="D195" i="13"/>
  <c r="C195" i="13" s="1"/>
  <c r="D193" i="13"/>
  <c r="C193" i="13" s="1"/>
  <c r="D552" i="13"/>
  <c r="C552" i="13" s="1"/>
  <c r="D186" i="13"/>
  <c r="C186" i="13" s="1"/>
  <c r="D185" i="13"/>
  <c r="C185" i="13" s="1"/>
  <c r="D549" i="13"/>
  <c r="C549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502" i="13"/>
  <c r="C502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478" i="13"/>
  <c r="C478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464" i="13"/>
  <c r="C464" i="13" s="1"/>
  <c r="D463" i="13"/>
  <c r="C463" i="13" s="1"/>
  <c r="D462" i="13"/>
  <c r="C462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85" i="13"/>
  <c r="C385" i="13" s="1"/>
  <c r="D71" i="13"/>
  <c r="D73" i="13"/>
  <c r="D69" i="13"/>
  <c r="D70" i="13"/>
  <c r="D383" i="13"/>
  <c r="D67" i="13"/>
  <c r="D66" i="13" s="1"/>
  <c r="D65" i="13"/>
  <c r="D64" i="13" s="1"/>
  <c r="D63" i="13"/>
  <c r="C63" i="13" s="1"/>
  <c r="D62" i="13"/>
  <c r="D58" i="13"/>
  <c r="C58" i="13" s="1"/>
  <c r="C57" i="13" s="1"/>
  <c r="D56" i="13"/>
  <c r="D54" i="13"/>
  <c r="D53" i="13" s="1"/>
  <c r="D52" i="13"/>
  <c r="D51" i="13"/>
  <c r="D50" i="13"/>
  <c r="D48" i="13"/>
  <c r="D354" i="13"/>
  <c r="C354" i="13" s="1"/>
  <c r="D46" i="13"/>
  <c r="D45" i="13" s="1"/>
  <c r="D44" i="13"/>
  <c r="D43" i="13" s="1"/>
  <c r="D42" i="13"/>
  <c r="D41" i="13"/>
  <c r="D40" i="13"/>
  <c r="D39" i="13"/>
  <c r="D339" i="13"/>
  <c r="C339" i="13" s="1"/>
  <c r="D37" i="13"/>
  <c r="C37" i="13" s="1"/>
  <c r="D36" i="13"/>
  <c r="C36" i="13" s="1"/>
  <c r="D329" i="13"/>
  <c r="D34" i="13"/>
  <c r="D33" i="13" s="1"/>
  <c r="D32" i="13"/>
  <c r="C32" i="13" s="1"/>
  <c r="D31" i="13"/>
  <c r="D321" i="13"/>
  <c r="D320" i="13" s="1"/>
  <c r="D27" i="13"/>
  <c r="D26" i="13" s="1"/>
  <c r="D25" i="13"/>
  <c r="D24" i="13" s="1"/>
  <c r="O8" i="13" l="1"/>
  <c r="C840" i="13"/>
  <c r="D838" i="13"/>
  <c r="D825" i="13"/>
  <c r="Q8" i="13"/>
  <c r="M8" i="13"/>
  <c r="K8" i="13"/>
  <c r="D369" i="13"/>
  <c r="C349" i="13"/>
  <c r="C348" i="13" s="1"/>
  <c r="D348" i="13"/>
  <c r="D358" i="13"/>
  <c r="D365" i="13"/>
  <c r="D450" i="13"/>
  <c r="D328" i="13"/>
  <c r="D316" i="13"/>
  <c r="D352" i="13"/>
  <c r="D373" i="13"/>
  <c r="U8" i="13"/>
  <c r="T8" i="13"/>
  <c r="C35" i="13"/>
  <c r="D1137" i="13"/>
  <c r="C293" i="13"/>
  <c r="C317" i="13"/>
  <c r="C316" i="13" s="1"/>
  <c r="C353" i="13"/>
  <c r="C352" i="13" s="1"/>
  <c r="C371" i="13"/>
  <c r="C1131" i="13"/>
  <c r="C1130" i="13" s="1"/>
  <c r="D1130" i="13"/>
  <c r="C315" i="13"/>
  <c r="C314" i="13" s="1"/>
  <c r="C733" i="13"/>
  <c r="C806" i="13"/>
  <c r="C805" i="13" s="1"/>
  <c r="D805" i="13"/>
  <c r="C826" i="13"/>
  <c r="C825" i="13" s="1"/>
  <c r="C844" i="13"/>
  <c r="C1123" i="13"/>
  <c r="D817" i="13"/>
  <c r="C362" i="13"/>
  <c r="C361" i="13" s="1"/>
  <c r="C374" i="13"/>
  <c r="C373" i="13" s="1"/>
  <c r="C341" i="13"/>
  <c r="C381" i="13"/>
  <c r="C380" i="13" s="1"/>
  <c r="C451" i="13"/>
  <c r="C450" i="13" s="1"/>
  <c r="C728" i="13"/>
  <c r="C727" i="13" s="1"/>
  <c r="C791" i="13"/>
  <c r="D790" i="13"/>
  <c r="C811" i="13"/>
  <c r="C810" i="13" s="1"/>
  <c r="D810" i="13"/>
  <c r="C816" i="13"/>
  <c r="C815" i="13" s="1"/>
  <c r="D815" i="13"/>
  <c r="D836" i="13"/>
  <c r="C849" i="13"/>
  <c r="C848" i="13" s="1"/>
  <c r="D848" i="13"/>
  <c r="C808" i="13"/>
  <c r="C807" i="13" s="1"/>
  <c r="D807" i="13"/>
  <c r="C330" i="13"/>
  <c r="C428" i="13"/>
  <c r="C447" i="13"/>
  <c r="C446" i="13" s="1"/>
  <c r="C759" i="13"/>
  <c r="C758" i="13" s="1"/>
  <c r="D758" i="13"/>
  <c r="C798" i="13"/>
  <c r="C797" i="13" s="1"/>
  <c r="D797" i="13"/>
  <c r="C831" i="13"/>
  <c r="C830" i="13" s="1"/>
  <c r="D830" i="13"/>
  <c r="C904" i="13"/>
  <c r="C1119" i="13"/>
  <c r="C50" i="13"/>
  <c r="D49" i="13"/>
  <c r="C62" i="13"/>
  <c r="C61" i="13" s="1"/>
  <c r="D61" i="13"/>
  <c r="C383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256" i="13"/>
  <c r="C255" i="13" s="1"/>
  <c r="D255" i="13"/>
  <c r="C335" i="13"/>
  <c r="C351" i="13"/>
  <c r="C350" i="13" s="1"/>
  <c r="C705" i="13"/>
  <c r="C44" i="13"/>
  <c r="C43" i="13" s="1"/>
  <c r="C321" i="13"/>
  <c r="C320" i="13" s="1"/>
  <c r="C838" i="13" l="1"/>
  <c r="V838" i="13" s="1"/>
  <c r="I1134" i="13"/>
  <c r="G1134" i="13"/>
  <c r="F1134" i="13"/>
  <c r="E1134" i="13"/>
  <c r="H1134" i="13"/>
  <c r="I1132" i="13"/>
  <c r="G1132" i="13"/>
  <c r="F1132" i="13"/>
  <c r="E1132" i="13"/>
  <c r="H1132" i="13"/>
  <c r="I1122" i="13"/>
  <c r="H1122" i="13"/>
  <c r="G1122" i="13"/>
  <c r="F1122" i="13"/>
  <c r="E1122" i="13"/>
  <c r="I1118" i="13"/>
  <c r="H1118" i="13"/>
  <c r="G1118" i="13"/>
  <c r="F1118" i="13"/>
  <c r="E1118" i="13"/>
  <c r="I1114" i="13"/>
  <c r="H1114" i="13"/>
  <c r="G1114" i="13"/>
  <c r="F1114" i="13"/>
  <c r="E1114" i="13"/>
  <c r="I843" i="13"/>
  <c r="G843" i="13"/>
  <c r="F843" i="13"/>
  <c r="E843" i="13"/>
  <c r="H843" i="13"/>
  <c r="I841" i="13"/>
  <c r="H841" i="13"/>
  <c r="G841" i="13"/>
  <c r="F841" i="13"/>
  <c r="E841" i="13"/>
  <c r="I832" i="13"/>
  <c r="H832" i="13"/>
  <c r="G832" i="13"/>
  <c r="F832" i="13"/>
  <c r="E832" i="13"/>
  <c r="F800" i="13"/>
  <c r="I787" i="13"/>
  <c r="G752" i="13"/>
  <c r="G751" i="13" s="1"/>
  <c r="E751" i="13"/>
  <c r="E748" i="13"/>
  <c r="E746" i="13"/>
  <c r="E745" i="13"/>
  <c r="E744" i="13"/>
  <c r="G724" i="13"/>
  <c r="G723" i="13" s="1"/>
  <c r="G722" i="13"/>
  <c r="G721" i="13" s="1"/>
  <c r="E721" i="13"/>
  <c r="E713" i="13"/>
  <c r="E712" i="13"/>
  <c r="E698" i="13"/>
  <c r="E695" i="13" s="1"/>
  <c r="E668" i="13"/>
  <c r="E652" i="13"/>
  <c r="E642" i="13"/>
  <c r="J550" i="13"/>
  <c r="J546" i="13"/>
  <c r="J533" i="13"/>
  <c r="J508" i="13"/>
  <c r="J929" i="13"/>
  <c r="J903" i="13" s="1"/>
  <c r="J492" i="13"/>
  <c r="J491" i="13"/>
  <c r="J482" i="13"/>
  <c r="J481" i="13"/>
  <c r="J476" i="13"/>
  <c r="J470" i="13"/>
  <c r="J466" i="13"/>
  <c r="F420" i="13"/>
  <c r="F415" i="13" s="1"/>
  <c r="E415" i="13"/>
  <c r="G357" i="13"/>
  <c r="G356" i="13" s="1"/>
  <c r="F357" i="13"/>
  <c r="F356" i="13" s="1"/>
  <c r="J313" i="13"/>
  <c r="J297" i="13"/>
  <c r="E291" i="13"/>
  <c r="J295" i="13"/>
  <c r="J291" i="13" l="1"/>
  <c r="E704" i="13"/>
  <c r="E866" i="13"/>
  <c r="E1145" i="13"/>
  <c r="E900" i="13"/>
  <c r="E903" i="13"/>
  <c r="I900" i="13"/>
  <c r="E787" i="13"/>
  <c r="G900" i="13"/>
  <c r="F787" i="13"/>
  <c r="H787" i="13"/>
  <c r="H800" i="13"/>
  <c r="F900" i="13"/>
  <c r="G787" i="13"/>
  <c r="H850" i="13"/>
  <c r="H900" i="13"/>
  <c r="I1163" i="13"/>
  <c r="H1163" i="13"/>
  <c r="D1040" i="13"/>
  <c r="C1040" i="13" s="1"/>
  <c r="D698" i="13"/>
  <c r="D745" i="13"/>
  <c r="C745" i="13" s="1"/>
  <c r="H761" i="13"/>
  <c r="D781" i="13"/>
  <c r="C781" i="13" s="1"/>
  <c r="D1002" i="13"/>
  <c r="C1002" i="13" s="1"/>
  <c r="D711" i="13"/>
  <c r="C711" i="13" s="1"/>
  <c r="D1151" i="13"/>
  <c r="C1151" i="13" s="1"/>
  <c r="D1147" i="13"/>
  <c r="D420" i="13"/>
  <c r="D652" i="13"/>
  <c r="C652" i="13" s="1"/>
  <c r="D662" i="13"/>
  <c r="C662" i="13" s="1"/>
  <c r="D739" i="13"/>
  <c r="C739" i="13" s="1"/>
  <c r="D746" i="13"/>
  <c r="C746" i="13" s="1"/>
  <c r="I761" i="13"/>
  <c r="D858" i="13"/>
  <c r="D865" i="13"/>
  <c r="C865" i="13" s="1"/>
  <c r="D963" i="13"/>
  <c r="C963" i="13" s="1"/>
  <c r="D1070" i="13"/>
  <c r="C1070" i="13" s="1"/>
  <c r="G1163" i="13"/>
  <c r="D1115" i="13"/>
  <c r="D709" i="13"/>
  <c r="D722" i="13"/>
  <c r="D721" i="13" s="1"/>
  <c r="D846" i="13"/>
  <c r="D1124" i="13"/>
  <c r="D1135" i="13"/>
  <c r="D1150" i="13"/>
  <c r="D602" i="13"/>
  <c r="D642" i="13"/>
  <c r="C642" i="13" s="1"/>
  <c r="D661" i="13"/>
  <c r="D697" i="13"/>
  <c r="C697" i="13" s="1"/>
  <c r="D738" i="13"/>
  <c r="C738" i="13" s="1"/>
  <c r="D744" i="13"/>
  <c r="C744" i="13" s="1"/>
  <c r="G761" i="13"/>
  <c r="D780" i="13"/>
  <c r="C780" i="13" s="1"/>
  <c r="D803" i="13"/>
  <c r="C803" i="13" s="1"/>
  <c r="D857" i="13"/>
  <c r="D864" i="13"/>
  <c r="D873" i="13"/>
  <c r="C873" i="13" s="1"/>
  <c r="D942" i="13"/>
  <c r="C942" i="13" s="1"/>
  <c r="D996" i="13"/>
  <c r="C996" i="13" s="1"/>
  <c r="D1046" i="13"/>
  <c r="C1046" i="13" s="1"/>
  <c r="D1099" i="13"/>
  <c r="C1099" i="13" s="1"/>
  <c r="D1153" i="13"/>
  <c r="C1153" i="13" s="1"/>
  <c r="D1155" i="13"/>
  <c r="C1155" i="13" s="1"/>
  <c r="D1158" i="13"/>
  <c r="C1158" i="13" s="1"/>
  <c r="D833" i="13"/>
  <c r="D852" i="13"/>
  <c r="D901" i="13"/>
  <c r="D357" i="13"/>
  <c r="D356" i="13" s="1"/>
  <c r="D696" i="13"/>
  <c r="D724" i="13"/>
  <c r="D723" i="13" s="1"/>
  <c r="D788" i="13"/>
  <c r="D913" i="13"/>
  <c r="D1120" i="13"/>
  <c r="D1133" i="13"/>
  <c r="D902" i="13"/>
  <c r="C902" i="13" s="1"/>
  <c r="D476" i="13"/>
  <c r="C476" i="13" s="1"/>
  <c r="D466" i="13"/>
  <c r="C466" i="13" s="1"/>
  <c r="D482" i="13"/>
  <c r="C482" i="13" s="1"/>
  <c r="D619" i="13"/>
  <c r="C619" i="13" s="1"/>
  <c r="D660" i="13"/>
  <c r="C660" i="13" s="1"/>
  <c r="D703" i="13"/>
  <c r="C703" i="13" s="1"/>
  <c r="D713" i="13"/>
  <c r="C713" i="13" s="1"/>
  <c r="D737" i="13"/>
  <c r="C737" i="13" s="1"/>
  <c r="D741" i="13"/>
  <c r="C741" i="13" s="1"/>
  <c r="D748" i="13"/>
  <c r="C748" i="13" s="1"/>
  <c r="F761" i="13"/>
  <c r="D774" i="13"/>
  <c r="C774" i="13" s="1"/>
  <c r="D802" i="13"/>
  <c r="C802" i="13" s="1"/>
  <c r="D863" i="13"/>
  <c r="D872" i="13"/>
  <c r="C872" i="13" s="1"/>
  <c r="D930" i="13"/>
  <c r="D995" i="13"/>
  <c r="C995" i="13" s="1"/>
  <c r="D1033" i="13"/>
  <c r="C1033" i="13" s="1"/>
  <c r="D1098" i="13"/>
  <c r="C1098" i="13" s="1"/>
  <c r="D1152" i="13"/>
  <c r="C1152" i="13" s="1"/>
  <c r="D1149" i="13"/>
  <c r="C1149" i="13" s="1"/>
  <c r="D1154" i="13"/>
  <c r="C1154" i="13" s="1"/>
  <c r="D1157" i="13"/>
  <c r="C1157" i="13" s="1"/>
  <c r="D752" i="13"/>
  <c r="D751" i="13" s="1"/>
  <c r="E1163" i="13"/>
  <c r="D1164" i="13"/>
  <c r="C1164" i="13" s="1"/>
  <c r="D702" i="13"/>
  <c r="D735" i="13"/>
  <c r="D766" i="13"/>
  <c r="C766" i="13" s="1"/>
  <c r="E761" i="13"/>
  <c r="D842" i="13"/>
  <c r="D870" i="13"/>
  <c r="D1041" i="13"/>
  <c r="C1041" i="13" s="1"/>
  <c r="D659" i="13"/>
  <c r="C659" i="13" s="1"/>
  <c r="D668" i="13"/>
  <c r="C668" i="13" s="1"/>
  <c r="D712" i="13"/>
  <c r="C712" i="13" s="1"/>
  <c r="D740" i="13"/>
  <c r="C740" i="13" s="1"/>
  <c r="D747" i="13"/>
  <c r="C747" i="13" s="1"/>
  <c r="D789" i="13"/>
  <c r="D853" i="13"/>
  <c r="D856" i="13"/>
  <c r="D861" i="13"/>
  <c r="D967" i="13"/>
  <c r="C967" i="13" s="1"/>
  <c r="D1028" i="13"/>
  <c r="C1028" i="13" s="1"/>
  <c r="D1097" i="13"/>
  <c r="C1097" i="13" s="1"/>
  <c r="D1148" i="13"/>
  <c r="C1148" i="13" s="1"/>
  <c r="D1156" i="13"/>
  <c r="C1156" i="13" s="1"/>
  <c r="F1163" i="13"/>
  <c r="D470" i="13"/>
  <c r="C470" i="13" s="1"/>
  <c r="D546" i="13"/>
  <c r="C546" i="13" s="1"/>
  <c r="D295" i="13"/>
  <c r="D297" i="13"/>
  <c r="C297" i="13" s="1"/>
  <c r="D481" i="13"/>
  <c r="C481" i="13" s="1"/>
  <c r="D491" i="13"/>
  <c r="C491" i="13" s="1"/>
  <c r="D929" i="13"/>
  <c r="C929" i="13" s="1"/>
  <c r="D508" i="13"/>
  <c r="C508" i="13" s="1"/>
  <c r="D313" i="13"/>
  <c r="C313" i="13" s="1"/>
  <c r="D492" i="13"/>
  <c r="C492" i="13" s="1"/>
  <c r="D533" i="13"/>
  <c r="D550" i="13"/>
  <c r="C550" i="13" s="1"/>
  <c r="D1129" i="13"/>
  <c r="C1129" i="13" s="1"/>
  <c r="J1111" i="13"/>
  <c r="J1110" i="13" s="1"/>
  <c r="I1110" i="13"/>
  <c r="H1110" i="13"/>
  <c r="G1111" i="13"/>
  <c r="G1110" i="13" s="1"/>
  <c r="F1110" i="13"/>
  <c r="E1110" i="13"/>
  <c r="J1109" i="13"/>
  <c r="J1108" i="13" s="1"/>
  <c r="I1108" i="13"/>
  <c r="H1108" i="13"/>
  <c r="G1109" i="13"/>
  <c r="G1108" i="13" s="1"/>
  <c r="F1108" i="13"/>
  <c r="E1108" i="13"/>
  <c r="J899" i="13"/>
  <c r="J898" i="13"/>
  <c r="G898" i="13"/>
  <c r="J896" i="13"/>
  <c r="G896" i="13"/>
  <c r="J895" i="13"/>
  <c r="G895" i="13"/>
  <c r="J894" i="13"/>
  <c r="G894" i="13"/>
  <c r="J893" i="13"/>
  <c r="G893" i="13"/>
  <c r="J892" i="13"/>
  <c r="G892" i="13"/>
  <c r="J887" i="13"/>
  <c r="G887" i="13"/>
  <c r="J885" i="13"/>
  <c r="G885" i="13"/>
  <c r="J881" i="13"/>
  <c r="J879" i="13" s="1"/>
  <c r="G881" i="13"/>
  <c r="G879" i="13" s="1"/>
  <c r="E879" i="13"/>
  <c r="J878" i="13"/>
  <c r="J876" i="13"/>
  <c r="G876" i="13"/>
  <c r="J877" i="13"/>
  <c r="G877" i="13"/>
  <c r="J875" i="13"/>
  <c r="G875" i="13"/>
  <c r="J855" i="13"/>
  <c r="G855" i="13"/>
  <c r="J854" i="13"/>
  <c r="G854" i="13"/>
  <c r="J801" i="13"/>
  <c r="J800" i="13" s="1"/>
  <c r="I800" i="13"/>
  <c r="G801" i="13"/>
  <c r="G800" i="13" s="1"/>
  <c r="E800" i="13"/>
  <c r="J796" i="13"/>
  <c r="G796" i="13"/>
  <c r="J795" i="13"/>
  <c r="G795" i="13"/>
  <c r="E720" i="13"/>
  <c r="D720" i="13" s="1"/>
  <c r="D719" i="13"/>
  <c r="C719" i="13" s="1"/>
  <c r="E718" i="13"/>
  <c r="E715" i="13"/>
  <c r="J658" i="13"/>
  <c r="G658" i="13"/>
  <c r="E658" i="13"/>
  <c r="J624" i="13"/>
  <c r="J458" i="13"/>
  <c r="J454" i="13"/>
  <c r="J453" i="13" s="1"/>
  <c r="G454" i="13"/>
  <c r="G453" i="13" s="1"/>
  <c r="F454" i="13"/>
  <c r="F453" i="13" s="1"/>
  <c r="J443" i="13"/>
  <c r="J441" i="13"/>
  <c r="J440" i="13"/>
  <c r="J439" i="13"/>
  <c r="J437" i="13"/>
  <c r="J436" i="13"/>
  <c r="J435" i="13"/>
  <c r="J434" i="13"/>
  <c r="J438" i="13"/>
  <c r="J432" i="13"/>
  <c r="J431" i="13"/>
  <c r="J426" i="13"/>
  <c r="J425" i="13" s="1"/>
  <c r="J419" i="13"/>
  <c r="J417" i="13"/>
  <c r="J416" i="13"/>
  <c r="J411" i="13"/>
  <c r="J410" i="13"/>
  <c r="J409" i="13"/>
  <c r="G409" i="13"/>
  <c r="E409" i="13"/>
  <c r="J408" i="13"/>
  <c r="J407" i="13"/>
  <c r="J406" i="13"/>
  <c r="J404" i="13"/>
  <c r="J403" i="13" s="1"/>
  <c r="G404" i="13"/>
  <c r="G403" i="13" s="1"/>
  <c r="J400" i="13"/>
  <c r="J397" i="13"/>
  <c r="J396" i="13"/>
  <c r="E396" i="13"/>
  <c r="J395" i="13"/>
  <c r="G395" i="13"/>
  <c r="E395" i="13"/>
  <c r="J398" i="13"/>
  <c r="G398" i="13"/>
  <c r="J393" i="13"/>
  <c r="J394" i="13"/>
  <c r="G394" i="13"/>
  <c r="J392" i="13"/>
  <c r="J391" i="13"/>
  <c r="J389" i="13"/>
  <c r="F389" i="13"/>
  <c r="J388" i="13"/>
  <c r="J387" i="13"/>
  <c r="F387" i="13"/>
  <c r="J333" i="13"/>
  <c r="J332" i="13" s="1"/>
  <c r="J327" i="13"/>
  <c r="J326" i="13" s="1"/>
  <c r="J323" i="13"/>
  <c r="J322" i="13" s="1"/>
  <c r="F323" i="13"/>
  <c r="F322" i="13" s="1"/>
  <c r="J290" i="13"/>
  <c r="F290" i="13"/>
  <c r="J287" i="13"/>
  <c r="F287" i="13"/>
  <c r="J732" i="13"/>
  <c r="J731" i="13" s="1"/>
  <c r="I731" i="13"/>
  <c r="H731" i="13"/>
  <c r="G731" i="13"/>
  <c r="F731" i="13"/>
  <c r="E731" i="13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671" i="13"/>
  <c r="J229" i="13"/>
  <c r="H229" i="13"/>
  <c r="J220" i="13"/>
  <c r="J219" i="13"/>
  <c r="J218" i="13"/>
  <c r="J650" i="13"/>
  <c r="G650" i="13"/>
  <c r="J649" i="13"/>
  <c r="G649" i="13"/>
  <c r="J647" i="13"/>
  <c r="G647" i="13"/>
  <c r="J212" i="13"/>
  <c r="H212" i="13"/>
  <c r="F212" i="13"/>
  <c r="J211" i="13"/>
  <c r="J208" i="13"/>
  <c r="H208" i="13"/>
  <c r="J207" i="13"/>
  <c r="J206" i="13"/>
  <c r="J205" i="13"/>
  <c r="J596" i="13"/>
  <c r="G596" i="13"/>
  <c r="J582" i="13"/>
  <c r="I582" i="13"/>
  <c r="H582" i="13"/>
  <c r="G582" i="13"/>
  <c r="F582" i="13"/>
  <c r="E582" i="13"/>
  <c r="J580" i="13"/>
  <c r="G580" i="13"/>
  <c r="J579" i="13"/>
  <c r="G579" i="13"/>
  <c r="J578" i="13"/>
  <c r="J194" i="13"/>
  <c r="H194" i="13"/>
  <c r="J192" i="13"/>
  <c r="J191" i="13"/>
  <c r="J190" i="13"/>
  <c r="J189" i="13"/>
  <c r="J188" i="13"/>
  <c r="H188" i="13"/>
  <c r="J553" i="13"/>
  <c r="J182" i="13"/>
  <c r="J181" i="13"/>
  <c r="J515" i="13"/>
  <c r="I515" i="13"/>
  <c r="H515" i="13"/>
  <c r="G515" i="13"/>
  <c r="F515" i="13"/>
  <c r="E515" i="13"/>
  <c r="J175" i="13"/>
  <c r="J513" i="13"/>
  <c r="I513" i="13"/>
  <c r="H513" i="13"/>
  <c r="G513" i="13"/>
  <c r="F513" i="13"/>
  <c r="E513" i="13"/>
  <c r="J512" i="13"/>
  <c r="I512" i="13"/>
  <c r="H512" i="13"/>
  <c r="G512" i="13"/>
  <c r="F512" i="13"/>
  <c r="E512" i="13"/>
  <c r="J174" i="13"/>
  <c r="J173" i="13"/>
  <c r="J172" i="13"/>
  <c r="J171" i="13"/>
  <c r="J170" i="13"/>
  <c r="J169" i="13"/>
  <c r="J168" i="13"/>
  <c r="J167" i="13"/>
  <c r="J164" i="13"/>
  <c r="J156" i="13"/>
  <c r="H156" i="13"/>
  <c r="J493" i="13"/>
  <c r="G493" i="13"/>
  <c r="E493" i="13"/>
  <c r="J155" i="13"/>
  <c r="H155" i="13"/>
  <c r="J153" i="13"/>
  <c r="J152" i="13"/>
  <c r="J151" i="13"/>
  <c r="J479" i="13"/>
  <c r="I479" i="13"/>
  <c r="I457" i="13" s="1"/>
  <c r="I285" i="13" s="1"/>
  <c r="H479" i="13"/>
  <c r="H457" i="13" s="1"/>
  <c r="G479" i="13"/>
  <c r="G457" i="13" s="1"/>
  <c r="F479" i="13"/>
  <c r="F457" i="13" s="1"/>
  <c r="E479" i="13"/>
  <c r="E457" i="13" s="1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D291" i="13" l="1"/>
  <c r="D695" i="13"/>
  <c r="F382" i="13"/>
  <c r="E405" i="13"/>
  <c r="J415" i="13"/>
  <c r="J427" i="13"/>
  <c r="E717" i="13"/>
  <c r="F286" i="13"/>
  <c r="E382" i="13"/>
  <c r="J382" i="13"/>
  <c r="J405" i="13"/>
  <c r="D701" i="13"/>
  <c r="G382" i="13"/>
  <c r="G405" i="13"/>
  <c r="D704" i="13"/>
  <c r="C661" i="13"/>
  <c r="C1163" i="13"/>
  <c r="D866" i="13"/>
  <c r="C1147" i="13"/>
  <c r="D1145" i="13"/>
  <c r="D903" i="13"/>
  <c r="G850" i="13"/>
  <c r="E68" i="13"/>
  <c r="E104" i="13"/>
  <c r="F794" i="13"/>
  <c r="J794" i="13"/>
  <c r="H882" i="13"/>
  <c r="F897" i="13"/>
  <c r="J897" i="13"/>
  <c r="I68" i="13"/>
  <c r="E96" i="13"/>
  <c r="I96" i="13"/>
  <c r="I104" i="13"/>
  <c r="H89" i="13"/>
  <c r="G244" i="13"/>
  <c r="E794" i="13"/>
  <c r="I794" i="13"/>
  <c r="E850" i="13"/>
  <c r="E897" i="13"/>
  <c r="I897" i="13"/>
  <c r="F850" i="13"/>
  <c r="I874" i="13"/>
  <c r="H96" i="13"/>
  <c r="H104" i="13"/>
  <c r="I850" i="13"/>
  <c r="C722" i="13"/>
  <c r="C721" i="13" s="1"/>
  <c r="C1120" i="13"/>
  <c r="C1118" i="13" s="1"/>
  <c r="D1118" i="13"/>
  <c r="C696" i="13"/>
  <c r="C833" i="13"/>
  <c r="C832" i="13" s="1"/>
  <c r="D832" i="13"/>
  <c r="C846" i="13"/>
  <c r="C843" i="13" s="1"/>
  <c r="D843" i="13"/>
  <c r="J237" i="13"/>
  <c r="F244" i="13"/>
  <c r="J244" i="13"/>
  <c r="J850" i="13"/>
  <c r="H874" i="13"/>
  <c r="E1127" i="13"/>
  <c r="C913" i="13"/>
  <c r="C1150" i="13"/>
  <c r="C295" i="13"/>
  <c r="C842" i="13"/>
  <c r="C841" i="13" s="1"/>
  <c r="D841" i="13"/>
  <c r="C702" i="13"/>
  <c r="C701" i="13" s="1"/>
  <c r="C1133" i="13"/>
  <c r="C1132" i="13" s="1"/>
  <c r="D1132" i="13"/>
  <c r="C1124" i="13"/>
  <c r="C1122" i="13" s="1"/>
  <c r="D1122" i="13"/>
  <c r="C1115" i="13"/>
  <c r="C1114" i="13" s="1"/>
  <c r="D1114" i="13"/>
  <c r="F89" i="13"/>
  <c r="H794" i="13"/>
  <c r="G874" i="13"/>
  <c r="J882" i="13"/>
  <c r="H897" i="13"/>
  <c r="C357" i="13"/>
  <c r="C356" i="13" s="1"/>
  <c r="C870" i="13"/>
  <c r="C866" i="13" s="1"/>
  <c r="C735" i="13"/>
  <c r="C752" i="13"/>
  <c r="C751" i="13" s="1"/>
  <c r="C788" i="13"/>
  <c r="D787" i="13"/>
  <c r="C901" i="13"/>
  <c r="C900" i="13" s="1"/>
  <c r="D900" i="13"/>
  <c r="C1135" i="13"/>
  <c r="C1134" i="13" s="1"/>
  <c r="D1134" i="13"/>
  <c r="J89" i="13"/>
  <c r="G237" i="13"/>
  <c r="G794" i="13"/>
  <c r="E874" i="13"/>
  <c r="J874" i="13"/>
  <c r="G897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709" i="13"/>
  <c r="D553" i="13"/>
  <c r="C553" i="13" s="1"/>
  <c r="D189" i="13"/>
  <c r="C189" i="13" s="1"/>
  <c r="D219" i="13"/>
  <c r="C219" i="13" s="1"/>
  <c r="D229" i="13"/>
  <c r="C229" i="13" s="1"/>
  <c r="D239" i="13"/>
  <c r="C239" i="13" s="1"/>
  <c r="D290" i="13"/>
  <c r="C290" i="13" s="1"/>
  <c r="D432" i="13"/>
  <c r="D434" i="13"/>
  <c r="C434" i="13" s="1"/>
  <c r="D436" i="13"/>
  <c r="C436" i="13" s="1"/>
  <c r="D439" i="13"/>
  <c r="C439" i="13" s="1"/>
  <c r="D441" i="13"/>
  <c r="C441" i="13" s="1"/>
  <c r="D624" i="13"/>
  <c r="C624" i="13" s="1"/>
  <c r="D658" i="13"/>
  <c r="D854" i="13"/>
  <c r="D876" i="13"/>
  <c r="C876" i="13" s="1"/>
  <c r="D887" i="13"/>
  <c r="C887" i="13" s="1"/>
  <c r="D893" i="13"/>
  <c r="C893" i="13" s="1"/>
  <c r="D895" i="13"/>
  <c r="C895" i="13" s="1"/>
  <c r="D323" i="13"/>
  <c r="D322" i="13" s="1"/>
  <c r="D333" i="13"/>
  <c r="D332" i="13" s="1"/>
  <c r="D454" i="13"/>
  <c r="D453" i="13" s="1"/>
  <c r="D716" i="13"/>
  <c r="D715" i="13" s="1"/>
  <c r="D801" i="13"/>
  <c r="D105" i="13"/>
  <c r="D238" i="13"/>
  <c r="D245" i="13"/>
  <c r="D254" i="13"/>
  <c r="D251" i="13" s="1"/>
  <c r="D387" i="13"/>
  <c r="D404" i="13"/>
  <c r="D403" i="13" s="1"/>
  <c r="D76" i="13"/>
  <c r="D479" i="13"/>
  <c r="D156" i="13"/>
  <c r="D169" i="13"/>
  <c r="C169" i="13" s="1"/>
  <c r="D171" i="13"/>
  <c r="C171" i="13" s="1"/>
  <c r="D515" i="13"/>
  <c r="C515" i="13" s="1"/>
  <c r="D181" i="13"/>
  <c r="C181" i="13" s="1"/>
  <c r="D192" i="13"/>
  <c r="C192" i="13" s="1"/>
  <c r="D205" i="13"/>
  <c r="C205" i="13" s="1"/>
  <c r="D211" i="13"/>
  <c r="C211" i="13" s="1"/>
  <c r="D649" i="13"/>
  <c r="C649" i="13" s="1"/>
  <c r="D218" i="13"/>
  <c r="C218" i="13" s="1"/>
  <c r="D389" i="13"/>
  <c r="D392" i="13"/>
  <c r="D394" i="13"/>
  <c r="D398" i="13"/>
  <c r="D396" i="13"/>
  <c r="D407" i="13"/>
  <c r="C407" i="13" s="1"/>
  <c r="D409" i="13"/>
  <c r="C409" i="13" s="1"/>
  <c r="D411" i="13"/>
  <c r="C411" i="13" s="1"/>
  <c r="D417" i="13"/>
  <c r="C417" i="13" s="1"/>
  <c r="D877" i="13"/>
  <c r="C877" i="13" s="1"/>
  <c r="D898" i="13"/>
  <c r="D1109" i="13"/>
  <c r="D98" i="13"/>
  <c r="D117" i="13"/>
  <c r="D116" i="13" s="1"/>
  <c r="D287" i="13"/>
  <c r="D327" i="13"/>
  <c r="D326" i="13" s="1"/>
  <c r="D431" i="13"/>
  <c r="D458" i="13"/>
  <c r="D875" i="13"/>
  <c r="D1111" i="13"/>
  <c r="D1163" i="13"/>
  <c r="D79" i="13"/>
  <c r="D107" i="13"/>
  <c r="D124" i="13"/>
  <c r="C124" i="13" s="1"/>
  <c r="D152" i="13"/>
  <c r="C152" i="13" s="1"/>
  <c r="D155" i="13"/>
  <c r="C155" i="13" s="1"/>
  <c r="D167" i="13"/>
  <c r="C167" i="13" s="1"/>
  <c r="D512" i="13"/>
  <c r="C512" i="13" s="1"/>
  <c r="D578" i="13"/>
  <c r="C578" i="13" s="1"/>
  <c r="D580" i="13"/>
  <c r="C580" i="13" s="1"/>
  <c r="D207" i="13"/>
  <c r="C207" i="13" s="1"/>
  <c r="D188" i="13"/>
  <c r="D190" i="13"/>
  <c r="C190" i="13" s="1"/>
  <c r="D220" i="13"/>
  <c r="D671" i="13"/>
  <c r="D241" i="13"/>
  <c r="C241" i="13" s="1"/>
  <c r="D438" i="13"/>
  <c r="C438" i="13" s="1"/>
  <c r="D435" i="13"/>
  <c r="C435" i="13" s="1"/>
  <c r="D437" i="13"/>
  <c r="C437" i="13" s="1"/>
  <c r="D440" i="13"/>
  <c r="C440" i="13" s="1"/>
  <c r="D443" i="13"/>
  <c r="C443" i="13" s="1"/>
  <c r="D796" i="13"/>
  <c r="C796" i="13" s="1"/>
  <c r="D885" i="13"/>
  <c r="C885" i="13" s="1"/>
  <c r="D892" i="13"/>
  <c r="C892" i="13" s="1"/>
  <c r="D894" i="13"/>
  <c r="C894" i="13" s="1"/>
  <c r="D896" i="13"/>
  <c r="C896" i="13" s="1"/>
  <c r="D899" i="13"/>
  <c r="C899" i="13" s="1"/>
  <c r="D732" i="13"/>
  <c r="D731" i="13" s="1"/>
  <c r="D426" i="13"/>
  <c r="D425" i="13" s="1"/>
  <c r="D795" i="13"/>
  <c r="D881" i="13"/>
  <c r="D879" i="13" s="1"/>
  <c r="D1128" i="13"/>
  <c r="D60" i="13"/>
  <c r="D59" i="13" s="1"/>
  <c r="D94" i="13"/>
  <c r="D74" i="13"/>
  <c r="D87" i="13"/>
  <c r="D119" i="13"/>
  <c r="D258" i="13"/>
  <c r="D257" i="13" s="1"/>
  <c r="D406" i="13"/>
  <c r="D416" i="13"/>
  <c r="D718" i="13"/>
  <c r="D717" i="13" s="1"/>
  <c r="D761" i="13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493" i="13"/>
  <c r="C493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513" i="13"/>
  <c r="C513" i="13" s="1"/>
  <c r="D175" i="13"/>
  <c r="C175" i="13" s="1"/>
  <c r="D182" i="13"/>
  <c r="D191" i="13"/>
  <c r="C191" i="13" s="1"/>
  <c r="D194" i="13"/>
  <c r="D579" i="13"/>
  <c r="C579" i="13" s="1"/>
  <c r="D582" i="13"/>
  <c r="C582" i="13" s="1"/>
  <c r="D596" i="13"/>
  <c r="C596" i="13" s="1"/>
  <c r="D206" i="13"/>
  <c r="D208" i="13"/>
  <c r="D212" i="13"/>
  <c r="C212" i="13" s="1"/>
  <c r="D647" i="13"/>
  <c r="C647" i="13" s="1"/>
  <c r="D650" i="13"/>
  <c r="C650" i="13" s="1"/>
  <c r="D240" i="13"/>
  <c r="C240" i="13" s="1"/>
  <c r="D246" i="13"/>
  <c r="D388" i="13"/>
  <c r="D391" i="13"/>
  <c r="D393" i="13"/>
  <c r="D395" i="13"/>
  <c r="D397" i="13"/>
  <c r="D400" i="13"/>
  <c r="D408" i="13"/>
  <c r="C408" i="13" s="1"/>
  <c r="D410" i="13"/>
  <c r="C410" i="13" s="1"/>
  <c r="D419" i="13"/>
  <c r="C419" i="13" s="1"/>
  <c r="D855" i="13"/>
  <c r="D878" i="13"/>
  <c r="C878" i="13" s="1"/>
  <c r="J336" i="13"/>
  <c r="J334" i="13" s="1"/>
  <c r="I35" i="13"/>
  <c r="H336" i="13"/>
  <c r="H334" i="13" s="1"/>
  <c r="G336" i="13"/>
  <c r="G334" i="13" s="1"/>
  <c r="F336" i="13"/>
  <c r="F334" i="13" s="1"/>
  <c r="E336" i="13"/>
  <c r="E334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289" i="13"/>
  <c r="H289" i="13"/>
  <c r="G289" i="13"/>
  <c r="J288" i="13"/>
  <c r="G288" i="13"/>
  <c r="G286" i="13" s="1"/>
  <c r="E286" i="13"/>
  <c r="J480" i="13"/>
  <c r="J120" i="13" s="1"/>
  <c r="I120" i="13"/>
  <c r="H120" i="13"/>
  <c r="G120" i="13"/>
  <c r="F120" i="13"/>
  <c r="E120" i="13"/>
  <c r="J757" i="13" l="1"/>
  <c r="C1145" i="13"/>
  <c r="J457" i="13"/>
  <c r="J286" i="13"/>
  <c r="J285" i="13" s="1"/>
  <c r="H286" i="13"/>
  <c r="H285" i="13" s="1"/>
  <c r="D415" i="13"/>
  <c r="D427" i="13"/>
  <c r="D382" i="13"/>
  <c r="I10" i="13"/>
  <c r="F35" i="13"/>
  <c r="F10" i="13" s="1"/>
  <c r="H35" i="13"/>
  <c r="H10" i="13" s="1"/>
  <c r="J35" i="13"/>
  <c r="J10" i="13" s="1"/>
  <c r="E35" i="13"/>
  <c r="E10" i="13" s="1"/>
  <c r="G35" i="13"/>
  <c r="G10" i="13" s="1"/>
  <c r="D850" i="13"/>
  <c r="C287" i="13"/>
  <c r="C406" i="13"/>
  <c r="C881" i="13"/>
  <c r="C879" i="13" s="1"/>
  <c r="C1111" i="13"/>
  <c r="C1110" i="13" s="1"/>
  <c r="D1110" i="13"/>
  <c r="C327" i="13"/>
  <c r="C326" i="13" s="1"/>
  <c r="C333" i="13"/>
  <c r="C332" i="13" s="1"/>
  <c r="C795" i="13"/>
  <c r="C794" i="13" s="1"/>
  <c r="D794" i="13"/>
  <c r="C404" i="13"/>
  <c r="C403" i="13" s="1"/>
  <c r="C454" i="13"/>
  <c r="C453" i="13" s="1"/>
  <c r="C875" i="13"/>
  <c r="C874" i="13" s="1"/>
  <c r="D874" i="13"/>
  <c r="C1109" i="13"/>
  <c r="C1108" i="13" s="1"/>
  <c r="D1108" i="13"/>
  <c r="C801" i="13"/>
  <c r="C800" i="13" s="1"/>
  <c r="D800" i="13"/>
  <c r="C323" i="13"/>
  <c r="C322" i="13" s="1"/>
  <c r="C416" i="13"/>
  <c r="C1128" i="13"/>
  <c r="C1127" i="13" s="1"/>
  <c r="D1127" i="13"/>
  <c r="C718" i="13"/>
  <c r="C426" i="13"/>
  <c r="C425" i="13" s="1"/>
  <c r="C898" i="13"/>
  <c r="C897" i="13" s="1"/>
  <c r="D897" i="13"/>
  <c r="C716" i="13"/>
  <c r="C715" i="13" s="1"/>
  <c r="C98" i="13"/>
  <c r="D96" i="13"/>
  <c r="C94" i="13"/>
  <c r="C89" i="13" s="1"/>
  <c r="D89" i="13"/>
  <c r="D266" i="13"/>
  <c r="C87" i="13"/>
  <c r="C86" i="13" s="1"/>
  <c r="D86" i="13"/>
  <c r="C732" i="13"/>
  <c r="C731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80" i="13"/>
  <c r="D120" i="13" s="1"/>
  <c r="D336" i="13"/>
  <c r="D334" i="13" s="1"/>
  <c r="D288" i="13"/>
  <c r="D289" i="13"/>
  <c r="C289" i="13" s="1"/>
  <c r="N480" i="13"/>
  <c r="N457" i="13" s="1"/>
  <c r="I1143" i="13"/>
  <c r="H1143" i="13"/>
  <c r="G1143" i="13"/>
  <c r="F1143" i="13"/>
  <c r="E1143" i="13"/>
  <c r="J8" i="13" l="1"/>
  <c r="D286" i="13"/>
  <c r="V264" i="13"/>
  <c r="V480" i="13"/>
  <c r="C336" i="13"/>
  <c r="C334" i="13" s="1"/>
  <c r="D35" i="13"/>
  <c r="D10" i="13" s="1"/>
  <c r="C12" i="13"/>
  <c r="C288" i="13"/>
  <c r="C286" i="13" s="1"/>
  <c r="C267" i="13"/>
  <c r="C266" i="13" s="1"/>
  <c r="V267" i="13"/>
  <c r="C480" i="13"/>
  <c r="D1144" i="13"/>
  <c r="E344" i="13"/>
  <c r="N343" i="13"/>
  <c r="N340" i="13" s="1"/>
  <c r="G343" i="13"/>
  <c r="G340" i="13" s="1"/>
  <c r="G285" i="13" s="1"/>
  <c r="F343" i="13"/>
  <c r="F340" i="13" s="1"/>
  <c r="F285" i="13" s="1"/>
  <c r="E343" i="13"/>
  <c r="E340" i="13" s="1"/>
  <c r="R343" i="13"/>
  <c r="R340" i="13" s="1"/>
  <c r="I1112" i="13"/>
  <c r="H1112" i="13"/>
  <c r="H757" i="13" s="1"/>
  <c r="G1112" i="13"/>
  <c r="F1112" i="13"/>
  <c r="E1112" i="13"/>
  <c r="C1144" i="13" l="1"/>
  <c r="C1143" i="13" s="1"/>
  <c r="D1143" i="13"/>
  <c r="V343" i="13"/>
  <c r="D343" i="13"/>
  <c r="D585" i="13"/>
  <c r="D457" i="13" s="1"/>
  <c r="D1113" i="13"/>
  <c r="D344" i="13"/>
  <c r="I882" i="13"/>
  <c r="G882" i="13"/>
  <c r="F882" i="13"/>
  <c r="F757" i="13" s="1"/>
  <c r="E882" i="13"/>
  <c r="D340" i="13" l="1"/>
  <c r="C344" i="13"/>
  <c r="C585" i="13"/>
  <c r="C1113" i="13"/>
  <c r="C1112" i="13" s="1"/>
  <c r="D1112" i="13"/>
  <c r="C343" i="13"/>
  <c r="C340" i="13" s="1"/>
  <c r="D883" i="13"/>
  <c r="N700" i="13"/>
  <c r="N699" i="13" s="1"/>
  <c r="E699" i="13"/>
  <c r="N358" i="13"/>
  <c r="I823" i="13"/>
  <c r="I757" i="13" s="1"/>
  <c r="G823" i="13"/>
  <c r="G757" i="13" s="1"/>
  <c r="E823" i="13"/>
  <c r="E757" i="13" s="1"/>
  <c r="C883" i="13" l="1"/>
  <c r="D882" i="13"/>
  <c r="N817" i="13"/>
  <c r="C822" i="13"/>
  <c r="V822" i="13"/>
  <c r="C821" i="13"/>
  <c r="V821" i="13"/>
  <c r="C818" i="13"/>
  <c r="C817" i="13" s="1"/>
  <c r="V818" i="13"/>
  <c r="V700" i="13"/>
  <c r="C359" i="13"/>
  <c r="C358" i="13" s="1"/>
  <c r="V359" i="13"/>
  <c r="D824" i="13"/>
  <c r="D823" i="13" s="1"/>
  <c r="D757" i="13" s="1"/>
  <c r="D700" i="13"/>
  <c r="D699" i="13" s="1"/>
  <c r="V817" i="13" l="1"/>
  <c r="C700" i="13"/>
  <c r="C699" i="13" s="1"/>
  <c r="C824" i="13"/>
  <c r="C823" i="13" s="1"/>
  <c r="L612" i="13"/>
  <c r="L457" i="13" s="1"/>
  <c r="C612" i="13" l="1"/>
  <c r="D414" i="13"/>
  <c r="C414" i="13" s="1"/>
  <c r="D413" i="13"/>
  <c r="N882" i="13"/>
  <c r="E743" i="13"/>
  <c r="E734" i="13" s="1"/>
  <c r="E285" i="13" s="1"/>
  <c r="S82" i="13"/>
  <c r="C203" i="13"/>
  <c r="C533" i="13"/>
  <c r="C188" i="13"/>
  <c r="R479" i="13"/>
  <c r="R457" i="13" s="1"/>
  <c r="R285" i="13" s="1"/>
  <c r="C420" i="13"/>
  <c r="C418" i="13"/>
  <c r="C29" i="13"/>
  <c r="C28" i="13" s="1"/>
  <c r="N268" i="13"/>
  <c r="C726" i="13"/>
  <c r="R257" i="13"/>
  <c r="V254" i="13"/>
  <c r="V253" i="13"/>
  <c r="C710" i="13"/>
  <c r="C708" i="13"/>
  <c r="C707" i="13"/>
  <c r="V246" i="13"/>
  <c r="C227" i="13"/>
  <c r="C194" i="13"/>
  <c r="V156" i="13"/>
  <c r="R116" i="13"/>
  <c r="C442" i="13"/>
  <c r="C111" i="13"/>
  <c r="C432" i="13"/>
  <c r="V106" i="13"/>
  <c r="N66" i="13"/>
  <c r="N49" i="13"/>
  <c r="C34" i="13"/>
  <c r="C33" i="13" s="1"/>
  <c r="C329" i="13"/>
  <c r="C328" i="13" s="1"/>
  <c r="C300" i="13"/>
  <c r="C294" i="13"/>
  <c r="C208" i="13"/>
  <c r="N903" i="13"/>
  <c r="C682" i="13"/>
  <c r="C182" i="13"/>
  <c r="V220" i="13"/>
  <c r="C671" i="13"/>
  <c r="S392" i="13"/>
  <c r="S391" i="13"/>
  <c r="P387" i="13"/>
  <c r="P389" i="13"/>
  <c r="C282" i="13"/>
  <c r="C280" i="13"/>
  <c r="P164" i="13"/>
  <c r="V164" i="13"/>
  <c r="C458" i="13"/>
  <c r="C930" i="13"/>
  <c r="C905" i="13"/>
  <c r="C366" i="13"/>
  <c r="C365" i="13" s="1"/>
  <c r="R761" i="13"/>
  <c r="R757" i="13" s="1"/>
  <c r="L311" i="13"/>
  <c r="L291" i="13" s="1"/>
  <c r="L285" i="13" s="1"/>
  <c r="C777" i="13"/>
  <c r="C762" i="13"/>
  <c r="C372" i="13"/>
  <c r="C369" i="13" s="1"/>
  <c r="C27" i="13"/>
  <c r="C26" i="13" s="1"/>
  <c r="C793" i="13"/>
  <c r="C790" i="13" s="1"/>
  <c r="C484" i="13"/>
  <c r="L903" i="13"/>
  <c r="L757" i="13" s="1"/>
  <c r="C724" i="13"/>
  <c r="C723" i="13" s="1"/>
  <c r="C725" i="13"/>
  <c r="C469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86" i="13"/>
  <c r="P388" i="13"/>
  <c r="S388" i="13"/>
  <c r="N393" i="13"/>
  <c r="N382" i="13" s="1"/>
  <c r="N285" i="13" s="1"/>
  <c r="P398" i="13"/>
  <c r="V395" i="13"/>
  <c r="S396" i="13"/>
  <c r="P399" i="13"/>
  <c r="S399" i="13"/>
  <c r="P400" i="13"/>
  <c r="S400" i="13"/>
  <c r="C401" i="13"/>
  <c r="C402" i="13"/>
  <c r="P851" i="13"/>
  <c r="S851" i="13"/>
  <c r="P852" i="13"/>
  <c r="S852" i="13"/>
  <c r="P853" i="13"/>
  <c r="S853" i="13"/>
  <c r="P854" i="13"/>
  <c r="S854" i="13"/>
  <c r="P855" i="13"/>
  <c r="S855" i="13"/>
  <c r="S856" i="13"/>
  <c r="S857" i="13"/>
  <c r="P858" i="13"/>
  <c r="C860" i="13"/>
  <c r="S861" i="13"/>
  <c r="S862" i="13"/>
  <c r="S863" i="13"/>
  <c r="S864" i="13"/>
  <c r="C704" i="13" l="1"/>
  <c r="N68" i="13"/>
  <c r="R68" i="13"/>
  <c r="P382" i="13"/>
  <c r="P285" i="13" s="1"/>
  <c r="D405" i="13"/>
  <c r="E8" i="13"/>
  <c r="I8" i="13"/>
  <c r="F8" i="13"/>
  <c r="H8" i="13"/>
  <c r="G8" i="13"/>
  <c r="C270" i="13"/>
  <c r="C413" i="13"/>
  <c r="V393" i="13"/>
  <c r="C1094" i="13"/>
  <c r="P850" i="13"/>
  <c r="P757" i="13" s="1"/>
  <c r="C311" i="13"/>
  <c r="C291" i="13" s="1"/>
  <c r="S850" i="13"/>
  <c r="S757" i="13" s="1"/>
  <c r="R104" i="13"/>
  <c r="V46" i="13"/>
  <c r="C52" i="13"/>
  <c r="R49" i="13"/>
  <c r="C479" i="13"/>
  <c r="C457" i="13" s="1"/>
  <c r="R120" i="13"/>
  <c r="C196" i="13"/>
  <c r="L120" i="13"/>
  <c r="L10" i="13" s="1"/>
  <c r="S68" i="13"/>
  <c r="S10" i="13" s="1"/>
  <c r="P120" i="13"/>
  <c r="N38" i="13"/>
  <c r="N104" i="13"/>
  <c r="R244" i="13"/>
  <c r="V252" i="13"/>
  <c r="N251" i="13"/>
  <c r="V258" i="13"/>
  <c r="N257" i="13"/>
  <c r="V74" i="13"/>
  <c r="V117" i="13"/>
  <c r="N116" i="13"/>
  <c r="V245" i="13"/>
  <c r="N244" i="13"/>
  <c r="N120" i="13"/>
  <c r="P68" i="13"/>
  <c r="R251" i="13"/>
  <c r="C388" i="13"/>
  <c r="C228" i="13"/>
  <c r="V228" i="13"/>
  <c r="C221" i="13"/>
  <c r="V221" i="13"/>
  <c r="C1011" i="13"/>
  <c r="V1011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84" i="13"/>
  <c r="C882" i="13" s="1"/>
  <c r="V884" i="13"/>
  <c r="C431" i="13"/>
  <c r="C427" i="13" s="1"/>
  <c r="C246" i="13"/>
  <c r="C106" i="13"/>
  <c r="C117" i="13"/>
  <c r="C698" i="13"/>
  <c r="C695" i="13" s="1"/>
  <c r="C384" i="13"/>
  <c r="C393" i="13"/>
  <c r="C82" i="13"/>
  <c r="C80" i="13"/>
  <c r="C69" i="13"/>
  <c r="C658" i="13"/>
  <c r="C79" i="13"/>
  <c r="C75" i="13"/>
  <c r="C494" i="13"/>
  <c r="C602" i="13"/>
  <c r="C389" i="13"/>
  <c r="C245" i="13"/>
  <c r="C412" i="13"/>
  <c r="C405" i="13" s="1"/>
  <c r="C864" i="13"/>
  <c r="C857" i="13"/>
  <c r="C863" i="13"/>
  <c r="C856" i="13"/>
  <c r="C395" i="13"/>
  <c r="C84" i="13"/>
  <c r="C78" i="13"/>
  <c r="C71" i="13"/>
  <c r="C397" i="13"/>
  <c r="C394" i="13"/>
  <c r="C81" i="13"/>
  <c r="C70" i="13"/>
  <c r="C220" i="13"/>
  <c r="C156" i="13"/>
  <c r="C252" i="13"/>
  <c r="C254" i="13"/>
  <c r="C258" i="13"/>
  <c r="C257" i="13" s="1"/>
  <c r="C422" i="13"/>
  <c r="C855" i="13"/>
  <c r="C853" i="13"/>
  <c r="C851" i="13"/>
  <c r="C46" i="13"/>
  <c r="C45" i="13" s="1"/>
  <c r="C424" i="13"/>
  <c r="C423" i="13" s="1"/>
  <c r="C164" i="13"/>
  <c r="C387" i="13"/>
  <c r="C862" i="13"/>
  <c r="C398" i="13"/>
  <c r="C83" i="13"/>
  <c r="C76" i="13"/>
  <c r="C921" i="13"/>
  <c r="C903" i="13" s="1"/>
  <c r="C981" i="13"/>
  <c r="C391" i="13"/>
  <c r="C854" i="13"/>
  <c r="C852" i="13"/>
  <c r="C1139" i="13"/>
  <c r="C1137" i="13" s="1"/>
  <c r="C789" i="13"/>
  <c r="C787" i="13" s="1"/>
  <c r="C861" i="13"/>
  <c r="C858" i="13"/>
  <c r="C400" i="13"/>
  <c r="C399" i="13"/>
  <c r="C396" i="13"/>
  <c r="C77" i="13"/>
  <c r="C74" i="13"/>
  <c r="C767" i="13"/>
  <c r="C761" i="13" s="1"/>
  <c r="C421" i="13"/>
  <c r="C415" i="13" s="1"/>
  <c r="C392" i="13"/>
  <c r="C253" i="13"/>
  <c r="C720" i="13"/>
  <c r="C717" i="13" s="1"/>
  <c r="V26" i="13"/>
  <c r="N761" i="13"/>
  <c r="N757" i="13" s="1"/>
  <c r="D743" i="13"/>
  <c r="S382" i="13"/>
  <c r="S285" i="13" s="1"/>
  <c r="V361" i="13"/>
  <c r="V425" i="13"/>
  <c r="V450" i="13"/>
  <c r="V751" i="13"/>
  <c r="V836" i="13"/>
  <c r="V841" i="13"/>
  <c r="V897" i="13"/>
  <c r="V1132" i="13"/>
  <c r="V118" i="13"/>
  <c r="V320" i="13"/>
  <c r="V43" i="13"/>
  <c r="V266" i="13"/>
  <c r="V314" i="13"/>
  <c r="V332" i="13"/>
  <c r="V453" i="13"/>
  <c r="V832" i="13"/>
  <c r="V879" i="13"/>
  <c r="V900" i="13"/>
  <c r="V1114" i="13"/>
  <c r="V1130" i="13"/>
  <c r="V1163" i="13"/>
  <c r="C382" i="13" l="1"/>
  <c r="C285" i="13" s="1"/>
  <c r="C850" i="13"/>
  <c r="C757" i="13" s="1"/>
  <c r="C244" i="13"/>
  <c r="V244" i="13" s="1"/>
  <c r="C743" i="13"/>
  <c r="C734" i="13" s="1"/>
  <c r="D734" i="13"/>
  <c r="D285" i="13" s="1"/>
  <c r="L8" i="13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S8" i="13"/>
  <c r="V787" i="13"/>
  <c r="V268" i="13"/>
  <c r="V262" i="13"/>
  <c r="V55" i="13"/>
  <c r="V47" i="13"/>
  <c r="V326" i="13"/>
  <c r="V257" i="13"/>
  <c r="V64" i="13"/>
  <c r="V237" i="13"/>
  <c r="V242" i="13"/>
  <c r="V114" i="13"/>
  <c r="V86" i="13"/>
  <c r="V423" i="13"/>
  <c r="V61" i="13"/>
  <c r="V30" i="13"/>
  <c r="V255" i="13"/>
  <c r="V57" i="13"/>
  <c r="V259" i="13"/>
  <c r="V28" i="13"/>
  <c r="V247" i="13"/>
  <c r="V89" i="13" l="1"/>
  <c r="V10" i="13"/>
  <c r="D8" i="13"/>
  <c r="C10" i="13"/>
  <c r="V38" i="13"/>
  <c r="V33" i="13"/>
  <c r="V96" i="13"/>
  <c r="V251" i="13"/>
  <c r="V49" i="13"/>
  <c r="V104" i="13"/>
  <c r="V11" i="13"/>
  <c r="V120" i="13"/>
  <c r="C8" i="13" l="1"/>
  <c r="V45" i="13"/>
  <c r="V270" i="13"/>
  <c r="V823" i="13"/>
  <c r="V35" i="13" l="1"/>
  <c r="V68" i="13"/>
  <c r="V805" i="13" l="1"/>
</calcChain>
</file>

<file path=xl/sharedStrings.xml><?xml version="1.0" encoding="utf-8"?>
<sst xmlns="http://schemas.openxmlformats.org/spreadsheetml/2006/main" count="2209" uniqueCount="2000">
  <si>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</si>
  <si>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</si>
  <si>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</si>
  <si>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</si>
  <si>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</si>
  <si>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</si>
  <si>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</si>
  <si>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</si>
  <si>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</si>
  <si>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</si>
  <si>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</si>
  <si>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</si>
  <si>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</si>
  <si>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</si>
  <si>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</si>
  <si>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</si>
  <si>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</si>
  <si>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</si>
  <si>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</si>
  <si>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</si>
  <si>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</si>
  <si>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</si>
  <si>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</si>
  <si>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</si>
  <si>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</si>
  <si>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</si>
  <si>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</si>
  <si>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</si>
  <si>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</si>
  <si>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</si>
  <si>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</si>
  <si>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</si>
  <si>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</si>
  <si>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</si>
  <si>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</si>
  <si>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</si>
  <si>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</si>
  <si>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</si>
  <si>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</si>
  <si>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</si>
  <si>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</si>
  <si>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</si>
  <si>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</si>
  <si>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</si>
  <si>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</si>
  <si>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</si>
  <si>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</si>
  <si>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</si>
  <si>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</si>
  <si>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</si>
  <si>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</si>
  <si>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</si>
  <si>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</si>
  <si>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</si>
  <si>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</si>
  <si>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</si>
  <si>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</si>
  <si>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</si>
  <si>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</si>
  <si>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</si>
  <si>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</si>
  <si>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</si>
  <si>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</si>
  <si>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</si>
  <si>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</si>
  <si>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</si>
  <si>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</si>
  <si>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</si>
  <si>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</si>
  <si>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</si>
  <si>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</si>
  <si>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</si>
  <si>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</si>
  <si>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</si>
  <si>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</si>
  <si>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</si>
  <si>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</si>
  <si>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</si>
  <si>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</si>
  <si>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</si>
  <si>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</si>
  <si>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</si>
  <si>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</si>
  <si>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</si>
  <si>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</si>
  <si>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</si>
  <si>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</si>
  <si>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</si>
  <si>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</si>
  <si>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</si>
  <si>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</si>
  <si>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</si>
  <si>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</si>
  <si>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</si>
  <si>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</si>
  <si>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</si>
  <si>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</si>
  <si>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</si>
  <si>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</si>
  <si>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</si>
  <si>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</si>
  <si>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</si>
  <si>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</si>
  <si>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</si>
  <si>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</si>
  <si>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</si>
  <si>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</si>
  <si>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</si>
  <si>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</si>
  <si>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</si>
  <si>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</si>
  <si>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</si>
  <si>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</si>
  <si>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</si>
  <si>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</si>
  <si>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</si>
  <si>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</si>
  <si>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</si>
  <si>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</si>
  <si>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</si>
  <si>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</si>
  <si>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</si>
  <si>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</si>
  <si>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</si>
  <si>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</si>
  <si>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</si>
  <si>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</si>
  <si>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</si>
  <si>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</si>
  <si>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</si>
  <si>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</si>
  <si>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</si>
  <si>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</si>
  <si>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</si>
  <si>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</si>
  <si>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</si>
  <si>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</si>
  <si>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</si>
  <si>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</si>
  <si>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</si>
  <si>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</si>
  <si>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</si>
  <si>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</si>
  <si>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</si>
  <si>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</si>
  <si>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</si>
  <si>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</si>
  <si>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</si>
  <si>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</si>
  <si>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</si>
  <si>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</si>
  <si>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</si>
  <si>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</si>
  <si>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</si>
  <si>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</si>
  <si>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</si>
  <si>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</si>
  <si>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</si>
  <si>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</si>
  <si>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</si>
  <si>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</si>
  <si>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</si>
  <si>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</si>
  <si>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</si>
  <si>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</si>
  <si>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</si>
  <si>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</si>
  <si>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</si>
  <si>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</si>
  <si>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</si>
  <si>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</si>
  <si>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</si>
  <si>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</si>
  <si>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</si>
  <si>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</si>
  <si>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</si>
  <si>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</si>
  <si>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</si>
  <si>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</si>
  <si>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</si>
  <si>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</si>
  <si>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</si>
  <si>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</si>
  <si>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</si>
  <si>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</si>
  <si>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</si>
  <si>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</si>
  <si>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</si>
  <si>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</si>
  <si>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</si>
  <si>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</si>
  <si>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</si>
  <si>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</si>
  <si>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</si>
  <si>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</si>
  <si>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</si>
  <si>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</si>
  <si>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</si>
  <si>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</si>
  <si>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</si>
  <si>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</si>
  <si>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</si>
  <si>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</si>
  <si>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</si>
  <si>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</si>
  <si>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</si>
  <si>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</si>
  <si>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</si>
  <si>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</si>
  <si>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</si>
  <si>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</si>
  <si>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</si>
  <si>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</si>
  <si>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</si>
  <si>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</si>
  <si>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</si>
  <si>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</si>
  <si>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</si>
  <si>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</si>
  <si>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</si>
  <si>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</si>
  <si>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</si>
  <si>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</si>
  <si>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</si>
  <si>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</si>
  <si>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</si>
  <si>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</si>
  <si>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</si>
  <si>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</si>
  <si>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</si>
  <si>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</si>
  <si>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</si>
  <si>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</si>
  <si>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</si>
  <si>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</si>
  <si>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</si>
  <si>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</si>
  <si>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</si>
  <si>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</si>
  <si>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</si>
  <si>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</si>
  <si>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</si>
  <si>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</si>
  <si>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</si>
  <si>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</si>
  <si>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</si>
  <si>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</si>
  <si>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</si>
  <si>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</si>
  <si>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</si>
  <si>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</si>
  <si>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</si>
  <si>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</si>
  <si>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</si>
  <si>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</si>
  <si>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</si>
  <si>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</si>
  <si>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</si>
  <si>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</si>
  <si>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</si>
  <si>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</si>
  <si>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</si>
  <si>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</si>
  <si>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</si>
  <si>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</si>
  <si>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</si>
  <si>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</si>
  <si>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</si>
  <si>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</si>
  <si>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</si>
  <si>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</si>
  <si>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</si>
  <si>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</si>
  <si>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</si>
  <si>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</si>
  <si>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</si>
  <si>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</si>
  <si>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</si>
  <si>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</si>
  <si>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</si>
  <si>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</si>
  <si>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</si>
  <si>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</si>
  <si>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</si>
  <si>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</si>
  <si>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</si>
  <si>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</si>
  <si>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</si>
  <si>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</si>
  <si>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</si>
  <si>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</si>
  <si>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</si>
  <si>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</si>
  <si>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</si>
  <si>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</si>
  <si>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</si>
  <si>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</si>
  <si>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</si>
  <si>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</si>
  <si>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</si>
  <si>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</si>
  <si>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</si>
  <si>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</si>
  <si>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</si>
  <si>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</si>
  <si>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</si>
  <si>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</si>
  <si>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</si>
  <si>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</si>
  <si>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</si>
  <si>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</si>
  <si>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</si>
  <si>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</si>
  <si>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</si>
  <si>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</si>
  <si>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</si>
  <si>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</si>
  <si>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</si>
  <si>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</si>
  <si>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</si>
  <si>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</si>
  <si>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</si>
  <si>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</si>
  <si>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</si>
  <si>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</si>
  <si>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</si>
  <si>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</si>
  <si>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</si>
  <si>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</si>
  <si>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</si>
  <si>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</si>
  <si>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</si>
  <si>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</si>
  <si>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</si>
  <si>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</si>
  <si>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</si>
  <si>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</si>
  <si>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</si>
  <si>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</si>
  <si>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</si>
  <si>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</si>
  <si>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</si>
  <si>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</si>
  <si>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</si>
  <si>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</si>
  <si>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</si>
  <si>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</si>
  <si>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</si>
  <si>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</si>
  <si>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</si>
  <si>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</si>
  <si>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</si>
  <si>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</si>
  <si>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</si>
  <si>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</si>
  <si>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</si>
  <si>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</si>
  <si>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</si>
  <si>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</si>
  <si>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</si>
  <si>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</si>
  <si>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</si>
  <si>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</si>
  <si>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</si>
  <si>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</si>
  <si>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</si>
  <si>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</si>
  <si>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</si>
  <si>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</si>
  <si>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</si>
  <si>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</si>
  <si>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</si>
  <si>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</si>
  <si>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</si>
  <si>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</si>
  <si>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</si>
  <si>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</si>
  <si>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</si>
  <si>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</si>
  <si>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</si>
  <si>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</si>
  <si>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</si>
  <si>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</si>
  <si>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</si>
  <si>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</si>
  <si>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</si>
  <si>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</si>
  <si>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</si>
  <si>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</si>
  <si>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</si>
  <si>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</si>
  <si>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</si>
  <si>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</si>
  <si>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</si>
  <si>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</si>
  <si>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</si>
  <si>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</si>
  <si>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</si>
  <si>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</si>
  <si>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</si>
  <si>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</si>
  <si>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</si>
  <si>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</si>
  <si>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</si>
  <si>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</si>
  <si>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</si>
  <si>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</si>
  <si>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</si>
  <si>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</si>
  <si>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</si>
  <si>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</si>
  <si>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</si>
  <si>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</si>
  <si>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</si>
  <si>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</si>
  <si>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</si>
  <si>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</si>
  <si>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</si>
  <si>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</si>
  <si>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</si>
  <si>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</si>
  <si>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</si>
  <si>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</si>
  <si>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</si>
  <si>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</si>
  <si>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</si>
  <si>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</si>
  <si>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</si>
  <si>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</si>
  <si>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</si>
  <si>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</si>
  <si>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</si>
  <si>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</si>
  <si>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</si>
  <si>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</si>
  <si>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</si>
  <si>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</si>
  <si>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</si>
  <si>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</si>
  <si>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</si>
  <si>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</si>
  <si>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</si>
  <si>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</si>
  <si>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</si>
  <si>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</si>
  <si>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</si>
  <si>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</si>
  <si>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</si>
  <si>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</si>
  <si>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</si>
  <si>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</si>
  <si>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</si>
  <si>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</si>
  <si>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</si>
  <si>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</si>
  <si>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</si>
  <si>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</si>
  <si>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</si>
  <si>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</si>
  <si>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</si>
  <si>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</si>
  <si>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</si>
  <si>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</si>
  <si>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</si>
  <si>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</si>
  <si>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</si>
  <si>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</si>
  <si>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</si>
  <si>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</si>
  <si>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</si>
  <si>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</si>
  <si>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</si>
  <si>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</si>
  <si>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</si>
  <si>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</si>
  <si>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</si>
  <si>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</si>
  <si>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</si>
  <si>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</si>
  <si>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</si>
  <si>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</si>
  <si>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</si>
  <si>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</si>
  <si>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</si>
  <si>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</si>
  <si>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</si>
  <si>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</si>
  <si>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</si>
  <si>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</si>
  <si>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</si>
  <si>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</si>
  <si>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</si>
  <si>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</si>
  <si>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</si>
  <si>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</si>
  <si>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</si>
  <si>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</si>
  <si>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</si>
  <si>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</si>
  <si>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</si>
  <si>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</si>
  <si>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</si>
  <si>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</si>
  <si>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</si>
  <si>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</si>
  <si>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</si>
  <si>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</si>
  <si>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</si>
  <si>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</si>
  <si>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</si>
  <si>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</si>
  <si>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</si>
  <si>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</si>
  <si>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</si>
  <si>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</si>
  <si>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</si>
  <si>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</si>
  <si>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</si>
  <si>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</si>
  <si>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</si>
  <si>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</si>
  <si>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</si>
  <si>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</si>
  <si>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</si>
  <si>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</si>
  <si>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</si>
  <si>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</si>
  <si>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</si>
  <si>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</si>
  <si>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</si>
  <si>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</si>
  <si>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</si>
  <si>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</si>
  <si>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</si>
  <si>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</si>
  <si>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</si>
  <si>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</si>
  <si>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</si>
  <si>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</si>
  <si>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</si>
  <si>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</si>
  <si>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</si>
  <si>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</si>
  <si>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</si>
  <si>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</si>
  <si>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</si>
  <si>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</si>
  <si>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</si>
  <si>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</si>
  <si>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</si>
  <si>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</si>
  <si>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</si>
  <si>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</si>
  <si>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</si>
  <si>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</si>
  <si>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</si>
  <si>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</si>
  <si>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</si>
  <si>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</si>
  <si>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</si>
  <si>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</si>
  <si>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</si>
  <si>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</si>
  <si>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</si>
  <si>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</si>
  <si>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</si>
  <si>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</si>
  <si>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</si>
  <si>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</si>
  <si>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</si>
  <si>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</si>
  <si>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</si>
  <si>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</si>
  <si>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</si>
  <si>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</si>
  <si>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</si>
  <si>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</si>
  <si>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</si>
  <si>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</si>
  <si>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</si>
  <si>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</si>
  <si>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</si>
  <si>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</si>
  <si>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</si>
  <si>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</si>
  <si>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</si>
  <si>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</si>
  <si>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</si>
  <si>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</si>
  <si>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</si>
  <si>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</si>
  <si>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</si>
  <si>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</si>
  <si>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</si>
  <si>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</si>
  <si>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</si>
  <si>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</si>
  <si>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</si>
  <si>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</si>
  <si>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</si>
  <si>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</si>
  <si>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</si>
  <si>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</si>
  <si>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</si>
  <si>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</si>
  <si>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</si>
  <si>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</si>
  <si>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</si>
  <si>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</si>
  <si>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</si>
  <si>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</si>
  <si>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</si>
  <si>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</si>
  <si>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</si>
  <si>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</si>
  <si>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</si>
  <si>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</si>
  <si>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</si>
  <si>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</si>
  <si>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</si>
  <si>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</si>
  <si>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</si>
  <si>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</si>
  <si>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</si>
  <si>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</si>
  <si>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</si>
  <si>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</si>
  <si>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</si>
  <si>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</si>
  <si>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</si>
  <si>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</si>
  <si>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</si>
  <si>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</si>
  <si>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</si>
  <si>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</si>
  <si>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</si>
  <si>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</si>
  <si>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</si>
  <si>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</si>
  <si>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</si>
  <si>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</si>
  <si>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</si>
  <si>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</si>
  <si>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</si>
  <si>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</si>
  <si>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</si>
  <si>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</si>
  <si>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</si>
  <si>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</si>
  <si>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</si>
  <si>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</si>
  <si>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</si>
  <si>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</si>
  <si>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</si>
  <si>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</si>
  <si>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</si>
  <si>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</si>
  <si>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</si>
  <si>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</si>
  <si>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</si>
  <si>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</si>
  <si>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</si>
  <si>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</si>
  <si>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</si>
  <si>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</si>
  <si>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</si>
  <si>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</si>
  <si>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</si>
  <si>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</si>
  <si>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</si>
  <si>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</si>
  <si>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</si>
  <si>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</si>
  <si>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</si>
  <si>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</si>
  <si>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</si>
  <si>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</si>
  <si>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</si>
  <si>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</si>
  <si>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</si>
  <si>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</si>
  <si>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</si>
  <si>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</si>
  <si>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</si>
  <si>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</si>
  <si>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</si>
  <si>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</si>
  <si>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</si>
  <si>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</si>
  <si>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</si>
  <si>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</si>
  <si>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</si>
  <si>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</si>
  <si>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</si>
  <si>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</si>
  <si>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</si>
  <si>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</si>
  <si>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</si>
  <si>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</si>
  <si>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</si>
  <si>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</si>
  <si>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</si>
  <si>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</si>
  <si>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</si>
  <si>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</si>
  <si>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</si>
  <si>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</si>
  <si>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</si>
  <si>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</si>
  <si>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</si>
  <si>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</si>
  <si>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</si>
  <si>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</si>
  <si>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</si>
  <si>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</si>
  <si>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</si>
  <si>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</si>
  <si>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</si>
  <si>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</si>
  <si>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</si>
  <si>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</si>
  <si>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</si>
  <si>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</si>
  <si>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Московское шоссе, д. 140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</si>
  <si>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</si>
  <si>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</si>
  <si>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</si>
  <si>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</si>
  <si>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</si>
  <si>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</si>
  <si>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</si>
  <si>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</si>
  <si>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</si>
  <si>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</si>
  <si>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</si>
  <si>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</si>
  <si>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</si>
  <si>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</si>
  <si>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</si>
  <si>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</si>
  <si>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</si>
  <si>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</si>
  <si>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</si>
  <si>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</si>
  <si>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</si>
  <si>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</si>
  <si>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</si>
  <si>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</si>
  <si>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</si>
  <si>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</si>
  <si>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</si>
  <si>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</si>
  <si>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</si>
  <si>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</si>
  <si>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</si>
  <si>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</si>
  <si>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</si>
  <si>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</si>
  <si>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</si>
  <si>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</si>
  <si>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</si>
  <si>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</si>
  <si>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</si>
  <si>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</si>
  <si>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</si>
  <si>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</si>
  <si>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</si>
  <si>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</si>
  <si>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</si>
  <si>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</si>
  <si>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</si>
  <si>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</si>
  <si>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</si>
  <si>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</si>
  <si>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</si>
  <si>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</si>
  <si>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</si>
  <si>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</si>
  <si>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</si>
  <si>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</si>
  <si>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</si>
  <si>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</si>
  <si>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</si>
  <si>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</si>
  <si>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</si>
  <si>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</si>
  <si>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</si>
  <si>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</si>
  <si>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</si>
  <si>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</si>
  <si>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</si>
  <si>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</si>
  <si>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</si>
  <si>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</si>
  <si>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</si>
  <si>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</si>
  <si>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</si>
  <si>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</si>
  <si>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</si>
  <si>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</si>
  <si>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</si>
  <si>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</si>
  <si>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</si>
  <si>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</si>
  <si>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</si>
  <si>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</si>
  <si>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</si>
  <si>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</si>
  <si>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</si>
  <si>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</si>
  <si>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</si>
  <si>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</si>
  <si>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</si>
  <si>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</si>
  <si>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</si>
  <si>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</si>
  <si>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</si>
  <si>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</si>
  <si>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</si>
  <si>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</si>
  <si>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</si>
  <si>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</si>
  <si>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</si>
  <si>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</si>
  <si>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</si>
  <si>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</si>
  <si>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</si>
  <si>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352.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</si>
  <si>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</si>
  <si>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</si>
  <si>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</si>
  <si>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</si>
  <si>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</si>
  <si>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</si>
  <si>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</si>
  <si>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</si>
  <si>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</si>
  <si>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</si>
  <si>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</si>
  <si>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</si>
  <si>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</si>
  <si>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</si>
  <si>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</si>
  <si>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</si>
  <si>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</si>
  <si>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</si>
  <si>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</si>
  <si>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</si>
  <si>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</si>
  <si>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</si>
  <si>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</si>
  <si>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</si>
  <si>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</si>
  <si>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</si>
  <si>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</si>
  <si>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</si>
  <si>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</si>
  <si>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</si>
  <si>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</si>
  <si>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</si>
  <si>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</si>
  <si>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719.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</si>
  <si>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</si>
  <si>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</si>
  <si>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</si>
  <si>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</si>
  <si>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</si>
  <si>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</si>
  <si>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</si>
  <si>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</si>
  <si>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</si>
  <si>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</si>
  <si>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</si>
  <si>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</si>
  <si>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</si>
  <si>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</si>
  <si>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</si>
  <si>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</si>
  <si>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</si>
  <si>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</si>
  <si>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</si>
  <si>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</si>
  <si>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</si>
  <si>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</si>
  <si>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</si>
  <si>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</si>
  <si>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</si>
  <si>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</si>
  <si>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</si>
  <si>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</si>
  <si>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</si>
  <si>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</si>
  <si>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</si>
  <si>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</si>
  <si>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</si>
  <si>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</si>
  <si>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</si>
  <si>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</si>
  <si>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</si>
  <si>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</si>
  <si>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</si>
  <si>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</si>
  <si>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</si>
  <si>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</si>
  <si>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</si>
  <si>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</si>
  <si>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</si>
  <si>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</si>
  <si>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</si>
  <si>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</si>
  <si>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</si>
  <si>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</si>
  <si>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</si>
  <si>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</si>
  <si>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</si>
  <si>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</si>
  <si>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</si>
  <si>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</si>
  <si>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</si>
  <si>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</si>
  <si>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</si>
  <si>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</si>
  <si>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</si>
  <si>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</si>
  <si>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</si>
  <si>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</si>
  <si>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</si>
  <si>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</si>
  <si>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</si>
  <si>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</si>
  <si>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</si>
  <si>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</si>
  <si>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</si>
  <si>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</si>
  <si>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</si>
  <si>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</si>
  <si>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</si>
  <si>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</si>
  <si>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</si>
  <si>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</si>
  <si>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</si>
  <si>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</si>
  <si>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</si>
  <si>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</si>
  <si>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</si>
  <si>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</si>
  <si>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</si>
  <si>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</si>
  <si>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</si>
  <si>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</si>
  <si>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</si>
  <si>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</si>
  <si>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</si>
  <si>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</si>
  <si>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</si>
  <si>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</si>
  <si>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</si>
  <si>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</si>
  <si>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</si>
  <si>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</si>
  <si>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</si>
  <si>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</si>
  <si>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</si>
  <si>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</si>
  <si>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</si>
  <si>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</si>
  <si>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</si>
  <si>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</si>
  <si>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</si>
  <si>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</si>
  <si>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</si>
  <si>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</si>
  <si>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</si>
  <si>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</si>
  <si>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</si>
  <si>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</si>
  <si>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</si>
  <si>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</si>
  <si>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</si>
  <si>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</si>
  <si>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</si>
  <si>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</si>
  <si>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</si>
  <si>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</si>
  <si>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</si>
  <si>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</si>
  <si>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</si>
  <si>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</si>
  <si>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</si>
  <si>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</si>
  <si>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</si>
  <si>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</si>
  <si>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</si>
  <si>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</si>
  <si>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828.</t>
  </si>
  <si>
    <t>831.</t>
  </si>
  <si>
    <t>832.</t>
  </si>
  <si>
    <t>833.</t>
  </si>
  <si>
    <t>834.</t>
  </si>
  <si>
    <t>835.</t>
  </si>
  <si>
    <t>836.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</si>
  <si>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</si>
  <si>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</si>
  <si>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</si>
  <si>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</si>
  <si>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</si>
  <si>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</si>
  <si>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</si>
  <si>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</si>
  <si>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</si>
  <si>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</si>
  <si>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</si>
  <si>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</si>
  <si>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</si>
  <si>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</si>
  <si>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</si>
  <si>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</si>
  <si>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</si>
  <si>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</si>
  <si>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</si>
  <si>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</si>
  <si>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</si>
  <si>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</si>
  <si>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</si>
  <si>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</si>
  <si>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</si>
  <si>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</si>
  <si>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</si>
  <si>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</si>
  <si>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</si>
  <si>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</si>
  <si>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</si>
  <si>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</si>
  <si>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</si>
  <si>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</si>
  <si>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</si>
  <si>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</si>
  <si>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</si>
  <si>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</si>
  <si>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</si>
  <si>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</si>
  <si>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</si>
  <si>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</si>
  <si>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</si>
  <si>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</si>
  <si>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</si>
  <si>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</si>
  <si>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</si>
  <si>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</si>
  <si>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</si>
  <si>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</si>
  <si>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</si>
  <si>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</si>
  <si>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</si>
  <si>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</si>
  <si>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</si>
  <si>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</si>
  <si>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</si>
  <si>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</si>
  <si>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</si>
  <si>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</si>
  <si>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</si>
  <si>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</si>
  <si>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</si>
  <si>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</si>
  <si>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</si>
  <si>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</si>
  <si>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</si>
  <si>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</si>
  <si>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</si>
  <si>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</si>
  <si>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</si>
  <si>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</si>
  <si>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</si>
  <si>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</si>
  <si>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</si>
  <si>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</si>
  <si>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</si>
  <si>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</si>
  <si>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</si>
  <si>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</si>
  <si>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</si>
  <si>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</si>
  <si>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</si>
  <si>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</si>
  <si>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</si>
  <si>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</si>
  <si>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</si>
  <si>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</si>
  <si>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</si>
  <si>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</si>
  <si>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</si>
  <si>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</si>
  <si>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</si>
  <si>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</si>
  <si>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</si>
  <si>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</si>
  <si>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</si>
  <si>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</si>
  <si>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</si>
  <si>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</si>
  <si>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</si>
  <si>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</si>
  <si>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</si>
  <si>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</si>
  <si>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</si>
  <si>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</si>
  <si>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</si>
  <si>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</si>
  <si>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</si>
  <si>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</si>
  <si>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</si>
  <si>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</si>
  <si>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</si>
  <si>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</si>
  <si>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</si>
  <si>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</si>
  <si>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</si>
  <si>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</si>
  <si>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</si>
  <si>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</si>
  <si>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</si>
  <si>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</si>
  <si>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</si>
  <si>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</si>
  <si>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</si>
  <si>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</si>
  <si>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</si>
  <si>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</si>
  <si>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</si>
  <si>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</si>
  <si>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</si>
  <si>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</si>
  <si>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</si>
  <si>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</si>
  <si>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</si>
  <si>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</si>
  <si>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</si>
  <si>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</si>
  <si>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</si>
  <si>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</si>
  <si>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</si>
  <si>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</si>
  <si>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</si>
  <si>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</si>
  <si>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</si>
  <si>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</si>
  <si>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</si>
  <si>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</si>
  <si>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</si>
  <si>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</si>
  <si>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</si>
  <si>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</si>
  <si>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</si>
  <si>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</si>
  <si>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</si>
  <si>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</si>
  <si>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</si>
  <si>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</si>
  <si>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</si>
  <si>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</si>
  <si>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</si>
  <si>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</si>
  <si>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</si>
  <si>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</si>
  <si>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</si>
  <si>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</si>
  <si>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</si>
  <si>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</si>
  <si>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</si>
  <si>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</si>
  <si>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</si>
  <si>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</si>
  <si>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</si>
  <si>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</si>
  <si>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</si>
  <si>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</si>
  <si>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</si>
  <si>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</si>
  <si>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</si>
  <si>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</si>
  <si>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</si>
  <si>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</si>
  <si>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</si>
  <si>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</si>
  <si>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</si>
  <si>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</si>
  <si>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</si>
  <si>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</si>
  <si>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</si>
  <si>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</si>
  <si>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</si>
  <si>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</si>
  <si>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</si>
  <si>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</si>
  <si>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</si>
  <si>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</si>
  <si>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</si>
  <si>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</si>
  <si>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</si>
  <si>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</si>
  <si>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</si>
  <si>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</si>
  <si>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</si>
  <si>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</si>
  <si>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</si>
  <si>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</si>
  <si>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</si>
  <si>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</si>
  <si>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</si>
  <si>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</si>
  <si>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</si>
  <si>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</si>
  <si>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</si>
  <si>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</si>
  <si>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</si>
  <si>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694.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</si>
  <si>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</si>
  <si>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</si>
  <si>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</si>
  <si>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425.</t>
  </si>
  <si>
    <t>903.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</si>
  <si>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</si>
  <si>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</si>
  <si>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</si>
  <si>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</si>
  <si>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</si>
  <si>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</si>
  <si>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</si>
  <si>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</si>
  <si>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</si>
  <si>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</si>
  <si>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</si>
  <si>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</si>
  <si>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</si>
  <si>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</si>
  <si>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</si>
  <si>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</si>
  <si>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</si>
  <si>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</si>
  <si>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</si>
  <si>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</si>
  <si>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</si>
  <si>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</si>
  <si>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</si>
  <si>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</si>
  <si>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</si>
  <si>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</si>
  <si>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</si>
  <si>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</si>
  <si>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</si>
  <si>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</si>
  <si>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</si>
  <si>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</si>
  <si>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</si>
  <si>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</si>
  <si>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</si>
  <si>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</si>
  <si>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</si>
  <si>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</si>
  <si>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</si>
  <si>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</si>
  <si>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</si>
  <si>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</si>
  <si>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</si>
  <si>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</si>
  <si>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</si>
  <si>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</si>
  <si>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</si>
  <si>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</si>
  <si>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</si>
  <si>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</si>
  <si>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</si>
  <si>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</si>
  <si>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</si>
  <si>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</si>
  <si>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718.</t>
  </si>
  <si>
    <t>720.</t>
  </si>
  <si>
    <t>776.</t>
  </si>
  <si>
    <t>938.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</si>
  <si>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</si>
  <si>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</si>
  <si>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</si>
  <si>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</si>
  <si>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</si>
  <si>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</si>
  <si>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</si>
  <si>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</si>
  <si>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</si>
  <si>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</si>
  <si>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</si>
  <si>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</si>
  <si>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</si>
  <si>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</si>
  <si>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</si>
  <si>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</si>
  <si>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</si>
  <si>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</si>
  <si>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</si>
  <si>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</si>
  <si>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</si>
  <si>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</si>
  <si>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Г. Ярцево, ул. Чернышевского, д. 8</t>
  </si>
  <si>
    <t>982.</t>
  </si>
  <si>
    <t>981.</t>
  </si>
  <si>
    <t>980.</t>
  </si>
  <si>
    <t>979.</t>
  </si>
  <si>
    <t>978.</t>
  </si>
  <si>
    <t>977.</t>
  </si>
  <si>
    <t>976.</t>
  </si>
  <si>
    <t>975.</t>
  </si>
  <si>
    <t>974.</t>
  </si>
  <si>
    <t>973.</t>
  </si>
  <si>
    <t>972.</t>
  </si>
  <si>
    <t>971.</t>
  </si>
  <si>
    <t>970.</t>
  </si>
  <si>
    <t>969.</t>
  </si>
  <si>
    <t>968.</t>
  </si>
  <si>
    <t>967.</t>
  </si>
  <si>
    <t>966.</t>
  </si>
  <si>
    <t>965.</t>
  </si>
  <si>
    <t>964.</t>
  </si>
  <si>
    <t>963.</t>
  </si>
  <si>
    <t>962.</t>
  </si>
  <si>
    <t>961.</t>
  </si>
  <si>
    <t>960.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</si>
  <si>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</si>
  <si>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</si>
  <si>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</si>
  <si>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</si>
  <si>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</si>
  <si>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</si>
  <si>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</si>
  <si>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</si>
  <si>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</si>
  <si>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</si>
  <si>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</si>
  <si>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</si>
  <si>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</si>
  <si>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</si>
  <si>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</si>
  <si>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</si>
  <si>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</si>
  <si>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</si>
  <si>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</si>
  <si>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</si>
  <si>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</si>
  <si>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</si>
  <si>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</si>
  <si>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</si>
  <si>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</si>
  <si>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</si>
  <si>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</si>
  <si>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</si>
  <si>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</si>
  <si>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</si>
  <si>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</si>
  <si>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</si>
  <si>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</si>
  <si>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</si>
  <si>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</si>
  <si>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</si>
  <si>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</si>
  <si>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</si>
  <si>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</si>
  <si>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</si>
  <si>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</si>
  <si>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</si>
  <si>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</si>
  <si>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</si>
  <si>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</si>
  <si>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</si>
  <si>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</si>
  <si>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</si>
  <si>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</si>
  <si>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</si>
  <si>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</si>
  <si>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</si>
  <si>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</si>
  <si>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</si>
  <si>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</si>
  <si>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</si>
  <si>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</si>
  <si>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</si>
  <si>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</si>
  <si>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</si>
  <si>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</si>
  <si>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</si>
  <si>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</si>
  <si>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</si>
  <si>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</si>
  <si>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</si>
  <si>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</si>
  <si>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</si>
  <si>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</si>
  <si>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</si>
  <si>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</si>
  <si>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</si>
  <si>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</si>
  <si>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</si>
  <si>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</si>
  <si>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</si>
  <si>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</si>
  <si>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</si>
  <si>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</si>
  <si>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</si>
  <si>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</si>
  <si>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</si>
  <si>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</si>
  <si>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</si>
  <si>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</si>
  <si>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</si>
  <si>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</si>
  <si>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</si>
  <si>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</si>
  <si>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</si>
  <si>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</si>
  <si>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</si>
  <si>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</si>
  <si>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</si>
  <si>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</si>
  <si>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</si>
  <si>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</si>
  <si>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</si>
  <si>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</si>
  <si>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</si>
  <si>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</si>
  <si>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</si>
  <si>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</si>
  <si>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</si>
  <si>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</si>
  <si>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</si>
  <si>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</si>
  <si>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</si>
  <si>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</si>
  <si>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</si>
  <si>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</si>
  <si>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</si>
  <si>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</si>
  <si>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</si>
  <si>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</si>
  <si>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</si>
  <si>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</si>
  <si>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</si>
  <si>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</si>
  <si>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</si>
  <si>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</si>
  <si>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</si>
  <si>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</si>
  <si>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</si>
  <si>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</si>
  <si>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</si>
  <si>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</si>
  <si>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</si>
  <si>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</si>
  <si>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</si>
  <si>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</si>
  <si>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</si>
  <si>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</si>
  <si>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</si>
  <si>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</si>
  <si>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</si>
  <si>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</si>
  <si>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</si>
  <si>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</si>
  <si>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</si>
  <si>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</si>
  <si>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</si>
  <si>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</si>
  <si>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</si>
  <si>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</si>
  <si>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</si>
  <si>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</si>
  <si>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</si>
  <si>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</si>
  <si>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</si>
  <si>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</si>
  <si>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</si>
  <si>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</si>
  <si>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</si>
  <si>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</si>
  <si>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</si>
  <si>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</si>
  <si>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</si>
  <si>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</si>
  <si>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</si>
  <si>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</si>
  <si>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</si>
  <si>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</si>
  <si>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</si>
  <si>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</si>
  <si>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</si>
  <si>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</si>
  <si>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</si>
  <si>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</si>
  <si>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</si>
  <si>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</si>
  <si>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</si>
  <si>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</si>
  <si>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</si>
  <si>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</si>
  <si>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</si>
  <si>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</si>
  <si>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</si>
  <si>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</si>
  <si>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</si>
  <si>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</si>
  <si>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317.</t>
  </si>
  <si>
    <t>983.</t>
  </si>
  <si>
    <t>984.</t>
  </si>
  <si>
    <t>985.</t>
  </si>
  <si>
    <t>986.</t>
  </si>
  <si>
    <t>987.</t>
  </si>
  <si>
    <t>988.</t>
  </si>
  <si>
    <t>989.</t>
  </si>
  <si>
    <t>Пос. Хиславичи, ул. Берестнева, д. 24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</si>
  <si>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</si>
  <si>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</si>
  <si>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</si>
  <si>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</si>
  <si>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</si>
  <si>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</si>
  <si>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</si>
  <si>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</si>
  <si>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</si>
  <si>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</si>
  <si>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</si>
  <si>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</si>
  <si>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</si>
  <si>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</si>
  <si>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</si>
  <si>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</si>
  <si>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Пос. Кардымово, ул. Каменка, д. 15</t>
  </si>
  <si>
    <t>Дер. Сташки, ул. Молодежная, д. 3</t>
  </si>
  <si>
    <t>Г. Сафоново, ул. Ленинградская, д. 16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</si>
  <si>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</si>
  <si>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</si>
  <si>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</si>
  <si>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</si>
  <si>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</si>
  <si>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</si>
  <si>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</si>
  <si>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</si>
  <si>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</si>
  <si>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</si>
  <si>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</si>
  <si>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</si>
  <si>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</si>
  <si>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</si>
  <si>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</si>
  <si>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</si>
  <si>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</si>
  <si>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</si>
  <si>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</si>
  <si>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</si>
  <si>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</si>
  <si>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</si>
  <si>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</si>
  <si>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</si>
  <si>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</si>
  <si>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</si>
  <si>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</si>
  <si>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</si>
  <si>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</si>
  <si>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</si>
  <si>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</si>
  <si>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</si>
  <si>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</si>
  <si>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</si>
  <si>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</si>
  <si>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</si>
  <si>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</si>
  <si>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</si>
  <si>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</si>
  <si>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</si>
  <si>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</si>
  <si>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</si>
  <si>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</si>
  <si>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</si>
  <si>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</si>
  <si>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</si>
  <si>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</si>
  <si>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</si>
  <si>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</si>
  <si>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</si>
  <si>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</si>
  <si>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</si>
  <si>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</si>
  <si>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</si>
  <si>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</si>
  <si>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</si>
  <si>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</si>
  <si>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</si>
  <si>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</si>
  <si>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</si>
  <si>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</si>
  <si>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</si>
  <si>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</si>
  <si>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</si>
  <si>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</si>
  <si>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</si>
  <si>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</si>
  <si>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</si>
  <si>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</si>
  <si>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</si>
  <si>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</si>
  <si>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</si>
  <si>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</si>
  <si>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</si>
  <si>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</si>
  <si>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</si>
  <si>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</si>
  <si>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</si>
  <si>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</si>
  <si>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</si>
  <si>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</si>
  <si>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</si>
  <si>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</si>
  <si>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</si>
  <si>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318.</t>
  </si>
  <si>
    <t>319.</t>
  </si>
  <si>
    <t>320.</t>
  </si>
  <si>
    <t>321.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</si>
  <si>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</si>
  <si>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</si>
  <si>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</si>
  <si>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</si>
  <si>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</si>
  <si>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</si>
  <si>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</si>
  <si>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</si>
  <si>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</si>
  <si>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</si>
  <si>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</si>
  <si>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</si>
  <si>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</si>
  <si>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</si>
  <si>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</si>
  <si>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</si>
  <si>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</si>
  <si>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</si>
  <si>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</si>
  <si>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</si>
  <si>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</si>
  <si>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</si>
  <si>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</si>
  <si>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</si>
  <si>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</si>
  <si>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</si>
  <si>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</si>
  <si>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</si>
  <si>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</si>
  <si>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</si>
  <si>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</si>
  <si>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</si>
  <si>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</si>
  <si>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</si>
  <si>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</si>
  <si>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</si>
  <si>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</si>
  <si>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</si>
  <si>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</si>
  <si>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</si>
  <si>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</si>
  <si>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</si>
  <si>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</si>
  <si>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</si>
  <si>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</si>
  <si>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</si>
  <si>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</si>
  <si>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</si>
  <si>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</si>
  <si>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</si>
  <si>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</si>
  <si>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</si>
  <si>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</si>
  <si>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</si>
  <si>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</si>
  <si>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</si>
  <si>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</si>
  <si>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</si>
  <si>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</si>
  <si>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</si>
  <si>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</si>
  <si>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</si>
  <si>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</si>
  <si>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</si>
  <si>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</si>
  <si>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</si>
  <si>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</si>
  <si>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</si>
  <si>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</si>
  <si>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</si>
  <si>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</si>
  <si>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</si>
  <si>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</si>
  <si>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</si>
  <si>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</si>
  <si>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</si>
  <si>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</si>
  <si>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</si>
  <si>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</si>
  <si>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</si>
  <si>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</si>
  <si>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</si>
  <si>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</si>
  <si>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</si>
  <si>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</si>
  <si>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</si>
  <si>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</si>
  <si>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</si>
  <si>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</si>
  <si>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</si>
  <si>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</si>
  <si>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</si>
  <si>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</si>
  <si>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</si>
  <si>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</si>
  <si>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</si>
  <si>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</si>
  <si>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</si>
  <si>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</si>
  <si>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</si>
  <si>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</si>
  <si>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</si>
  <si>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</si>
  <si>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</si>
  <si>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</si>
  <si>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</si>
  <si>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</si>
  <si>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</si>
  <si>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</si>
  <si>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</si>
  <si>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</si>
  <si>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</si>
  <si>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</si>
  <si>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</si>
  <si>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</si>
  <si>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</si>
  <si>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</si>
  <si>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</si>
  <si>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</si>
  <si>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</si>
  <si>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</si>
  <si>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</si>
  <si>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</si>
  <si>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</si>
  <si>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</si>
  <si>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</si>
  <si>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</si>
  <si>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</si>
  <si>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</si>
  <si>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</si>
  <si>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</si>
  <si>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</si>
  <si>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</si>
  <si>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</si>
  <si>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</si>
  <si>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</si>
  <si>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</si>
  <si>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</si>
  <si>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</si>
  <si>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</si>
  <si>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</si>
  <si>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</si>
  <si>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</si>
  <si>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</si>
  <si>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</si>
  <si>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</si>
  <si>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</si>
  <si>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</si>
  <si>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</si>
  <si>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</si>
  <si>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</si>
  <si>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</si>
  <si>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</si>
  <si>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</si>
  <si>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</si>
  <si>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</si>
  <si>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</si>
  <si>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</si>
  <si>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</si>
  <si>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</si>
  <si>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</si>
  <si>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</si>
  <si>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</si>
  <si>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</si>
  <si>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</si>
  <si>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</si>
  <si>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</si>
  <si>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</si>
  <si>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</si>
  <si>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</si>
  <si>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</si>
  <si>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</si>
  <si>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</si>
  <si>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</si>
  <si>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</si>
  <si>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</si>
  <si>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</si>
  <si>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</si>
  <si>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</si>
  <si>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</si>
  <si>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</si>
  <si>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</si>
  <si>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</si>
  <si>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</si>
  <si>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</si>
  <si>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</si>
  <si>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</si>
  <si>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</si>
  <si>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</si>
  <si>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</si>
  <si>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</si>
  <si>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</si>
  <si>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</si>
  <si>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</si>
  <si>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</si>
  <si>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</si>
  <si>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</si>
  <si>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</si>
  <si>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</si>
  <si>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</si>
  <si>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</si>
  <si>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</si>
  <si>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</si>
  <si>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</si>
  <si>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</si>
  <si>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</si>
  <si>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</si>
  <si>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</si>
  <si>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</si>
  <si>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</si>
  <si>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</si>
  <si>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</si>
  <si>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</si>
  <si>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</si>
  <si>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</si>
  <si>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</si>
  <si>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</si>
  <si>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</si>
  <si>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</si>
  <si>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</si>
  <si>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</si>
  <si>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</si>
  <si>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</si>
  <si>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</si>
  <si>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</si>
  <si>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</si>
  <si>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</si>
  <si>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</si>
  <si>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</si>
  <si>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</si>
  <si>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</si>
  <si>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</si>
  <si>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</si>
  <si>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</si>
  <si>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</si>
  <si>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</si>
  <si>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</si>
  <si>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</si>
  <si>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</si>
  <si>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</si>
  <si>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</si>
  <si>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</si>
  <si>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</si>
  <si>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</si>
  <si>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</si>
  <si>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</si>
  <si>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</si>
  <si>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</si>
  <si>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</si>
  <si>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</si>
  <si>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</si>
  <si>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</si>
  <si>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</si>
  <si>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</si>
  <si>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</si>
  <si>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</si>
  <si>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</si>
  <si>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</si>
  <si>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</si>
  <si>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</si>
  <si>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</si>
  <si>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</si>
  <si>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</si>
  <si>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</si>
  <si>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</si>
  <si>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</si>
  <si>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</si>
  <si>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</si>
  <si>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</si>
  <si>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</si>
  <si>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</si>
  <si>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</si>
  <si>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</si>
  <si>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</si>
  <si>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</si>
  <si>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</si>
  <si>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</si>
  <si>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</si>
  <si>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</si>
  <si>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</si>
  <si>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</si>
  <si>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</si>
  <si>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</si>
  <si>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</si>
  <si>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</si>
  <si>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</si>
  <si>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</si>
  <si>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</si>
  <si>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</si>
  <si>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</si>
  <si>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</si>
  <si>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</si>
  <si>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</si>
  <si>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</si>
  <si>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</si>
  <si>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</si>
  <si>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</si>
  <si>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</si>
  <si>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</si>
  <si>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</si>
  <si>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</si>
  <si>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</si>
  <si>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</si>
  <si>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</si>
  <si>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</si>
  <si>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</si>
  <si>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</si>
  <si>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</si>
  <si>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</si>
  <si>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</si>
  <si>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</si>
  <si>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</si>
  <si>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</si>
  <si>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</si>
  <si>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</si>
  <si>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</si>
  <si>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</si>
  <si>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</si>
  <si>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</si>
  <si>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</si>
  <si>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</si>
  <si>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</si>
  <si>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</si>
  <si>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</si>
  <si>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</si>
  <si>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</si>
  <si>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</si>
  <si>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</si>
  <si>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</si>
  <si>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</si>
  <si>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</si>
  <si>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</si>
  <si>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</si>
  <si>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</si>
  <si>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</si>
  <si>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</si>
  <si>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</si>
  <si>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</si>
  <si>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</si>
  <si>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</si>
  <si>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</si>
  <si>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</si>
  <si>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</si>
  <si>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</si>
  <si>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</si>
  <si>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</si>
  <si>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</si>
  <si>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</si>
  <si>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</si>
  <si>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</si>
  <si>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</si>
  <si>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</si>
  <si>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</si>
  <si>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</si>
  <si>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</si>
  <si>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</si>
  <si>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</si>
  <si>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</si>
  <si>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837.</t>
  </si>
  <si>
    <t>Г. Вязьма, мкрн. Березы, д. 4</t>
  </si>
  <si>
    <t>Г. Смоленск, ул. Генерала Лукина, д. 4</t>
  </si>
  <si>
    <t>Г. Смоленск, ул. Центральная, д. 7</t>
  </si>
  <si>
    <t>Дер. Сметанино, ул. Липатенкова, д. 8</t>
  </si>
  <si>
    <t>493.</t>
  </si>
  <si>
    <t>Г. Смоленск, ул. Ленина, д. 12а</t>
  </si>
  <si>
    <t>322.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</si>
  <si>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</si>
  <si>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</si>
  <si>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</si>
  <si>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</si>
  <si>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</si>
  <si>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</si>
  <si>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</si>
  <si>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</si>
  <si>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</si>
  <si>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</si>
  <si>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Итого по Сметанинскому сельскому поселению Смоленского района Смоленской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</si>
</sst>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" fontId="4" fillId="0" borderId="1" xfId="12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66"/>
  <sheetViews>
    <sheetView tabSelected="1" view="pageBreakPreview" topLeftCell="A1141" zoomScaleNormal="50" zoomScaleSheetLayoutView="100" zoomScalePageLayoutView="40" workbookViewId="0">
      <selection activeCell="A33" sqref="A33:B33"/>
    </sheetView>
  </sheetViews>
  <sheetFormatPr defaultColWidth="9.140625" defaultRowHeight="15.75" x14ac:dyDescent="0.25"/>
  <cols>
    <col min="1" max="1" width="6.42578125" style="44" customWidth="1"/>
    <col min="2" max="2" width="54.7109375" style="32" customWidth="1"/>
    <col min="3" max="3" width="19.85546875" style="33" customWidth="1"/>
    <col min="4" max="4" width="19" style="33" customWidth="1"/>
    <col min="5" max="5" width="19.7109375" style="33" customWidth="1"/>
    <col min="6" max="10" width="17" style="33" customWidth="1"/>
    <col min="11" max="11" width="6.85546875" style="34" customWidth="1"/>
    <col min="12" max="12" width="16.42578125" style="33" customWidth="1"/>
    <col min="13" max="13" width="13.7109375" style="33" customWidth="1"/>
    <col min="14" max="14" width="19" style="33" customWidth="1"/>
    <col min="15" max="15" width="10.5703125" style="33" customWidth="1"/>
    <col min="16" max="16" width="16.42578125" style="33" customWidth="1"/>
    <col min="17" max="17" width="12.7109375" style="33" customWidth="1"/>
    <col min="18" max="18" width="18.42578125" style="33" customWidth="1"/>
    <col min="19" max="19" width="15.7109375" style="33" customWidth="1"/>
    <col min="20" max="20" width="18.42578125" style="33" customWidth="1"/>
    <col min="21" max="21" width="16.5703125" style="33" customWidth="1"/>
    <col min="22" max="22" width="29.42578125" style="6" customWidth="1"/>
    <col min="23" max="16384" width="9.140625" style="7"/>
  </cols>
  <sheetData>
    <row r="1" spans="1:22" ht="19.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19.5" customHeight="1" x14ac:dyDescent="0.25">
      <c r="A2" s="35"/>
      <c r="B2" s="49"/>
      <c r="C2" s="49"/>
      <c r="D2" s="49"/>
      <c r="E2" s="49"/>
      <c r="F2" s="49"/>
      <c r="G2" s="49"/>
      <c r="H2" s="49"/>
      <c r="I2" s="49"/>
      <c r="J2" s="49"/>
      <c r="K2" s="9"/>
      <c r="L2" s="49"/>
      <c r="M2" s="49"/>
      <c r="N2" s="49"/>
      <c r="O2" s="10"/>
      <c r="P2" s="10"/>
      <c r="Q2" s="10"/>
      <c r="R2" s="10"/>
      <c r="S2" s="10"/>
      <c r="T2" s="10"/>
      <c r="U2" s="10"/>
    </row>
    <row r="3" spans="1:22" ht="192" customHeight="1" x14ac:dyDescent="0.25">
      <c r="A3" s="66" t="s">
        <v>16</v>
      </c>
      <c r="B3" s="69" t="s">
        <v>15</v>
      </c>
      <c r="C3" s="55" t="s">
        <v>13</v>
      </c>
      <c r="D3" s="58" t="s">
        <v>4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61" t="s">
        <v>12</v>
      </c>
      <c r="U3" s="62"/>
    </row>
    <row r="4" spans="1:22" ht="31.5" customHeight="1" x14ac:dyDescent="0.25">
      <c r="A4" s="67"/>
      <c r="B4" s="69"/>
      <c r="C4" s="56"/>
      <c r="D4" s="70" t="s">
        <v>1190</v>
      </c>
      <c r="E4" s="71"/>
      <c r="F4" s="71"/>
      <c r="G4" s="71"/>
      <c r="H4" s="71"/>
      <c r="I4" s="71"/>
      <c r="J4" s="72"/>
      <c r="K4" s="74" t="s">
        <v>1184</v>
      </c>
      <c r="L4" s="75"/>
      <c r="M4" s="74" t="s">
        <v>8</v>
      </c>
      <c r="N4" s="75"/>
      <c r="O4" s="74" t="s">
        <v>6</v>
      </c>
      <c r="P4" s="75"/>
      <c r="Q4" s="74" t="s">
        <v>9</v>
      </c>
      <c r="R4" s="75"/>
      <c r="S4" s="55" t="s">
        <v>14</v>
      </c>
      <c r="T4" s="73" t="s">
        <v>5</v>
      </c>
      <c r="U4" s="58" t="s">
        <v>3</v>
      </c>
    </row>
    <row r="5" spans="1:22" ht="190.5" customHeight="1" x14ac:dyDescent="0.25">
      <c r="A5" s="67"/>
      <c r="B5" s="69"/>
      <c r="C5" s="57"/>
      <c r="D5" s="48" t="s">
        <v>1189</v>
      </c>
      <c r="E5" s="50" t="s">
        <v>1212</v>
      </c>
      <c r="F5" s="50" t="s">
        <v>1213</v>
      </c>
      <c r="G5" s="50" t="s">
        <v>1185</v>
      </c>
      <c r="H5" s="50" t="s">
        <v>1186</v>
      </c>
      <c r="I5" s="50" t="s">
        <v>1187</v>
      </c>
      <c r="J5" s="50" t="s">
        <v>1188</v>
      </c>
      <c r="K5" s="76"/>
      <c r="L5" s="77"/>
      <c r="M5" s="76"/>
      <c r="N5" s="77"/>
      <c r="O5" s="76"/>
      <c r="P5" s="77"/>
      <c r="Q5" s="76"/>
      <c r="R5" s="77"/>
      <c r="S5" s="57"/>
      <c r="T5" s="73"/>
      <c r="U5" s="58"/>
    </row>
    <row r="6" spans="1:22" ht="18" customHeight="1" x14ac:dyDescent="0.25">
      <c r="A6" s="68"/>
      <c r="B6" s="69"/>
      <c r="C6" s="5" t="s">
        <v>7</v>
      </c>
      <c r="D6" s="5" t="s">
        <v>7</v>
      </c>
      <c r="E6" s="5" t="s">
        <v>7</v>
      </c>
      <c r="F6" s="5" t="s">
        <v>7</v>
      </c>
      <c r="G6" s="5" t="s">
        <v>7</v>
      </c>
      <c r="H6" s="5" t="s">
        <v>7</v>
      </c>
      <c r="I6" s="5" t="s">
        <v>7</v>
      </c>
      <c r="J6" s="5" t="s">
        <v>7</v>
      </c>
      <c r="K6" s="11" t="s">
        <v>10</v>
      </c>
      <c r="L6" s="5" t="s">
        <v>7</v>
      </c>
      <c r="M6" s="5" t="s">
        <v>18</v>
      </c>
      <c r="N6" s="5" t="s">
        <v>7</v>
      </c>
      <c r="O6" s="5" t="s">
        <v>18</v>
      </c>
      <c r="P6" s="5" t="s">
        <v>7</v>
      </c>
      <c r="Q6" s="5" t="s">
        <v>18</v>
      </c>
      <c r="R6" s="5" t="s">
        <v>7</v>
      </c>
      <c r="S6" s="5" t="s">
        <v>7</v>
      </c>
      <c r="T6" s="5" t="s">
        <v>7</v>
      </c>
      <c r="U6" s="5" t="s">
        <v>7</v>
      </c>
    </row>
    <row r="7" spans="1:22" s="13" customFormat="1" ht="15" customHeight="1" x14ac:dyDescent="0.25">
      <c r="A7" s="36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2"/>
    </row>
    <row r="8" spans="1:22" ht="24.95" customHeight="1" x14ac:dyDescent="0.25">
      <c r="A8" s="78" t="s">
        <v>26</v>
      </c>
      <c r="B8" s="78"/>
      <c r="C8" s="2">
        <f t="shared" ref="C8:U8" si="0">C10+C285+C757</f>
        <v>4236647358.1600003</v>
      </c>
      <c r="D8" s="2">
        <f t="shared" si="0"/>
        <v>941693799.46000004</v>
      </c>
      <c r="E8" s="2">
        <f t="shared" si="0"/>
        <v>200414876.47</v>
      </c>
      <c r="F8" s="2">
        <f t="shared" si="0"/>
        <v>458240915.22000003</v>
      </c>
      <c r="G8" s="2">
        <f t="shared" si="0"/>
        <v>101251382.72</v>
      </c>
      <c r="H8" s="2">
        <f t="shared" si="0"/>
        <v>85382676.109999999</v>
      </c>
      <c r="I8" s="2">
        <f t="shared" si="0"/>
        <v>96440467.340000004</v>
      </c>
      <c r="J8" s="2">
        <f t="shared" si="0"/>
        <v>0</v>
      </c>
      <c r="K8" s="14">
        <f t="shared" si="0"/>
        <v>51</v>
      </c>
      <c r="L8" s="2">
        <f t="shared" si="0"/>
        <v>105582146.98999999</v>
      </c>
      <c r="M8" s="2">
        <f t="shared" si="0"/>
        <v>398981.84000000008</v>
      </c>
      <c r="N8" s="2">
        <f t="shared" si="0"/>
        <v>2189249934.3499999</v>
      </c>
      <c r="O8" s="2">
        <f t="shared" si="0"/>
        <v>7799.95</v>
      </c>
      <c r="P8" s="2">
        <f t="shared" si="0"/>
        <v>8552057.2799999993</v>
      </c>
      <c r="Q8" s="2">
        <f t="shared" si="0"/>
        <v>286421.59000000003</v>
      </c>
      <c r="R8" s="2">
        <f t="shared" si="0"/>
        <v>828084730.63999999</v>
      </c>
      <c r="S8" s="2">
        <f t="shared" si="0"/>
        <v>10614390.720000001</v>
      </c>
      <c r="T8" s="2">
        <f t="shared" si="0"/>
        <v>678303.6</v>
      </c>
      <c r="U8" s="2">
        <f t="shared" si="0"/>
        <v>93752927.120000005</v>
      </c>
    </row>
    <row r="9" spans="1:22" s="16" customFormat="1" ht="24.95" customHeight="1" x14ac:dyDescent="0.25">
      <c r="A9" s="60" t="s">
        <v>25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15"/>
    </row>
    <row r="10" spans="1:22" ht="24.95" customHeight="1" x14ac:dyDescent="0.25">
      <c r="A10" s="59" t="s">
        <v>206</v>
      </c>
      <c r="B10" s="59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4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18">
        <f>D10+L10+N10+P10+R10+S10+T10+U10</f>
        <v>634485512.4000001</v>
      </c>
    </row>
    <row r="11" spans="1:22" ht="45" customHeight="1" x14ac:dyDescent="0.25">
      <c r="A11" s="54" t="s">
        <v>0</v>
      </c>
      <c r="B11" s="54"/>
      <c r="C11" s="2">
        <f>SUM(C12:C23)</f>
        <v>37755868.190000005</v>
      </c>
      <c r="D11" s="2">
        <f t="shared" ref="D11:U11" si="2">SUM(D12:D23)</f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4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8">
        <f>C11+C291+C761</f>
        <v>346136637.29999995</v>
      </c>
    </row>
    <row r="12" spans="1:22" ht="21.95" customHeight="1" x14ac:dyDescent="0.25">
      <c r="A12" s="37" t="s">
        <v>825</v>
      </c>
      <c r="B12" s="19" t="s">
        <v>39</v>
      </c>
      <c r="C12" s="2">
        <f t="shared" ref="C12:C58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0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6">
        <f t="shared" ref="V12:V23" si="4">N12/M12</f>
        <v>5366.4699999999993</v>
      </c>
    </row>
    <row r="13" spans="1:22" ht="21.95" customHeight="1" x14ac:dyDescent="0.25">
      <c r="A13" s="37" t="s">
        <v>826</v>
      </c>
      <c r="B13" s="19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0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8">
        <f t="shared" si="4"/>
        <v>5037.8496528609048</v>
      </c>
    </row>
    <row r="14" spans="1:22" ht="21.95" customHeight="1" x14ac:dyDescent="0.25">
      <c r="A14" s="37" t="s">
        <v>1227</v>
      </c>
      <c r="B14" s="8" t="s">
        <v>43</v>
      </c>
      <c r="C14" s="2">
        <f>D14+L14+N14+P14+R14+S14+T14+U14</f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0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6">
        <f>N14/M14</f>
        <v>5025.4322535701849</v>
      </c>
    </row>
    <row r="15" spans="1:22" ht="21.95" customHeight="1" x14ac:dyDescent="0.25">
      <c r="A15" s="37" t="s">
        <v>1228</v>
      </c>
      <c r="B15" s="8" t="s">
        <v>44</v>
      </c>
      <c r="C15" s="2">
        <f>D15+L15+N15+P15+R15+S15+T15+U15</f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0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6" t="e">
        <f>N15/M15</f>
        <v>#DIV/0!</v>
      </c>
    </row>
    <row r="16" spans="1:22" ht="21.95" customHeight="1" x14ac:dyDescent="0.25">
      <c r="A16" s="37" t="s">
        <v>1229</v>
      </c>
      <c r="B16" s="8" t="s">
        <v>45</v>
      </c>
      <c r="C16" s="2">
        <f>D16+L16+N16+P16+R16+S16+T16+U16</f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0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6">
        <f>N16/M16</f>
        <v>5299.7964480582004</v>
      </c>
    </row>
    <row r="17" spans="1:22" ht="21.95" customHeight="1" x14ac:dyDescent="0.25">
      <c r="A17" s="37" t="s">
        <v>1230</v>
      </c>
      <c r="B17" s="8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0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6">
        <f t="shared" si="4"/>
        <v>5153.032937625755</v>
      </c>
    </row>
    <row r="18" spans="1:22" ht="21.95" customHeight="1" x14ac:dyDescent="0.25">
      <c r="A18" s="37" t="s">
        <v>1231</v>
      </c>
      <c r="B18" s="8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0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6">
        <f t="shared" si="4"/>
        <v>5299.7997807818783</v>
      </c>
    </row>
    <row r="19" spans="1:22" ht="21.95" customHeight="1" x14ac:dyDescent="0.25">
      <c r="A19" s="37" t="s">
        <v>1232</v>
      </c>
      <c r="B19" s="8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0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6">
        <f t="shared" si="4"/>
        <v>3299.9980082987554</v>
      </c>
    </row>
    <row r="20" spans="1:22" ht="21.95" customHeight="1" x14ac:dyDescent="0.25">
      <c r="A20" s="37" t="s">
        <v>1233</v>
      </c>
      <c r="B20" s="8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0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6">
        <f t="shared" si="4"/>
        <v>5058.1819464033842</v>
      </c>
    </row>
    <row r="21" spans="1:22" ht="21.95" customHeight="1" x14ac:dyDescent="0.25">
      <c r="A21" s="37" t="s">
        <v>1234</v>
      </c>
      <c r="B21" s="19" t="s">
        <v>56</v>
      </c>
      <c r="C21" s="2">
        <f>D21+L21+N21+P21+R21+S21+T21+U21</f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0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6">
        <f>N21/M21</f>
        <v>4410.6899999999996</v>
      </c>
    </row>
    <row r="22" spans="1:22" ht="21.95" customHeight="1" x14ac:dyDescent="0.25">
      <c r="A22" s="37" t="s">
        <v>1235</v>
      </c>
      <c r="B22" s="19" t="s">
        <v>57</v>
      </c>
      <c r="C22" s="2">
        <f>D22+L22+N22+P22+R22+S22+T22+U22</f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0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6">
        <f>N22/M22</f>
        <v>4765.7115835777131</v>
      </c>
    </row>
    <row r="23" spans="1:22" ht="21.95" customHeight="1" x14ac:dyDescent="0.25">
      <c r="A23" s="37" t="s">
        <v>1236</v>
      </c>
      <c r="B23" s="19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0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6">
        <f t="shared" si="4"/>
        <v>4996.1936811168262</v>
      </c>
    </row>
    <row r="24" spans="1:22" ht="45" customHeight="1" x14ac:dyDescent="0.25">
      <c r="A24" s="54" t="s">
        <v>969</v>
      </c>
      <c r="B24" s="54"/>
      <c r="C24" s="2">
        <f>SUM(C25)</f>
        <v>2310609.41</v>
      </c>
      <c r="D24" s="2">
        <f t="shared" ref="D24:U24" si="5">SUM(D25)</f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4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8">
        <f>C24</f>
        <v>2310609.41</v>
      </c>
    </row>
    <row r="25" spans="1:22" ht="21.95" customHeight="1" x14ac:dyDescent="0.25">
      <c r="A25" s="37" t="s">
        <v>1237</v>
      </c>
      <c r="B25" s="8" t="s">
        <v>27</v>
      </c>
      <c r="C25" s="2">
        <f t="shared" si="3"/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0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6">
        <f>N25/M25</f>
        <v>4136.7320498716545</v>
      </c>
    </row>
    <row r="26" spans="1:22" ht="45" customHeight="1" x14ac:dyDescent="0.25">
      <c r="A26" s="54" t="s">
        <v>1009</v>
      </c>
      <c r="B26" s="54"/>
      <c r="C26" s="2">
        <f>SUM(C27)</f>
        <v>3798369.6</v>
      </c>
      <c r="D26" s="2">
        <f t="shared" ref="D26:U26" si="6">SUM(D27)</f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4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8">
        <f>C26</f>
        <v>3798369.6</v>
      </c>
    </row>
    <row r="27" spans="1:22" ht="21.95" customHeight="1" x14ac:dyDescent="0.25">
      <c r="A27" s="37" t="s">
        <v>1238</v>
      </c>
      <c r="B27" s="8" t="s">
        <v>1010</v>
      </c>
      <c r="C27" s="2">
        <f t="shared" si="3"/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0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6">
        <f>N27/M27</f>
        <v>2831.7512953367877</v>
      </c>
    </row>
    <row r="28" spans="1:22" ht="45" customHeight="1" x14ac:dyDescent="0.25">
      <c r="A28" s="54" t="s">
        <v>74</v>
      </c>
      <c r="B28" s="54"/>
      <c r="C28" s="2">
        <f>SUM(C29)</f>
        <v>1334845.79</v>
      </c>
      <c r="D28" s="2">
        <f t="shared" ref="D28:U28" si="7">SUM(D29)</f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4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8">
        <f>C28+C316+C790</f>
        <v>26083643.789999999</v>
      </c>
    </row>
    <row r="29" spans="1:22" ht="23.1" customHeight="1" x14ac:dyDescent="0.25">
      <c r="A29" s="36" t="s">
        <v>1239</v>
      </c>
      <c r="B29" s="8" t="s">
        <v>73</v>
      </c>
      <c r="C29" s="2">
        <f t="shared" si="3"/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1">
        <v>0</v>
      </c>
      <c r="L29" s="5">
        <v>0</v>
      </c>
      <c r="M29" s="5">
        <v>254.8</v>
      </c>
      <c r="N29" s="20">
        <v>1159135.44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77267.520000000004</v>
      </c>
      <c r="V29" s="6">
        <f>N29/M29</f>
        <v>4549.1971742543165</v>
      </c>
    </row>
    <row r="30" spans="1:22" ht="45" customHeight="1" x14ac:dyDescent="0.25">
      <c r="A30" s="54" t="s">
        <v>2</v>
      </c>
      <c r="B30" s="54"/>
      <c r="C30" s="2">
        <f>SUM(C31:C32)</f>
        <v>1938064.1099999999</v>
      </c>
      <c r="D30" s="2">
        <f t="shared" ref="D30:U30" si="8">SUM(D31:D32)</f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4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8">
        <f>C30+C322+C794</f>
        <v>17314654.109999999</v>
      </c>
    </row>
    <row r="31" spans="1:22" ht="20.100000000000001" customHeight="1" x14ac:dyDescent="0.25">
      <c r="A31" s="37" t="s">
        <v>1240</v>
      </c>
      <c r="B31" s="8" t="s">
        <v>77</v>
      </c>
      <c r="C31" s="2">
        <f t="shared" si="3"/>
        <v>53254.81</v>
      </c>
      <c r="D31" s="3">
        <f t="shared" ref="D31:D32" si="9"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5">
        <v>0</v>
      </c>
      <c r="N31" s="5">
        <v>0</v>
      </c>
      <c r="O31" s="3">
        <v>0</v>
      </c>
      <c r="P31" s="3">
        <v>0</v>
      </c>
      <c r="Q31" s="3">
        <v>0</v>
      </c>
      <c r="R31" s="3">
        <v>0</v>
      </c>
      <c r="S31" s="5">
        <v>0</v>
      </c>
      <c r="T31" s="3">
        <v>0</v>
      </c>
      <c r="U31" s="3">
        <v>53254.81</v>
      </c>
      <c r="V31" s="6" t="e">
        <f t="shared" ref="V31:V32" si="10">N31/M31</f>
        <v>#DIV/0!</v>
      </c>
    </row>
    <row r="32" spans="1:22" s="6" customFormat="1" ht="20.100000000000001" customHeight="1" x14ac:dyDescent="0.25">
      <c r="A32" s="37" t="s">
        <v>1241</v>
      </c>
      <c r="B32" s="8" t="s">
        <v>78</v>
      </c>
      <c r="C32" s="2">
        <f>D32+L32+N32+P32+R32+S32+T32+U32</f>
        <v>1884809.2999999998</v>
      </c>
      <c r="D32" s="3">
        <f t="shared" si="9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1">
        <v>0</v>
      </c>
      <c r="L32" s="5">
        <v>0</v>
      </c>
      <c r="M32" s="5">
        <v>496</v>
      </c>
      <c r="N32" s="5">
        <v>1830260.64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3">
        <v>0</v>
      </c>
      <c r="U32" s="5">
        <v>54548.66</v>
      </c>
      <c r="V32" s="6">
        <f t="shared" si="10"/>
        <v>3690.0416129032255</v>
      </c>
    </row>
    <row r="33" spans="1:22" ht="45" customHeight="1" x14ac:dyDescent="0.25">
      <c r="A33" s="54" t="s">
        <v>820</v>
      </c>
      <c r="B33" s="54"/>
      <c r="C33" s="2">
        <f>SUM(C34)</f>
        <v>239642.18</v>
      </c>
      <c r="D33" s="2">
        <f t="shared" ref="D33:U33" si="11">SUM(D34)</f>
        <v>0</v>
      </c>
      <c r="E33" s="2">
        <f t="shared" si="11"/>
        <v>0</v>
      </c>
      <c r="F33" s="2">
        <f t="shared" si="11"/>
        <v>0</v>
      </c>
      <c r="G33" s="2">
        <f t="shared" si="11"/>
        <v>0</v>
      </c>
      <c r="H33" s="2">
        <f t="shared" si="11"/>
        <v>0</v>
      </c>
      <c r="I33" s="2">
        <f t="shared" si="11"/>
        <v>0</v>
      </c>
      <c r="J33" s="2">
        <f t="shared" si="11"/>
        <v>0</v>
      </c>
      <c r="K33" s="14">
        <f t="shared" si="11"/>
        <v>0</v>
      </c>
      <c r="L33" s="2">
        <f t="shared" si="11"/>
        <v>0</v>
      </c>
      <c r="M33" s="2">
        <f t="shared" si="11"/>
        <v>95</v>
      </c>
      <c r="N33" s="2">
        <f t="shared" si="11"/>
        <v>223078.81</v>
      </c>
      <c r="O33" s="2">
        <f t="shared" si="11"/>
        <v>0</v>
      </c>
      <c r="P33" s="2">
        <f t="shared" si="11"/>
        <v>0</v>
      </c>
      <c r="Q33" s="2">
        <f t="shared" si="11"/>
        <v>0</v>
      </c>
      <c r="R33" s="2">
        <f t="shared" si="11"/>
        <v>0</v>
      </c>
      <c r="S33" s="2">
        <f t="shared" si="11"/>
        <v>0</v>
      </c>
      <c r="T33" s="2">
        <f t="shared" si="11"/>
        <v>0</v>
      </c>
      <c r="U33" s="2">
        <f t="shared" si="11"/>
        <v>16563.37</v>
      </c>
      <c r="V33" s="18">
        <f>C33+C328+C800</f>
        <v>25558420.579999998</v>
      </c>
    </row>
    <row r="34" spans="1:22" ht="20.100000000000001" customHeight="1" x14ac:dyDescent="0.25">
      <c r="A34" s="37" t="s">
        <v>1242</v>
      </c>
      <c r="B34" s="8" t="s">
        <v>87</v>
      </c>
      <c r="C34" s="2">
        <f t="shared" si="3"/>
        <v>239642.18</v>
      </c>
      <c r="D34" s="3">
        <f t="shared" ref="D34" si="12"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0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6">
        <f t="shared" ref="V34" si="13">N34/M34</f>
        <v>2348.1979999999999</v>
      </c>
    </row>
    <row r="35" spans="1:22" ht="45" customHeight="1" x14ac:dyDescent="0.25">
      <c r="A35" s="54" t="s">
        <v>93</v>
      </c>
      <c r="B35" s="54"/>
      <c r="C35" s="2">
        <f>SUM(C36:C37)</f>
        <v>6845927.2100000009</v>
      </c>
      <c r="D35" s="2">
        <f t="shared" ref="D35:U35" si="14">SUM(D36:D37)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14">
        <f t="shared" si="14"/>
        <v>4</v>
      </c>
      <c r="L35" s="2">
        <f t="shared" si="14"/>
        <v>6701917.2800000003</v>
      </c>
      <c r="M35" s="2">
        <f t="shared" si="14"/>
        <v>0</v>
      </c>
      <c r="N35" s="2">
        <f t="shared" si="14"/>
        <v>0</v>
      </c>
      <c r="O35" s="2">
        <f t="shared" si="14"/>
        <v>0</v>
      </c>
      <c r="P35" s="2">
        <f t="shared" si="14"/>
        <v>0</v>
      </c>
      <c r="Q35" s="2">
        <f t="shared" si="14"/>
        <v>0</v>
      </c>
      <c r="R35" s="2">
        <f t="shared" si="14"/>
        <v>0</v>
      </c>
      <c r="S35" s="2">
        <f t="shared" si="14"/>
        <v>0</v>
      </c>
      <c r="T35" s="2">
        <f t="shared" si="14"/>
        <v>0</v>
      </c>
      <c r="U35" s="2">
        <f t="shared" si="14"/>
        <v>144009.93</v>
      </c>
      <c r="V35" s="18">
        <f>C35+C334+C807</f>
        <v>28993011.330000002</v>
      </c>
    </row>
    <row r="36" spans="1:22" ht="21.95" customHeight="1" x14ac:dyDescent="0.25">
      <c r="A36" s="36" t="s">
        <v>1243</v>
      </c>
      <c r="B36" s="8" t="s">
        <v>96</v>
      </c>
      <c r="C36" s="2">
        <f t="shared" si="3"/>
        <v>3423021.89</v>
      </c>
      <c r="D36" s="3">
        <f t="shared" ref="D36:D37" si="15"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5">
        <v>0</v>
      </c>
      <c r="N36" s="5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6" t="e">
        <f t="shared" ref="V36:V37" si="16">N36/M36</f>
        <v>#DIV/0!</v>
      </c>
    </row>
    <row r="37" spans="1:22" ht="21.95" customHeight="1" x14ac:dyDescent="0.25">
      <c r="A37" s="36" t="s">
        <v>1244</v>
      </c>
      <c r="B37" s="8" t="s">
        <v>99</v>
      </c>
      <c r="C37" s="2">
        <f t="shared" si="3"/>
        <v>3422905.3200000003</v>
      </c>
      <c r="D37" s="3">
        <f t="shared" si="15"/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5">
        <v>0</v>
      </c>
      <c r="N37" s="5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6" t="e">
        <f t="shared" si="16"/>
        <v>#DIV/0!</v>
      </c>
    </row>
    <row r="38" spans="1:22" ht="45" customHeight="1" x14ac:dyDescent="0.25">
      <c r="A38" s="54" t="s">
        <v>102</v>
      </c>
      <c r="B38" s="54"/>
      <c r="C38" s="2">
        <f>SUM(C39:C42)</f>
        <v>14891706.060000001</v>
      </c>
      <c r="D38" s="2">
        <f t="shared" ref="D38:U38" si="17">SUM(D39:D42)</f>
        <v>0</v>
      </c>
      <c r="E38" s="2">
        <f t="shared" si="17"/>
        <v>0</v>
      </c>
      <c r="F38" s="2">
        <f t="shared" si="17"/>
        <v>0</v>
      </c>
      <c r="G38" s="2">
        <f t="shared" si="17"/>
        <v>0</v>
      </c>
      <c r="H38" s="2">
        <f t="shared" si="17"/>
        <v>0</v>
      </c>
      <c r="I38" s="2">
        <f t="shared" si="17"/>
        <v>0</v>
      </c>
      <c r="J38" s="2">
        <f t="shared" si="17"/>
        <v>0</v>
      </c>
      <c r="K38" s="14">
        <f t="shared" si="17"/>
        <v>0</v>
      </c>
      <c r="L38" s="2">
        <f t="shared" si="17"/>
        <v>0</v>
      </c>
      <c r="M38" s="2">
        <f t="shared" si="17"/>
        <v>3039.35</v>
      </c>
      <c r="N38" s="2">
        <f t="shared" si="17"/>
        <v>14685718.259999998</v>
      </c>
      <c r="O38" s="2">
        <f t="shared" si="17"/>
        <v>0</v>
      </c>
      <c r="P38" s="2">
        <f t="shared" si="17"/>
        <v>0</v>
      </c>
      <c r="Q38" s="2">
        <f t="shared" si="17"/>
        <v>0</v>
      </c>
      <c r="R38" s="2">
        <f t="shared" si="17"/>
        <v>0</v>
      </c>
      <c r="S38" s="2">
        <f t="shared" si="17"/>
        <v>0</v>
      </c>
      <c r="T38" s="2">
        <f t="shared" si="17"/>
        <v>0</v>
      </c>
      <c r="U38" s="2">
        <f t="shared" si="17"/>
        <v>205987.8</v>
      </c>
      <c r="V38" s="18">
        <f>C38+C340+C810</f>
        <v>56286090.810000002</v>
      </c>
    </row>
    <row r="39" spans="1:22" ht="21" customHeight="1" x14ac:dyDescent="0.25">
      <c r="A39" s="37" t="s">
        <v>1245</v>
      </c>
      <c r="B39" s="8" t="s">
        <v>108</v>
      </c>
      <c r="C39" s="2">
        <f t="shared" si="3"/>
        <v>4562400</v>
      </c>
      <c r="D39" s="3">
        <f t="shared" ref="D39:D42" si="18"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5">
        <v>828.4</v>
      </c>
      <c r="N39" s="5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6">
        <f t="shared" ref="V39:V42" si="19">N39/M39</f>
        <v>5507.4843070980205</v>
      </c>
    </row>
    <row r="40" spans="1:22" ht="21.95" customHeight="1" x14ac:dyDescent="0.25">
      <c r="A40" s="37" t="s">
        <v>1246</v>
      </c>
      <c r="B40" s="8" t="s">
        <v>110</v>
      </c>
      <c r="C40" s="2">
        <f t="shared" si="3"/>
        <v>3717862.4099999997</v>
      </c>
      <c r="D40" s="3">
        <f t="shared" si="18"/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5">
        <v>775.81</v>
      </c>
      <c r="N40" s="20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6">
        <f t="shared" si="19"/>
        <v>4703.4990654928397</v>
      </c>
    </row>
    <row r="41" spans="1:22" ht="21.95" customHeight="1" x14ac:dyDescent="0.25">
      <c r="A41" s="37" t="s">
        <v>1247</v>
      </c>
      <c r="B41" s="8" t="s">
        <v>111</v>
      </c>
      <c r="C41" s="2">
        <f t="shared" si="3"/>
        <v>3672396.42</v>
      </c>
      <c r="D41" s="3">
        <f t="shared" si="18"/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5">
        <v>821.23</v>
      </c>
      <c r="N41" s="20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6">
        <f t="shared" si="19"/>
        <v>4386.8403005248219</v>
      </c>
    </row>
    <row r="42" spans="1:22" ht="21.95" customHeight="1" x14ac:dyDescent="0.25">
      <c r="A42" s="37" t="s">
        <v>1248</v>
      </c>
      <c r="B42" s="8" t="s">
        <v>112</v>
      </c>
      <c r="C42" s="2">
        <f t="shared" si="3"/>
        <v>2939047.23</v>
      </c>
      <c r="D42" s="3">
        <f t="shared" si="18"/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0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6">
        <f t="shared" si="19"/>
        <v>4677.7081168249424</v>
      </c>
    </row>
    <row r="43" spans="1:22" ht="45" customHeight="1" x14ac:dyDescent="0.25">
      <c r="A43" s="54" t="s">
        <v>1068</v>
      </c>
      <c r="B43" s="54"/>
      <c r="C43" s="2">
        <f>SUM(C44)</f>
        <v>2818731.24</v>
      </c>
      <c r="D43" s="2">
        <f t="shared" ref="D43:U43" si="20">SUM(D44)</f>
        <v>0</v>
      </c>
      <c r="E43" s="2">
        <f t="shared" si="20"/>
        <v>0</v>
      </c>
      <c r="F43" s="2">
        <f t="shared" si="20"/>
        <v>0</v>
      </c>
      <c r="G43" s="2">
        <f t="shared" si="20"/>
        <v>0</v>
      </c>
      <c r="H43" s="2">
        <f t="shared" si="20"/>
        <v>0</v>
      </c>
      <c r="I43" s="2">
        <f t="shared" si="20"/>
        <v>0</v>
      </c>
      <c r="J43" s="2">
        <f t="shared" si="20"/>
        <v>0</v>
      </c>
      <c r="K43" s="14">
        <f t="shared" si="20"/>
        <v>0</v>
      </c>
      <c r="L43" s="2">
        <f t="shared" si="20"/>
        <v>0</v>
      </c>
      <c r="M43" s="2">
        <f t="shared" si="20"/>
        <v>585.66</v>
      </c>
      <c r="N43" s="2">
        <f t="shared" si="20"/>
        <v>2818731.24</v>
      </c>
      <c r="O43" s="2">
        <f t="shared" si="20"/>
        <v>0</v>
      </c>
      <c r="P43" s="2">
        <f t="shared" si="20"/>
        <v>0</v>
      </c>
      <c r="Q43" s="2">
        <f t="shared" si="20"/>
        <v>0</v>
      </c>
      <c r="R43" s="2">
        <f t="shared" si="20"/>
        <v>0</v>
      </c>
      <c r="S43" s="2">
        <f t="shared" si="20"/>
        <v>0</v>
      </c>
      <c r="T43" s="2">
        <f t="shared" si="20"/>
        <v>0</v>
      </c>
      <c r="U43" s="2">
        <f t="shared" si="20"/>
        <v>0</v>
      </c>
      <c r="V43" s="18">
        <f>C43</f>
        <v>2818731.24</v>
      </c>
    </row>
    <row r="44" spans="1:22" ht="21.95" customHeight="1" x14ac:dyDescent="0.25">
      <c r="A44" s="36" t="s">
        <v>1249</v>
      </c>
      <c r="B44" s="8" t="s">
        <v>1069</v>
      </c>
      <c r="C44" s="2">
        <f t="shared" si="3"/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1">
        <v>0</v>
      </c>
      <c r="L44" s="5">
        <v>0</v>
      </c>
      <c r="M44" s="5">
        <v>585.66</v>
      </c>
      <c r="N44" s="5">
        <v>2818731.24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6">
        <f>N44/M44</f>
        <v>4812.9140456920404</v>
      </c>
    </row>
    <row r="45" spans="1:22" ht="45" customHeight="1" x14ac:dyDescent="0.25">
      <c r="A45" s="54" t="s">
        <v>124</v>
      </c>
      <c r="B45" s="54"/>
      <c r="C45" s="2">
        <f>SUM(C46)</f>
        <v>3111460.64</v>
      </c>
      <c r="D45" s="2">
        <f t="shared" ref="D45:U45" si="21">SUM(D46)</f>
        <v>0</v>
      </c>
      <c r="E45" s="2">
        <f t="shared" si="21"/>
        <v>0</v>
      </c>
      <c r="F45" s="2">
        <f t="shared" si="21"/>
        <v>0</v>
      </c>
      <c r="G45" s="2">
        <f t="shared" si="21"/>
        <v>0</v>
      </c>
      <c r="H45" s="2">
        <f t="shared" si="21"/>
        <v>0</v>
      </c>
      <c r="I45" s="2">
        <f t="shared" si="21"/>
        <v>0</v>
      </c>
      <c r="J45" s="2">
        <f t="shared" si="21"/>
        <v>0</v>
      </c>
      <c r="K45" s="14">
        <f t="shared" si="21"/>
        <v>0</v>
      </c>
      <c r="L45" s="2">
        <f t="shared" si="21"/>
        <v>0</v>
      </c>
      <c r="M45" s="2">
        <f t="shared" si="21"/>
        <v>550</v>
      </c>
      <c r="N45" s="2">
        <f t="shared" si="21"/>
        <v>1812377.05</v>
      </c>
      <c r="O45" s="2">
        <f t="shared" si="21"/>
        <v>0</v>
      </c>
      <c r="P45" s="2">
        <f t="shared" si="21"/>
        <v>0</v>
      </c>
      <c r="Q45" s="2">
        <f t="shared" si="21"/>
        <v>600</v>
      </c>
      <c r="R45" s="2">
        <f t="shared" si="21"/>
        <v>1248132.32</v>
      </c>
      <c r="S45" s="2">
        <f t="shared" si="21"/>
        <v>0</v>
      </c>
      <c r="T45" s="2">
        <f t="shared" si="21"/>
        <v>0</v>
      </c>
      <c r="U45" s="2">
        <f t="shared" si="21"/>
        <v>50951.27</v>
      </c>
      <c r="V45" s="18">
        <f>C45+C352+C825</f>
        <v>15737350.640000001</v>
      </c>
    </row>
    <row r="46" spans="1:22" ht="21.95" customHeight="1" x14ac:dyDescent="0.25">
      <c r="A46" s="36" t="s">
        <v>1250</v>
      </c>
      <c r="B46" s="8" t="s">
        <v>992</v>
      </c>
      <c r="C46" s="2">
        <f t="shared" si="3"/>
        <v>3111460.64</v>
      </c>
      <c r="D46" s="3">
        <f t="shared" ref="D46" si="22"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1">
        <v>0</v>
      </c>
      <c r="L46" s="5">
        <v>0</v>
      </c>
      <c r="M46" s="5">
        <v>550</v>
      </c>
      <c r="N46" s="5">
        <v>1812377.05</v>
      </c>
      <c r="O46" s="5">
        <v>0</v>
      </c>
      <c r="P46" s="5">
        <v>0</v>
      </c>
      <c r="Q46" s="5">
        <v>600</v>
      </c>
      <c r="R46" s="5">
        <v>1248132.32</v>
      </c>
      <c r="S46" s="5">
        <v>0</v>
      </c>
      <c r="T46" s="5">
        <v>0</v>
      </c>
      <c r="U46" s="5">
        <v>50951.27</v>
      </c>
      <c r="V46" s="6">
        <f t="shared" ref="V46" si="23">N46/M46</f>
        <v>3295.2310000000002</v>
      </c>
    </row>
    <row r="47" spans="1:22" ht="45" customHeight="1" x14ac:dyDescent="0.25">
      <c r="A47" s="54" t="s">
        <v>131</v>
      </c>
      <c r="B47" s="54"/>
      <c r="C47" s="2">
        <f>SUM(C48)</f>
        <v>43691.17</v>
      </c>
      <c r="D47" s="2">
        <f t="shared" ref="D47:U47" si="24">SUM(D48)</f>
        <v>0</v>
      </c>
      <c r="E47" s="2">
        <f t="shared" si="24"/>
        <v>0</v>
      </c>
      <c r="F47" s="2">
        <f t="shared" si="24"/>
        <v>0</v>
      </c>
      <c r="G47" s="2">
        <f t="shared" si="24"/>
        <v>0</v>
      </c>
      <c r="H47" s="2">
        <f t="shared" si="24"/>
        <v>0</v>
      </c>
      <c r="I47" s="2">
        <f t="shared" si="24"/>
        <v>0</v>
      </c>
      <c r="J47" s="2">
        <f t="shared" si="24"/>
        <v>0</v>
      </c>
      <c r="K47" s="14">
        <f t="shared" si="24"/>
        <v>0</v>
      </c>
      <c r="L47" s="2">
        <f t="shared" si="24"/>
        <v>0</v>
      </c>
      <c r="M47" s="2">
        <f t="shared" si="24"/>
        <v>0</v>
      </c>
      <c r="N47" s="2">
        <f t="shared" si="24"/>
        <v>0</v>
      </c>
      <c r="O47" s="2">
        <f t="shared" si="24"/>
        <v>0</v>
      </c>
      <c r="P47" s="2">
        <f t="shared" si="24"/>
        <v>0</v>
      </c>
      <c r="Q47" s="2">
        <f t="shared" si="24"/>
        <v>0</v>
      </c>
      <c r="R47" s="2">
        <f t="shared" si="24"/>
        <v>0</v>
      </c>
      <c r="S47" s="2">
        <f t="shared" si="24"/>
        <v>0</v>
      </c>
      <c r="T47" s="2">
        <f t="shared" si="24"/>
        <v>0</v>
      </c>
      <c r="U47" s="2">
        <f t="shared" si="24"/>
        <v>43691.17</v>
      </c>
      <c r="V47" s="18">
        <f>C47+C358</f>
        <v>6400053.5300000003</v>
      </c>
    </row>
    <row r="48" spans="1:22" ht="21.95" customHeight="1" x14ac:dyDescent="0.25">
      <c r="A48" s="37" t="s">
        <v>1251</v>
      </c>
      <c r="B48" s="8" t="s">
        <v>128</v>
      </c>
      <c r="C48" s="2">
        <f t="shared" si="3"/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5">
        <v>0</v>
      </c>
      <c r="S48" s="3">
        <v>0</v>
      </c>
      <c r="T48" s="3">
        <v>0</v>
      </c>
      <c r="U48" s="3">
        <v>43691.17</v>
      </c>
      <c r="V48" s="6" t="e">
        <f>N48/M48</f>
        <v>#DIV/0!</v>
      </c>
    </row>
    <row r="49" spans="1:22" ht="45" customHeight="1" x14ac:dyDescent="0.25">
      <c r="A49" s="54" t="s">
        <v>133</v>
      </c>
      <c r="B49" s="54"/>
      <c r="C49" s="2">
        <f>SUM(C50:C52)</f>
        <v>16217698.190000001</v>
      </c>
      <c r="D49" s="2">
        <f t="shared" ref="D49:U49" si="25">SUM(D50:D52)</f>
        <v>0</v>
      </c>
      <c r="E49" s="2">
        <f t="shared" si="25"/>
        <v>0</v>
      </c>
      <c r="F49" s="2">
        <f t="shared" si="25"/>
        <v>0</v>
      </c>
      <c r="G49" s="2">
        <f t="shared" si="25"/>
        <v>0</v>
      </c>
      <c r="H49" s="2">
        <f t="shared" si="25"/>
        <v>0</v>
      </c>
      <c r="I49" s="2">
        <f t="shared" si="25"/>
        <v>0</v>
      </c>
      <c r="J49" s="2">
        <f t="shared" si="25"/>
        <v>0</v>
      </c>
      <c r="K49" s="14">
        <f t="shared" si="25"/>
        <v>0</v>
      </c>
      <c r="L49" s="2">
        <f t="shared" si="25"/>
        <v>0</v>
      </c>
      <c r="M49" s="2">
        <f t="shared" si="25"/>
        <v>3389.0600000000004</v>
      </c>
      <c r="N49" s="2">
        <f t="shared" si="25"/>
        <v>9709603.2300000004</v>
      </c>
      <c r="O49" s="2">
        <f t="shared" si="25"/>
        <v>0</v>
      </c>
      <c r="P49" s="2">
        <f t="shared" si="25"/>
        <v>0</v>
      </c>
      <c r="Q49" s="2">
        <f t="shared" si="25"/>
        <v>2934</v>
      </c>
      <c r="R49" s="2">
        <f t="shared" si="25"/>
        <v>6223562.8200000003</v>
      </c>
      <c r="S49" s="2">
        <f t="shared" si="25"/>
        <v>0</v>
      </c>
      <c r="T49" s="2">
        <f t="shared" si="25"/>
        <v>0</v>
      </c>
      <c r="U49" s="2">
        <f t="shared" si="25"/>
        <v>284532.14</v>
      </c>
      <c r="V49" s="18">
        <f>C49+C365</f>
        <v>19811548.190000001</v>
      </c>
    </row>
    <row r="50" spans="1:22" ht="21.95" customHeight="1" x14ac:dyDescent="0.25">
      <c r="A50" s="37" t="s">
        <v>1252</v>
      </c>
      <c r="B50" s="8" t="s">
        <v>134</v>
      </c>
      <c r="C50" s="2">
        <f t="shared" si="3"/>
        <v>3640602.32</v>
      </c>
      <c r="D50" s="3">
        <f t="shared" ref="D50:D52" si="26"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5">
        <v>0</v>
      </c>
      <c r="S50" s="3">
        <v>0</v>
      </c>
      <c r="T50" s="3">
        <v>0</v>
      </c>
      <c r="U50" s="3">
        <v>59673.34</v>
      </c>
      <c r="V50" s="6">
        <f t="shared" ref="V50:V52" si="27">N50/M50</f>
        <v>3139.2932110670827</v>
      </c>
    </row>
    <row r="51" spans="1:22" ht="21.95" customHeight="1" x14ac:dyDescent="0.25">
      <c r="A51" s="37" t="s">
        <v>1253</v>
      </c>
      <c r="B51" s="8" t="s">
        <v>135</v>
      </c>
      <c r="C51" s="2">
        <f t="shared" si="3"/>
        <v>3997560.56</v>
      </c>
      <c r="D51" s="3">
        <f t="shared" si="26"/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5">
        <v>0</v>
      </c>
      <c r="S51" s="3">
        <v>0</v>
      </c>
      <c r="T51" s="3">
        <v>0</v>
      </c>
      <c r="U51" s="3">
        <v>60269.14</v>
      </c>
      <c r="V51" s="6">
        <f t="shared" si="27"/>
        <v>3036.5339801332671</v>
      </c>
    </row>
    <row r="52" spans="1:22" ht="21.95" customHeight="1" x14ac:dyDescent="0.25">
      <c r="A52" s="37" t="s">
        <v>1254</v>
      </c>
      <c r="B52" s="8" t="s">
        <v>136</v>
      </c>
      <c r="C52" s="2">
        <f t="shared" si="3"/>
        <v>8579535.3100000005</v>
      </c>
      <c r="D52" s="3">
        <f t="shared" si="26"/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5">
        <v>6223562.8200000003</v>
      </c>
      <c r="S52" s="3">
        <v>0</v>
      </c>
      <c r="T52" s="3">
        <v>0</v>
      </c>
      <c r="U52" s="3">
        <v>164589.66</v>
      </c>
      <c r="V52" s="6">
        <f t="shared" si="27"/>
        <v>2302.5015550465464</v>
      </c>
    </row>
    <row r="53" spans="1:22" ht="45" customHeight="1" x14ac:dyDescent="0.25">
      <c r="A53" s="54" t="s">
        <v>975</v>
      </c>
      <c r="B53" s="54"/>
      <c r="C53" s="2">
        <f>SUM(C54)</f>
        <v>1199702.6400000001</v>
      </c>
      <c r="D53" s="2">
        <f t="shared" ref="D53:U53" si="28">SUM(D54)</f>
        <v>0</v>
      </c>
      <c r="E53" s="2">
        <f t="shared" si="28"/>
        <v>0</v>
      </c>
      <c r="F53" s="2">
        <f t="shared" si="28"/>
        <v>0</v>
      </c>
      <c r="G53" s="2">
        <f t="shared" si="28"/>
        <v>0</v>
      </c>
      <c r="H53" s="2">
        <f t="shared" si="28"/>
        <v>0</v>
      </c>
      <c r="I53" s="2">
        <f t="shared" si="28"/>
        <v>0</v>
      </c>
      <c r="J53" s="2">
        <f t="shared" si="28"/>
        <v>0</v>
      </c>
      <c r="K53" s="14">
        <f t="shared" si="28"/>
        <v>0</v>
      </c>
      <c r="L53" s="2">
        <f t="shared" si="28"/>
        <v>0</v>
      </c>
      <c r="M53" s="2">
        <f t="shared" si="28"/>
        <v>367.1</v>
      </c>
      <c r="N53" s="2">
        <f t="shared" si="28"/>
        <v>1172693.07</v>
      </c>
      <c r="O53" s="2">
        <f t="shared" si="28"/>
        <v>0</v>
      </c>
      <c r="P53" s="2">
        <f t="shared" si="28"/>
        <v>0</v>
      </c>
      <c r="Q53" s="2">
        <f t="shared" si="28"/>
        <v>0</v>
      </c>
      <c r="R53" s="2">
        <f t="shared" si="28"/>
        <v>0</v>
      </c>
      <c r="S53" s="2">
        <f t="shared" si="28"/>
        <v>0</v>
      </c>
      <c r="T53" s="2">
        <f t="shared" si="28"/>
        <v>0</v>
      </c>
      <c r="U53" s="2">
        <f t="shared" si="28"/>
        <v>27009.57</v>
      </c>
      <c r="V53" s="18">
        <f>C53</f>
        <v>1199702.6400000001</v>
      </c>
    </row>
    <row r="54" spans="1:22" ht="21.95" customHeight="1" x14ac:dyDescent="0.25">
      <c r="A54" s="37" t="s">
        <v>1255</v>
      </c>
      <c r="B54" s="8" t="s">
        <v>976</v>
      </c>
      <c r="C54" s="2">
        <f t="shared" si="3"/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5">
        <v>0</v>
      </c>
      <c r="S54" s="3">
        <v>0</v>
      </c>
      <c r="T54" s="3">
        <v>0</v>
      </c>
      <c r="U54" s="3">
        <v>27009.57</v>
      </c>
      <c r="V54" s="6">
        <f>N54/M54</f>
        <v>3194.4785344592756</v>
      </c>
    </row>
    <row r="55" spans="1:22" ht="45" customHeight="1" x14ac:dyDescent="0.25">
      <c r="A55" s="63" t="s">
        <v>132</v>
      </c>
      <c r="B55" s="64"/>
      <c r="C55" s="2">
        <f>SUM(C56)</f>
        <v>1474519.93</v>
      </c>
      <c r="D55" s="2">
        <f t="shared" ref="D55:U55" si="29">SUM(D56)</f>
        <v>0</v>
      </c>
      <c r="E55" s="2">
        <f t="shared" si="29"/>
        <v>0</v>
      </c>
      <c r="F55" s="2">
        <f t="shared" si="29"/>
        <v>0</v>
      </c>
      <c r="G55" s="2">
        <f t="shared" si="29"/>
        <v>0</v>
      </c>
      <c r="H55" s="2">
        <f t="shared" si="29"/>
        <v>0</v>
      </c>
      <c r="I55" s="2">
        <f t="shared" si="29"/>
        <v>0</v>
      </c>
      <c r="J55" s="2">
        <f t="shared" si="29"/>
        <v>0</v>
      </c>
      <c r="K55" s="14">
        <f t="shared" si="29"/>
        <v>0</v>
      </c>
      <c r="L55" s="2">
        <f t="shared" si="29"/>
        <v>0</v>
      </c>
      <c r="M55" s="2">
        <f t="shared" si="29"/>
        <v>336.44</v>
      </c>
      <c r="N55" s="2">
        <f t="shared" si="29"/>
        <v>1474519.93</v>
      </c>
      <c r="O55" s="2">
        <f t="shared" si="29"/>
        <v>0</v>
      </c>
      <c r="P55" s="2">
        <f t="shared" si="29"/>
        <v>0</v>
      </c>
      <c r="Q55" s="2">
        <f t="shared" si="29"/>
        <v>0</v>
      </c>
      <c r="R55" s="2">
        <f t="shared" si="29"/>
        <v>0</v>
      </c>
      <c r="S55" s="2">
        <f t="shared" si="29"/>
        <v>0</v>
      </c>
      <c r="T55" s="2">
        <f t="shared" si="29"/>
        <v>0</v>
      </c>
      <c r="U55" s="2">
        <f t="shared" si="29"/>
        <v>0</v>
      </c>
      <c r="V55" s="18" t="e">
        <f>C55+#REF!</f>
        <v>#REF!</v>
      </c>
    </row>
    <row r="56" spans="1:22" ht="21" customHeight="1" x14ac:dyDescent="0.25">
      <c r="A56" s="37" t="s">
        <v>1256</v>
      </c>
      <c r="B56" s="8" t="s">
        <v>1061</v>
      </c>
      <c r="C56" s="2">
        <f t="shared" si="3"/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6">
        <f>N56/M56</f>
        <v>4382.7129057187012</v>
      </c>
    </row>
    <row r="57" spans="1:22" ht="45" customHeight="1" x14ac:dyDescent="0.25">
      <c r="A57" s="54" t="s">
        <v>139</v>
      </c>
      <c r="B57" s="54"/>
      <c r="C57" s="2">
        <f t="shared" ref="C57:U57" si="30">SUM(C58:C58)</f>
        <v>642013.23</v>
      </c>
      <c r="D57" s="2">
        <f t="shared" si="30"/>
        <v>0</v>
      </c>
      <c r="E57" s="2">
        <f t="shared" si="30"/>
        <v>0</v>
      </c>
      <c r="F57" s="2">
        <f t="shared" si="30"/>
        <v>0</v>
      </c>
      <c r="G57" s="2">
        <f t="shared" si="30"/>
        <v>0</v>
      </c>
      <c r="H57" s="2">
        <f t="shared" si="30"/>
        <v>0</v>
      </c>
      <c r="I57" s="2">
        <f t="shared" si="30"/>
        <v>0</v>
      </c>
      <c r="J57" s="2">
        <f t="shared" si="30"/>
        <v>0</v>
      </c>
      <c r="K57" s="14">
        <f t="shared" si="30"/>
        <v>0</v>
      </c>
      <c r="L57" s="2">
        <f t="shared" si="30"/>
        <v>0</v>
      </c>
      <c r="M57" s="2">
        <f t="shared" si="30"/>
        <v>374.54</v>
      </c>
      <c r="N57" s="2">
        <f t="shared" si="30"/>
        <v>592997.37</v>
      </c>
      <c r="O57" s="2">
        <f t="shared" si="30"/>
        <v>0</v>
      </c>
      <c r="P57" s="2">
        <f t="shared" si="30"/>
        <v>0</v>
      </c>
      <c r="Q57" s="2">
        <f t="shared" si="30"/>
        <v>0</v>
      </c>
      <c r="R57" s="2">
        <f t="shared" si="30"/>
        <v>0</v>
      </c>
      <c r="S57" s="2">
        <f t="shared" si="30"/>
        <v>0</v>
      </c>
      <c r="T57" s="2">
        <f t="shared" si="30"/>
        <v>0</v>
      </c>
      <c r="U57" s="2">
        <f t="shared" si="30"/>
        <v>49015.86</v>
      </c>
      <c r="V57" s="18">
        <f>C57+C369</f>
        <v>7440013.2300000004</v>
      </c>
    </row>
    <row r="58" spans="1:22" ht="20.100000000000001" customHeight="1" x14ac:dyDescent="0.25">
      <c r="A58" s="37" t="s">
        <v>1257</v>
      </c>
      <c r="B58" s="8" t="s">
        <v>141</v>
      </c>
      <c r="C58" s="2">
        <f t="shared" si="3"/>
        <v>642013.23</v>
      </c>
      <c r="D58" s="3">
        <f t="shared" ref="D58" si="31"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5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6">
        <f t="shared" ref="V58" si="32">N58/M58</f>
        <v>1583.2684626475143</v>
      </c>
    </row>
    <row r="59" spans="1:22" ht="45" customHeight="1" x14ac:dyDescent="0.25">
      <c r="A59" s="54" t="s">
        <v>145</v>
      </c>
      <c r="B59" s="54"/>
      <c r="C59" s="2">
        <f>SUM(C60)</f>
        <v>4680715.3900000006</v>
      </c>
      <c r="D59" s="2">
        <f t="shared" ref="D59:U59" si="33">SUM(D60)</f>
        <v>1109206.1199999999</v>
      </c>
      <c r="E59" s="2">
        <f t="shared" si="33"/>
        <v>343775.49</v>
      </c>
      <c r="F59" s="2">
        <f t="shared" si="33"/>
        <v>579500.93999999994</v>
      </c>
      <c r="G59" s="2">
        <f t="shared" si="33"/>
        <v>111741.49</v>
      </c>
      <c r="H59" s="2">
        <f t="shared" si="33"/>
        <v>0</v>
      </c>
      <c r="I59" s="2">
        <f t="shared" si="33"/>
        <v>74188.2</v>
      </c>
      <c r="J59" s="2">
        <f t="shared" si="33"/>
        <v>0</v>
      </c>
      <c r="K59" s="14">
        <f t="shared" si="33"/>
        <v>0</v>
      </c>
      <c r="L59" s="2">
        <f t="shared" si="33"/>
        <v>0</v>
      </c>
      <c r="M59" s="2">
        <f t="shared" si="33"/>
        <v>684</v>
      </c>
      <c r="N59" s="2">
        <f t="shared" si="33"/>
        <v>3414950.45</v>
      </c>
      <c r="O59" s="2">
        <f t="shared" si="33"/>
        <v>0</v>
      </c>
      <c r="P59" s="2">
        <f t="shared" si="33"/>
        <v>0</v>
      </c>
      <c r="Q59" s="2">
        <f t="shared" si="33"/>
        <v>0</v>
      </c>
      <c r="R59" s="2">
        <f t="shared" si="33"/>
        <v>0</v>
      </c>
      <c r="S59" s="2">
        <f t="shared" si="33"/>
        <v>0</v>
      </c>
      <c r="T59" s="2">
        <f t="shared" si="33"/>
        <v>0</v>
      </c>
      <c r="U59" s="2">
        <f t="shared" si="33"/>
        <v>156558.82</v>
      </c>
      <c r="V59" s="18">
        <f>C59</f>
        <v>4680715.3900000006</v>
      </c>
    </row>
    <row r="60" spans="1:22" ht="21.95" customHeight="1" x14ac:dyDescent="0.25">
      <c r="A60" s="37" t="s">
        <v>1258</v>
      </c>
      <c r="B60" s="8" t="s">
        <v>991</v>
      </c>
      <c r="C60" s="2">
        <f t="shared" ref="C60:C121" si="34"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6">
        <f>N60/M60</f>
        <v>4992.6176169590644</v>
      </c>
    </row>
    <row r="61" spans="1:22" ht="45" customHeight="1" x14ac:dyDescent="0.25">
      <c r="A61" s="54" t="s">
        <v>148</v>
      </c>
      <c r="B61" s="54"/>
      <c r="C61" s="2">
        <f>SUM(C62:C63)</f>
        <v>4603498.0599999996</v>
      </c>
      <c r="D61" s="2">
        <f t="shared" ref="D61:U61" si="35">SUM(D62:D63)</f>
        <v>0</v>
      </c>
      <c r="E61" s="2">
        <f t="shared" si="35"/>
        <v>0</v>
      </c>
      <c r="F61" s="2">
        <f t="shared" si="35"/>
        <v>0</v>
      </c>
      <c r="G61" s="2">
        <f t="shared" si="35"/>
        <v>0</v>
      </c>
      <c r="H61" s="2">
        <f t="shared" si="35"/>
        <v>0</v>
      </c>
      <c r="I61" s="2">
        <f t="shared" si="35"/>
        <v>0</v>
      </c>
      <c r="J61" s="2">
        <f t="shared" si="35"/>
        <v>0</v>
      </c>
      <c r="K61" s="14">
        <f t="shared" si="35"/>
        <v>0</v>
      </c>
      <c r="L61" s="2">
        <f t="shared" si="35"/>
        <v>0</v>
      </c>
      <c r="M61" s="2">
        <f t="shared" si="35"/>
        <v>1228.1500000000001</v>
      </c>
      <c r="N61" s="2">
        <f t="shared" si="35"/>
        <v>4458689.3599999994</v>
      </c>
      <c r="O61" s="2">
        <f t="shared" si="35"/>
        <v>0</v>
      </c>
      <c r="P61" s="2">
        <f t="shared" si="35"/>
        <v>0</v>
      </c>
      <c r="Q61" s="2">
        <f t="shared" si="35"/>
        <v>0</v>
      </c>
      <c r="R61" s="2">
        <f t="shared" si="35"/>
        <v>0</v>
      </c>
      <c r="S61" s="2">
        <f t="shared" si="35"/>
        <v>0</v>
      </c>
      <c r="T61" s="2">
        <f t="shared" si="35"/>
        <v>0</v>
      </c>
      <c r="U61" s="2">
        <f t="shared" si="35"/>
        <v>144808.70000000001</v>
      </c>
      <c r="V61" s="18">
        <f>C61+C373+C843</f>
        <v>35159932.459999993</v>
      </c>
    </row>
    <row r="62" spans="1:22" ht="21.95" customHeight="1" x14ac:dyDescent="0.25">
      <c r="A62" s="37" t="s">
        <v>1259</v>
      </c>
      <c r="B62" s="8" t="s">
        <v>153</v>
      </c>
      <c r="C62" s="2">
        <f t="shared" si="34"/>
        <v>3593361.92</v>
      </c>
      <c r="D62" s="3">
        <f t="shared" ref="D62:D63" si="36"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5">
        <v>0</v>
      </c>
      <c r="S62" s="3">
        <v>0</v>
      </c>
      <c r="T62" s="3">
        <v>0</v>
      </c>
      <c r="U62" s="3">
        <v>121357.1</v>
      </c>
      <c r="V62" s="6">
        <f t="shared" ref="V62:V63" si="37">N62/M62</f>
        <v>4164.8231512025432</v>
      </c>
    </row>
    <row r="63" spans="1:22" ht="21.95" customHeight="1" x14ac:dyDescent="0.25">
      <c r="A63" s="37" t="s">
        <v>1260</v>
      </c>
      <c r="B63" s="8" t="s">
        <v>157</v>
      </c>
      <c r="C63" s="2">
        <f t="shared" si="34"/>
        <v>1010136.14</v>
      </c>
      <c r="D63" s="3">
        <f t="shared" si="36"/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5">
        <v>0</v>
      </c>
      <c r="S63" s="3">
        <v>0</v>
      </c>
      <c r="T63" s="3">
        <v>0</v>
      </c>
      <c r="U63" s="3">
        <v>23451.599999999999</v>
      </c>
      <c r="V63" s="6">
        <f t="shared" si="37"/>
        <v>2501.1014955640053</v>
      </c>
    </row>
    <row r="64" spans="1:22" ht="45" customHeight="1" x14ac:dyDescent="0.25">
      <c r="A64" s="54" t="s">
        <v>1217</v>
      </c>
      <c r="B64" s="54"/>
      <c r="C64" s="2">
        <f>SUM(C65)</f>
        <v>1038347.45</v>
      </c>
      <c r="D64" s="2">
        <f t="shared" ref="D64:U64" si="38">SUM(D65)</f>
        <v>0</v>
      </c>
      <c r="E64" s="2">
        <f t="shared" si="38"/>
        <v>0</v>
      </c>
      <c r="F64" s="2">
        <f t="shared" si="38"/>
        <v>0</v>
      </c>
      <c r="G64" s="2">
        <f t="shared" si="38"/>
        <v>0</v>
      </c>
      <c r="H64" s="2">
        <f t="shared" si="38"/>
        <v>0</v>
      </c>
      <c r="I64" s="2">
        <f t="shared" si="38"/>
        <v>0</v>
      </c>
      <c r="J64" s="2">
        <f t="shared" si="38"/>
        <v>0</v>
      </c>
      <c r="K64" s="14">
        <f t="shared" si="38"/>
        <v>0</v>
      </c>
      <c r="L64" s="2">
        <f t="shared" si="38"/>
        <v>0</v>
      </c>
      <c r="M64" s="2">
        <f t="shared" si="38"/>
        <v>297</v>
      </c>
      <c r="N64" s="2">
        <f t="shared" si="38"/>
        <v>989234.72</v>
      </c>
      <c r="O64" s="2">
        <f t="shared" si="38"/>
        <v>0</v>
      </c>
      <c r="P64" s="2">
        <f t="shared" si="38"/>
        <v>0</v>
      </c>
      <c r="Q64" s="2">
        <f t="shared" si="38"/>
        <v>0</v>
      </c>
      <c r="R64" s="2">
        <f t="shared" si="38"/>
        <v>0</v>
      </c>
      <c r="S64" s="2">
        <f t="shared" si="38"/>
        <v>0</v>
      </c>
      <c r="T64" s="2">
        <f t="shared" si="38"/>
        <v>0</v>
      </c>
      <c r="U64" s="2">
        <f t="shared" si="38"/>
        <v>49112.73</v>
      </c>
      <c r="V64" s="18">
        <f>C64+C380+C848</f>
        <v>4027831.8499999996</v>
      </c>
    </row>
    <row r="65" spans="1:22" ht="21.95" customHeight="1" x14ac:dyDescent="0.25">
      <c r="A65" s="37" t="s">
        <v>1261</v>
      </c>
      <c r="B65" s="8" t="s">
        <v>158</v>
      </c>
      <c r="C65" s="2">
        <f t="shared" si="34"/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5">
        <v>0</v>
      </c>
      <c r="S65" s="3">
        <v>0</v>
      </c>
      <c r="T65" s="3">
        <v>0</v>
      </c>
      <c r="U65" s="3">
        <v>49112.73</v>
      </c>
      <c r="V65" s="6">
        <f>N65/M65</f>
        <v>3330.756632996633</v>
      </c>
    </row>
    <row r="66" spans="1:22" ht="45" customHeight="1" x14ac:dyDescent="0.25">
      <c r="A66" s="54" t="s">
        <v>161</v>
      </c>
      <c r="B66" s="54"/>
      <c r="C66" s="2">
        <f>SUM(C67)</f>
        <v>2269053.58</v>
      </c>
      <c r="D66" s="2">
        <f t="shared" ref="D66:U66" si="39">SUM(D67)</f>
        <v>0</v>
      </c>
      <c r="E66" s="2">
        <f t="shared" si="39"/>
        <v>0</v>
      </c>
      <c r="F66" s="2">
        <f t="shared" si="39"/>
        <v>0</v>
      </c>
      <c r="G66" s="2">
        <f t="shared" si="39"/>
        <v>0</v>
      </c>
      <c r="H66" s="2">
        <f t="shared" si="39"/>
        <v>0</v>
      </c>
      <c r="I66" s="2">
        <f t="shared" si="39"/>
        <v>0</v>
      </c>
      <c r="J66" s="2">
        <f t="shared" si="39"/>
        <v>0</v>
      </c>
      <c r="K66" s="14">
        <f t="shared" si="39"/>
        <v>0</v>
      </c>
      <c r="L66" s="2">
        <f t="shared" si="39"/>
        <v>0</v>
      </c>
      <c r="M66" s="2">
        <f t="shared" si="39"/>
        <v>710</v>
      </c>
      <c r="N66" s="2">
        <f t="shared" si="39"/>
        <v>2234087.79</v>
      </c>
      <c r="O66" s="2">
        <f t="shared" si="39"/>
        <v>0</v>
      </c>
      <c r="P66" s="2">
        <f t="shared" si="39"/>
        <v>0</v>
      </c>
      <c r="Q66" s="2">
        <f t="shared" si="39"/>
        <v>0</v>
      </c>
      <c r="R66" s="2">
        <f t="shared" si="39"/>
        <v>0</v>
      </c>
      <c r="S66" s="2">
        <f t="shared" si="39"/>
        <v>0</v>
      </c>
      <c r="T66" s="2">
        <f t="shared" si="39"/>
        <v>0</v>
      </c>
      <c r="U66" s="2">
        <f t="shared" si="39"/>
        <v>34965.79</v>
      </c>
      <c r="V66" s="18">
        <f>C66</f>
        <v>2269053.58</v>
      </c>
    </row>
    <row r="67" spans="1:22" ht="21.95" customHeight="1" x14ac:dyDescent="0.25">
      <c r="A67" s="37" t="s">
        <v>1262</v>
      </c>
      <c r="B67" s="8" t="s">
        <v>162</v>
      </c>
      <c r="C67" s="2">
        <f t="shared" si="34"/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6">
        <f>N67/M67</f>
        <v>3146.6025211267606</v>
      </c>
    </row>
    <row r="68" spans="1:22" ht="45" customHeight="1" x14ac:dyDescent="0.25">
      <c r="A68" s="54" t="s">
        <v>163</v>
      </c>
      <c r="B68" s="54"/>
      <c r="C68" s="2">
        <f>SUM(C69:C85)</f>
        <v>94628257.640000015</v>
      </c>
      <c r="D68" s="2">
        <f t="shared" ref="D68:T68" si="40">SUM(D70:D85)</f>
        <v>23558992.600000001</v>
      </c>
      <c r="E68" s="2">
        <f t="shared" si="40"/>
        <v>3114461.6900000004</v>
      </c>
      <c r="F68" s="2">
        <f t="shared" si="40"/>
        <v>12001018.830000002</v>
      </c>
      <c r="G68" s="2">
        <f t="shared" si="40"/>
        <v>1803595.94</v>
      </c>
      <c r="H68" s="2">
        <f t="shared" si="40"/>
        <v>4526478.5600000005</v>
      </c>
      <c r="I68" s="2">
        <f t="shared" si="40"/>
        <v>2113437.58</v>
      </c>
      <c r="J68" s="2">
        <f t="shared" si="40"/>
        <v>0</v>
      </c>
      <c r="K68" s="14">
        <f t="shared" si="40"/>
        <v>0</v>
      </c>
      <c r="L68" s="2">
        <f t="shared" si="40"/>
        <v>0</v>
      </c>
      <c r="M68" s="2">
        <f t="shared" si="40"/>
        <v>7767.29</v>
      </c>
      <c r="N68" s="2">
        <f>SUM(N69:N85)</f>
        <v>32004630.640000001</v>
      </c>
      <c r="O68" s="2">
        <f t="shared" si="40"/>
        <v>0</v>
      </c>
      <c r="P68" s="2">
        <f t="shared" si="40"/>
        <v>0</v>
      </c>
      <c r="Q68" s="2">
        <f t="shared" si="40"/>
        <v>12887.32</v>
      </c>
      <c r="R68" s="2">
        <f>SUM(R69:R85)</f>
        <v>36515734.180000007</v>
      </c>
      <c r="S68" s="2">
        <f t="shared" si="40"/>
        <v>0</v>
      </c>
      <c r="T68" s="2">
        <f t="shared" si="40"/>
        <v>0</v>
      </c>
      <c r="U68" s="2">
        <f>SUM(U69:U85)</f>
        <v>2548900.2199999997</v>
      </c>
      <c r="V68" s="18">
        <f>C68+C382+C850</f>
        <v>353520856.71000004</v>
      </c>
    </row>
    <row r="69" spans="1:22" ht="21.95" customHeight="1" x14ac:dyDescent="0.25">
      <c r="A69" s="37" t="s">
        <v>1326</v>
      </c>
      <c r="B69" s="21" t="s">
        <v>165</v>
      </c>
      <c r="C69" s="2">
        <f>D69+L69+N69+P69+R69+S69+T69+U69</f>
        <v>15306941.550000001</v>
      </c>
      <c r="D69" s="3">
        <f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5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6">
        <f>N69/M69</f>
        <v>2851.3543624855565</v>
      </c>
    </row>
    <row r="70" spans="1:22" ht="21.95" customHeight="1" x14ac:dyDescent="0.25">
      <c r="A70" s="37" t="s">
        <v>1327</v>
      </c>
      <c r="B70" s="21" t="s">
        <v>166</v>
      </c>
      <c r="C70" s="2">
        <f t="shared" si="34"/>
        <v>16536342.01</v>
      </c>
      <c r="D70" s="3">
        <f t="shared" ref="D70:D85" si="41">SUM(E70:J70)</f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5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6">
        <f t="shared" ref="V70:V85" si="42">N70/M70</f>
        <v>2811.6659122991782</v>
      </c>
    </row>
    <row r="71" spans="1:22" ht="21.95" customHeight="1" x14ac:dyDescent="0.25">
      <c r="A71" s="37" t="s">
        <v>1328</v>
      </c>
      <c r="B71" s="21" t="s">
        <v>169</v>
      </c>
      <c r="C71" s="2">
        <f>D71+L71+N71+P71+R71+S71+T71+U71</f>
        <v>12696722.070000002</v>
      </c>
      <c r="D71" s="3">
        <f>SUM(E71:J71)</f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5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6">
        <f>N71/M71</f>
        <v>3157.7174881084911</v>
      </c>
    </row>
    <row r="72" spans="1:22" ht="21.95" customHeight="1" x14ac:dyDescent="0.25">
      <c r="A72" s="37" t="s">
        <v>1329</v>
      </c>
      <c r="B72" s="21" t="s">
        <v>170</v>
      </c>
      <c r="C72" s="2">
        <f>D72+L72+N72+P72+R72+S72+T72+U72</f>
        <v>15553270.66</v>
      </c>
      <c r="D72" s="3">
        <f>SUM(E72:J72)</f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 t="shared" ref="J72" si="43"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5">
        <v>0</v>
      </c>
      <c r="R72" s="3">
        <v>0</v>
      </c>
      <c r="S72" s="3">
        <v>0</v>
      </c>
      <c r="T72" s="3">
        <v>0</v>
      </c>
      <c r="U72" s="3">
        <v>198000</v>
      </c>
      <c r="V72" s="6">
        <f>N72/M72</f>
        <v>3186.1881455693201</v>
      </c>
    </row>
    <row r="73" spans="1:22" ht="21.95" customHeight="1" x14ac:dyDescent="0.25">
      <c r="A73" s="37" t="s">
        <v>1330</v>
      </c>
      <c r="B73" s="21" t="s">
        <v>167</v>
      </c>
      <c r="C73" s="2">
        <f t="shared" si="34"/>
        <v>3384995.6</v>
      </c>
      <c r="D73" s="3">
        <f t="shared" si="41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5">
        <v>0</v>
      </c>
      <c r="R73" s="3">
        <v>0</v>
      </c>
      <c r="S73" s="3">
        <v>0</v>
      </c>
      <c r="T73" s="3">
        <v>0</v>
      </c>
      <c r="U73" s="3">
        <v>95649.2</v>
      </c>
      <c r="V73" s="6">
        <f t="shared" si="42"/>
        <v>3187.0423408584443</v>
      </c>
    </row>
    <row r="74" spans="1:22" ht="21.95" customHeight="1" x14ac:dyDescent="0.25">
      <c r="A74" s="37" t="s">
        <v>1331</v>
      </c>
      <c r="B74" s="21" t="s">
        <v>168</v>
      </c>
      <c r="C74" s="2">
        <f t="shared" si="34"/>
        <v>9965702</v>
      </c>
      <c r="D74" s="3">
        <f t="shared" si="41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 t="shared" ref="J74" si="44">350*0</f>
        <v>0</v>
      </c>
      <c r="K74" s="4">
        <v>0</v>
      </c>
      <c r="L74" s="3">
        <v>0</v>
      </c>
      <c r="M74" s="3">
        <v>0</v>
      </c>
      <c r="N74" s="3">
        <f t="shared" ref="N74" si="45">M74*3300</f>
        <v>0</v>
      </c>
      <c r="O74" s="3">
        <v>0</v>
      </c>
      <c r="P74" s="3">
        <v>0</v>
      </c>
      <c r="Q74" s="5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6" t="e">
        <f t="shared" si="42"/>
        <v>#DIV/0!</v>
      </c>
    </row>
    <row r="75" spans="1:22" ht="21.95" customHeight="1" x14ac:dyDescent="0.25">
      <c r="A75" s="37" t="s">
        <v>1332</v>
      </c>
      <c r="B75" s="1" t="s">
        <v>171</v>
      </c>
      <c r="C75" s="2">
        <f t="shared" si="34"/>
        <v>2190763.4900000002</v>
      </c>
      <c r="D75" s="3">
        <f t="shared" si="41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 t="shared" ref="J75:J76" si="46"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5">
        <v>520</v>
      </c>
      <c r="R75" s="3">
        <v>651824.71</v>
      </c>
      <c r="S75" s="3">
        <f>S913</f>
        <v>0</v>
      </c>
      <c r="T75" s="3">
        <v>0</v>
      </c>
      <c r="U75" s="3">
        <v>184333.66</v>
      </c>
      <c r="V75" s="6">
        <f t="shared" si="42"/>
        <v>4134.5059701492537</v>
      </c>
    </row>
    <row r="76" spans="1:22" ht="21.95" customHeight="1" x14ac:dyDescent="0.25">
      <c r="A76" s="37" t="s">
        <v>1333</v>
      </c>
      <c r="B76" s="1" t="s">
        <v>172</v>
      </c>
      <c r="C76" s="2">
        <f t="shared" si="34"/>
        <v>2306617.94</v>
      </c>
      <c r="D76" s="3">
        <f t="shared" si="41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 t="shared" si="46"/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S944</f>
        <v>0</v>
      </c>
      <c r="T76" s="3">
        <v>0</v>
      </c>
      <c r="U76" s="3">
        <v>164922.54999999999</v>
      </c>
      <c r="V76" s="6">
        <f t="shared" si="42"/>
        <v>3832.6437613019893</v>
      </c>
    </row>
    <row r="77" spans="1:22" ht="26.25" customHeight="1" x14ac:dyDescent="0.25">
      <c r="A77" s="37" t="s">
        <v>1334</v>
      </c>
      <c r="B77" s="1" t="s">
        <v>824</v>
      </c>
      <c r="C77" s="2">
        <f t="shared" si="34"/>
        <v>58827.5</v>
      </c>
      <c r="D77" s="3">
        <f t="shared" si="41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 t="shared" ref="N77:N84" si="47">M77*5300</f>
        <v>0</v>
      </c>
      <c r="O77" s="3">
        <v>0</v>
      </c>
      <c r="P77" s="3">
        <f>O77*410</f>
        <v>0</v>
      </c>
      <c r="Q77" s="3">
        <v>0</v>
      </c>
      <c r="R77" s="3">
        <f t="shared" ref="R77:R84" si="48">Q77*2605</f>
        <v>0</v>
      </c>
      <c r="S77" s="3">
        <v>0</v>
      </c>
      <c r="T77" s="3">
        <v>0</v>
      </c>
      <c r="U77" s="3">
        <v>58827.5</v>
      </c>
      <c r="V77" s="6" t="e">
        <f t="shared" si="42"/>
        <v>#DIV/0!</v>
      </c>
    </row>
    <row r="78" spans="1:22" ht="21.95" customHeight="1" x14ac:dyDescent="0.25">
      <c r="A78" s="37" t="s">
        <v>1335</v>
      </c>
      <c r="B78" s="1" t="s">
        <v>173</v>
      </c>
      <c r="C78" s="2">
        <f t="shared" si="34"/>
        <v>5261291.6399999997</v>
      </c>
      <c r="D78" s="3">
        <f t="shared" si="41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 t="shared" ref="J78:J79" si="49"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S945</f>
        <v>0</v>
      </c>
      <c r="T78" s="3">
        <v>0</v>
      </c>
      <c r="U78" s="3">
        <v>198000</v>
      </c>
      <c r="V78" s="6">
        <f t="shared" si="42"/>
        <v>4524.8304369747893</v>
      </c>
    </row>
    <row r="79" spans="1:22" ht="21.95" customHeight="1" x14ac:dyDescent="0.25">
      <c r="A79" s="37" t="s">
        <v>1336</v>
      </c>
      <c r="B79" s="1" t="s">
        <v>174</v>
      </c>
      <c r="C79" s="2">
        <f t="shared" si="34"/>
        <v>7324935.5599999996</v>
      </c>
      <c r="D79" s="3">
        <f t="shared" si="41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 t="shared" si="49"/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S946</f>
        <v>0</v>
      </c>
      <c r="T79" s="3">
        <v>0</v>
      </c>
      <c r="U79" s="3">
        <v>198000</v>
      </c>
      <c r="V79" s="6">
        <f t="shared" si="42"/>
        <v>4174.937695121951</v>
      </c>
    </row>
    <row r="80" spans="1:22" ht="21.95" customHeight="1" x14ac:dyDescent="0.25">
      <c r="A80" s="37" t="s">
        <v>1337</v>
      </c>
      <c r="B80" s="1" t="s">
        <v>175</v>
      </c>
      <c r="C80" s="2">
        <f t="shared" si="34"/>
        <v>124764.64</v>
      </c>
      <c r="D80" s="3">
        <f t="shared" si="41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 t="shared" si="48"/>
        <v>0</v>
      </c>
      <c r="S80" s="3">
        <v>0</v>
      </c>
      <c r="T80" s="3">
        <v>0</v>
      </c>
      <c r="U80" s="3">
        <v>124764.64</v>
      </c>
      <c r="V80" s="6" t="e">
        <f t="shared" si="42"/>
        <v>#DIV/0!</v>
      </c>
    </row>
    <row r="81" spans="1:22" ht="21.95" customHeight="1" x14ac:dyDescent="0.25">
      <c r="A81" s="37" t="s">
        <v>1338</v>
      </c>
      <c r="B81" s="1" t="s">
        <v>176</v>
      </c>
      <c r="C81" s="2">
        <f t="shared" si="34"/>
        <v>3505682.2199999997</v>
      </c>
      <c r="D81" s="3">
        <f t="shared" si="41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 t="shared" ref="J81:J82" si="50">350*0</f>
        <v>0</v>
      </c>
      <c r="K81" s="4">
        <v>0</v>
      </c>
      <c r="L81" s="3">
        <v>0</v>
      </c>
      <c r="M81" s="3">
        <v>379.45</v>
      </c>
      <c r="N81" s="3">
        <f t="shared" si="47"/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6">
        <f t="shared" si="42"/>
        <v>5300</v>
      </c>
    </row>
    <row r="82" spans="1:22" ht="21.95" customHeight="1" x14ac:dyDescent="0.25">
      <c r="A82" s="37" t="s">
        <v>1339</v>
      </c>
      <c r="B82" s="1" t="s">
        <v>177</v>
      </c>
      <c r="C82" s="2">
        <f t="shared" si="34"/>
        <v>140954.04</v>
      </c>
      <c r="D82" s="3">
        <f t="shared" si="41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 t="shared" si="50"/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S900</f>
        <v>0</v>
      </c>
      <c r="T82" s="3">
        <v>0</v>
      </c>
      <c r="U82" s="3">
        <v>140954.04</v>
      </c>
      <c r="V82" s="6" t="e">
        <f t="shared" si="42"/>
        <v>#DIV/0!</v>
      </c>
    </row>
    <row r="83" spans="1:22" ht="21.95" customHeight="1" x14ac:dyDescent="0.25">
      <c r="A83" s="37" t="s">
        <v>1340</v>
      </c>
      <c r="B83" s="21" t="s">
        <v>178</v>
      </c>
      <c r="C83" s="2">
        <f t="shared" si="34"/>
        <v>52206.080000000002</v>
      </c>
      <c r="D83" s="3">
        <f t="shared" si="41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 t="shared" si="47"/>
        <v>0</v>
      </c>
      <c r="O83" s="3">
        <v>0</v>
      </c>
      <c r="P83" s="3">
        <v>0</v>
      </c>
      <c r="Q83" s="3">
        <v>0</v>
      </c>
      <c r="R83" s="3">
        <f t="shared" si="48"/>
        <v>0</v>
      </c>
      <c r="S83" s="3">
        <f>S901</f>
        <v>0</v>
      </c>
      <c r="T83" s="3">
        <v>0</v>
      </c>
      <c r="U83" s="3">
        <v>52206.080000000002</v>
      </c>
      <c r="V83" s="6" t="e">
        <f t="shared" si="42"/>
        <v>#DIV/0!</v>
      </c>
    </row>
    <row r="84" spans="1:22" ht="21.95" customHeight="1" x14ac:dyDescent="0.25">
      <c r="A84" s="37" t="s">
        <v>1341</v>
      </c>
      <c r="B84" s="21" t="s">
        <v>179</v>
      </c>
      <c r="C84" s="2">
        <f t="shared" si="34"/>
        <v>49933.51</v>
      </c>
      <c r="D84" s="3">
        <f t="shared" si="41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 t="shared" si="47"/>
        <v>0</v>
      </c>
      <c r="O84" s="3">
        <v>0</v>
      </c>
      <c r="P84" s="3">
        <v>0</v>
      </c>
      <c r="Q84" s="3">
        <v>0</v>
      </c>
      <c r="R84" s="3">
        <f t="shared" si="48"/>
        <v>0</v>
      </c>
      <c r="S84" s="3">
        <f>S902</f>
        <v>0</v>
      </c>
      <c r="T84" s="3">
        <v>0</v>
      </c>
      <c r="U84" s="3">
        <v>49933.51</v>
      </c>
      <c r="V84" s="6" t="e">
        <f t="shared" si="42"/>
        <v>#DIV/0!</v>
      </c>
    </row>
    <row r="85" spans="1:22" ht="21.95" customHeight="1" x14ac:dyDescent="0.25">
      <c r="A85" s="37" t="s">
        <v>1342</v>
      </c>
      <c r="B85" s="8" t="s">
        <v>1042</v>
      </c>
      <c r="C85" s="2">
        <f t="shared" si="34"/>
        <v>168307.13</v>
      </c>
      <c r="D85" s="3">
        <f t="shared" si="41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5">
        <v>0</v>
      </c>
      <c r="N85" s="5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6" t="e">
        <f t="shared" si="42"/>
        <v>#DIV/0!</v>
      </c>
    </row>
    <row r="86" spans="1:22" ht="45" customHeight="1" x14ac:dyDescent="0.25">
      <c r="A86" s="54" t="s">
        <v>221</v>
      </c>
      <c r="B86" s="54"/>
      <c r="C86" s="2">
        <f>SUM(C87:C88)</f>
        <v>2602069.1</v>
      </c>
      <c r="D86" s="2">
        <f t="shared" ref="D86:U86" si="51">SUM(D87:D88)</f>
        <v>454084.26000000007</v>
      </c>
      <c r="E86" s="2">
        <f t="shared" si="51"/>
        <v>145809.64000000001</v>
      </c>
      <c r="F86" s="2">
        <f t="shared" si="51"/>
        <v>202522</v>
      </c>
      <c r="G86" s="2">
        <f t="shared" si="51"/>
        <v>48192.91</v>
      </c>
      <c r="H86" s="2">
        <f t="shared" si="51"/>
        <v>0</v>
      </c>
      <c r="I86" s="2">
        <f t="shared" si="51"/>
        <v>57559.71</v>
      </c>
      <c r="J86" s="2">
        <f t="shared" si="51"/>
        <v>0</v>
      </c>
      <c r="K86" s="14">
        <f t="shared" si="51"/>
        <v>0</v>
      </c>
      <c r="L86" s="2">
        <f t="shared" si="51"/>
        <v>0</v>
      </c>
      <c r="M86" s="2">
        <f t="shared" si="51"/>
        <v>240</v>
      </c>
      <c r="N86" s="2">
        <f t="shared" si="51"/>
        <v>1032050.92</v>
      </c>
      <c r="O86" s="2">
        <f t="shared" si="51"/>
        <v>0</v>
      </c>
      <c r="P86" s="2">
        <f t="shared" si="51"/>
        <v>0</v>
      </c>
      <c r="Q86" s="2">
        <f t="shared" si="51"/>
        <v>408.6</v>
      </c>
      <c r="R86" s="2">
        <f t="shared" si="51"/>
        <v>1063447.25</v>
      </c>
      <c r="S86" s="2">
        <f t="shared" si="51"/>
        <v>0</v>
      </c>
      <c r="T86" s="2">
        <f t="shared" si="51"/>
        <v>0</v>
      </c>
      <c r="U86" s="2">
        <f t="shared" si="51"/>
        <v>52486.67</v>
      </c>
      <c r="V86" s="18">
        <f>C86+C403</f>
        <v>6645769.5999999996</v>
      </c>
    </row>
    <row r="87" spans="1:22" ht="20.100000000000001" customHeight="1" x14ac:dyDescent="0.25">
      <c r="A87" s="37" t="s">
        <v>1343</v>
      </c>
      <c r="B87" s="8" t="s">
        <v>222</v>
      </c>
      <c r="C87" s="2">
        <f t="shared" si="34"/>
        <v>2549582.4300000002</v>
      </c>
      <c r="D87" s="3">
        <f t="shared" ref="D87:D88" si="52"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6">
        <f t="shared" ref="V87:V88" si="53">N87/M87</f>
        <v>4300.2121666666671</v>
      </c>
    </row>
    <row r="88" spans="1:22" ht="20.100000000000001" customHeight="1" x14ac:dyDescent="0.25">
      <c r="A88" s="37" t="s">
        <v>1344</v>
      </c>
      <c r="B88" s="8" t="s">
        <v>223</v>
      </c>
      <c r="C88" s="2">
        <f t="shared" si="34"/>
        <v>52486.67</v>
      </c>
      <c r="D88" s="3">
        <f t="shared" si="52"/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6" t="e">
        <f t="shared" si="53"/>
        <v>#DIV/0!</v>
      </c>
    </row>
    <row r="89" spans="1:22" ht="45" customHeight="1" x14ac:dyDescent="0.25">
      <c r="A89" s="54" t="s">
        <v>220</v>
      </c>
      <c r="B89" s="54"/>
      <c r="C89" s="2">
        <f>SUM(C90:C95)</f>
        <v>5065932.63</v>
      </c>
      <c r="D89" s="2">
        <f t="shared" ref="D89:U89" si="54">SUM(D90:D95)</f>
        <v>203812.47</v>
      </c>
      <c r="E89" s="2">
        <f t="shared" si="54"/>
        <v>203812.47</v>
      </c>
      <c r="F89" s="2">
        <f t="shared" si="54"/>
        <v>0</v>
      </c>
      <c r="G89" s="2">
        <f t="shared" si="54"/>
        <v>0</v>
      </c>
      <c r="H89" s="2">
        <f t="shared" si="54"/>
        <v>0</v>
      </c>
      <c r="I89" s="2">
        <f t="shared" si="54"/>
        <v>0</v>
      </c>
      <c r="J89" s="2">
        <f t="shared" si="54"/>
        <v>0</v>
      </c>
      <c r="K89" s="14">
        <f t="shared" si="54"/>
        <v>0</v>
      </c>
      <c r="L89" s="2">
        <f t="shared" si="54"/>
        <v>0</v>
      </c>
      <c r="M89" s="2">
        <f t="shared" si="54"/>
        <v>370</v>
      </c>
      <c r="N89" s="2">
        <f t="shared" si="54"/>
        <v>1939364.18</v>
      </c>
      <c r="O89" s="2">
        <f t="shared" si="54"/>
        <v>0</v>
      </c>
      <c r="P89" s="2">
        <f t="shared" si="54"/>
        <v>0</v>
      </c>
      <c r="Q89" s="2">
        <f t="shared" si="54"/>
        <v>1390.05</v>
      </c>
      <c r="R89" s="2">
        <f t="shared" si="54"/>
        <v>2774118.74</v>
      </c>
      <c r="S89" s="2">
        <f t="shared" si="54"/>
        <v>0</v>
      </c>
      <c r="T89" s="2">
        <f t="shared" si="54"/>
        <v>0</v>
      </c>
      <c r="U89" s="2">
        <f t="shared" si="54"/>
        <v>148637.24</v>
      </c>
      <c r="V89" s="18">
        <f>C89+C405+C866</f>
        <v>62308040.200000003</v>
      </c>
    </row>
    <row r="90" spans="1:22" ht="21.95" customHeight="1" x14ac:dyDescent="0.25">
      <c r="A90" s="37" t="s">
        <v>1345</v>
      </c>
      <c r="B90" s="8" t="s">
        <v>211</v>
      </c>
      <c r="C90" s="2">
        <f t="shared" si="34"/>
        <v>61829.57</v>
      </c>
      <c r="D90" s="3">
        <f t="shared" ref="D90:D95" si="55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5">
        <v>0</v>
      </c>
      <c r="N90" s="5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6" t="e">
        <f t="shared" ref="V90:V95" si="56">N90/M90</f>
        <v>#DIV/0!</v>
      </c>
    </row>
    <row r="91" spans="1:22" ht="21.95" customHeight="1" x14ac:dyDescent="0.25">
      <c r="A91" s="37" t="s">
        <v>1346</v>
      </c>
      <c r="B91" s="8" t="s">
        <v>214</v>
      </c>
      <c r="C91" s="2">
        <f t="shared" si="34"/>
        <v>32637.59</v>
      </c>
      <c r="D91" s="3">
        <f t="shared" si="55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6" t="e">
        <f t="shared" si="56"/>
        <v>#DIV/0!</v>
      </c>
    </row>
    <row r="92" spans="1:22" ht="21.95" customHeight="1" x14ac:dyDescent="0.25">
      <c r="A92" s="37" t="s">
        <v>1347</v>
      </c>
      <c r="B92" s="8" t="s">
        <v>1056</v>
      </c>
      <c r="C92" s="2">
        <f t="shared" si="34"/>
        <v>1326633.6000000001</v>
      </c>
      <c r="D92" s="3">
        <f t="shared" si="55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6" t="e">
        <f t="shared" si="56"/>
        <v>#DIV/0!</v>
      </c>
    </row>
    <row r="93" spans="1:22" ht="21.95" customHeight="1" x14ac:dyDescent="0.25">
      <c r="A93" s="37" t="s">
        <v>1348</v>
      </c>
      <c r="B93" s="8" t="s">
        <v>215</v>
      </c>
      <c r="C93" s="2">
        <f t="shared" si="34"/>
        <v>54170.080000000002</v>
      </c>
      <c r="D93" s="3">
        <f t="shared" si="55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6" t="e">
        <f t="shared" si="56"/>
        <v>#DIV/0!</v>
      </c>
    </row>
    <row r="94" spans="1:22" ht="21.95" customHeight="1" x14ac:dyDescent="0.25">
      <c r="A94" s="37" t="s">
        <v>1349</v>
      </c>
      <c r="B94" s="8" t="s">
        <v>1057</v>
      </c>
      <c r="C94" s="2">
        <f t="shared" si="34"/>
        <v>2637062.5499999998</v>
      </c>
      <c r="D94" s="3">
        <f t="shared" si="55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5">
        <v>370</v>
      </c>
      <c r="N94" s="5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6">
        <f t="shared" si="56"/>
        <v>5241.5248108108108</v>
      </c>
    </row>
    <row r="95" spans="1:22" ht="21.95" customHeight="1" x14ac:dyDescent="0.25">
      <c r="A95" s="37" t="s">
        <v>1350</v>
      </c>
      <c r="B95" s="8" t="s">
        <v>1058</v>
      </c>
      <c r="C95" s="2">
        <f t="shared" si="34"/>
        <v>953599.24</v>
      </c>
      <c r="D95" s="3">
        <f t="shared" si="55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5">
        <v>432</v>
      </c>
      <c r="R95" s="5">
        <v>851933.85</v>
      </c>
      <c r="S95" s="3">
        <v>0</v>
      </c>
      <c r="T95" s="3">
        <v>0</v>
      </c>
      <c r="U95" s="3">
        <v>0</v>
      </c>
      <c r="V95" s="6" t="e">
        <f t="shared" si="56"/>
        <v>#DIV/0!</v>
      </c>
    </row>
    <row r="96" spans="1:22" ht="45" customHeight="1" x14ac:dyDescent="0.25">
      <c r="A96" s="54" t="s">
        <v>224</v>
      </c>
      <c r="B96" s="54"/>
      <c r="C96" s="2">
        <f>SUM(C97:C103)</f>
        <v>10285380.459999999</v>
      </c>
      <c r="D96" s="2">
        <f t="shared" ref="D96:T96" si="57">SUM(D98:D103)</f>
        <v>3102953.3</v>
      </c>
      <c r="E96" s="2">
        <f t="shared" si="57"/>
        <v>359199.98</v>
      </c>
      <c r="F96" s="2">
        <f t="shared" si="57"/>
        <v>1930196.5299999998</v>
      </c>
      <c r="G96" s="2">
        <f t="shared" si="57"/>
        <v>165331.20000000001</v>
      </c>
      <c r="H96" s="2">
        <f t="shared" si="57"/>
        <v>648225.59000000008</v>
      </c>
      <c r="I96" s="2">
        <f t="shared" si="57"/>
        <v>0</v>
      </c>
      <c r="J96" s="2">
        <f t="shared" si="57"/>
        <v>0</v>
      </c>
      <c r="K96" s="14">
        <f t="shared" si="57"/>
        <v>0</v>
      </c>
      <c r="L96" s="2">
        <f t="shared" si="57"/>
        <v>0</v>
      </c>
      <c r="M96" s="2">
        <f t="shared" si="57"/>
        <v>1610</v>
      </c>
      <c r="N96" s="2">
        <f>SUM(N97:N103)</f>
        <v>5424455.4399999995</v>
      </c>
      <c r="O96" s="2">
        <f t="shared" si="57"/>
        <v>0</v>
      </c>
      <c r="P96" s="2">
        <f t="shared" si="57"/>
        <v>0</v>
      </c>
      <c r="Q96" s="2">
        <f t="shared" si="57"/>
        <v>660</v>
      </c>
      <c r="R96" s="2">
        <f>SUM(R97:R103)</f>
        <v>1240574.96</v>
      </c>
      <c r="S96" s="2">
        <f t="shared" si="57"/>
        <v>0</v>
      </c>
      <c r="T96" s="2">
        <f t="shared" si="57"/>
        <v>0</v>
      </c>
      <c r="U96" s="2">
        <f>SUM(U97:U103)</f>
        <v>517396.75999999995</v>
      </c>
      <c r="V96" s="18">
        <f>C96+C415+C874</f>
        <v>56175708.259999998</v>
      </c>
    </row>
    <row r="97" spans="1:22" ht="21.95" customHeight="1" x14ac:dyDescent="0.25">
      <c r="A97" s="37" t="s">
        <v>1351</v>
      </c>
      <c r="B97" s="8" t="s">
        <v>230</v>
      </c>
      <c r="C97" s="2">
        <f>D97+L97+N97+P97+R97+S97+T97+U97</f>
        <v>67931.94</v>
      </c>
      <c r="D97" s="3">
        <f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6" t="e">
        <f>N97/M97</f>
        <v>#DIV/0!</v>
      </c>
    </row>
    <row r="98" spans="1:22" ht="21.95" customHeight="1" x14ac:dyDescent="0.25">
      <c r="A98" s="37" t="s">
        <v>1352</v>
      </c>
      <c r="B98" s="8" t="s">
        <v>227</v>
      </c>
      <c r="C98" s="2">
        <f t="shared" si="34"/>
        <v>1896196.86</v>
      </c>
      <c r="D98" s="3">
        <f t="shared" ref="D98:D103" si="58">SUM(E98:J98)</f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6" t="e">
        <f t="shared" ref="V98:V103" si="59">N98/M98</f>
        <v>#DIV/0!</v>
      </c>
    </row>
    <row r="99" spans="1:22" ht="21.95" customHeight="1" x14ac:dyDescent="0.25">
      <c r="A99" s="37" t="s">
        <v>1353</v>
      </c>
      <c r="B99" s="8" t="s">
        <v>228</v>
      </c>
      <c r="C99" s="2">
        <f t="shared" si="34"/>
        <v>3214200.37</v>
      </c>
      <c r="D99" s="3">
        <f t="shared" si="58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6">
        <f t="shared" si="59"/>
        <v>2851.0027797833936</v>
      </c>
    </row>
    <row r="100" spans="1:22" ht="21.95" customHeight="1" x14ac:dyDescent="0.25">
      <c r="A100" s="37" t="s">
        <v>1354</v>
      </c>
      <c r="B100" s="8" t="s">
        <v>229</v>
      </c>
      <c r="C100" s="2">
        <f t="shared" si="34"/>
        <v>1436634.3299999998</v>
      </c>
      <c r="D100" s="3">
        <f t="shared" si="58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6" t="e">
        <f t="shared" si="59"/>
        <v>#DIV/0!</v>
      </c>
    </row>
    <row r="101" spans="1:22" ht="21.95" customHeight="1" x14ac:dyDescent="0.25">
      <c r="A101" s="37" t="s">
        <v>1355</v>
      </c>
      <c r="B101" s="8" t="s">
        <v>236</v>
      </c>
      <c r="C101" s="2">
        <f t="shared" si="34"/>
        <v>43502.720000000001</v>
      </c>
      <c r="D101" s="3">
        <f t="shared" si="58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6" t="e">
        <f t="shared" si="59"/>
        <v>#DIV/0!</v>
      </c>
    </row>
    <row r="102" spans="1:22" ht="21.95" customHeight="1" x14ac:dyDescent="0.25">
      <c r="A102" s="37" t="s">
        <v>1356</v>
      </c>
      <c r="B102" s="8" t="s">
        <v>237</v>
      </c>
      <c r="C102" s="2">
        <f t="shared" si="34"/>
        <v>3590879.9499999997</v>
      </c>
      <c r="D102" s="3">
        <f t="shared" si="58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6">
        <f t="shared" si="59"/>
        <v>4513.0365737051789</v>
      </c>
    </row>
    <row r="103" spans="1:22" ht="21.95" customHeight="1" x14ac:dyDescent="0.25">
      <c r="A103" s="37" t="s">
        <v>1357</v>
      </c>
      <c r="B103" s="8" t="s">
        <v>238</v>
      </c>
      <c r="C103" s="2">
        <f t="shared" si="34"/>
        <v>36034.29</v>
      </c>
      <c r="D103" s="3">
        <f t="shared" si="58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6" t="e">
        <f t="shared" si="59"/>
        <v>#DIV/0!</v>
      </c>
    </row>
    <row r="104" spans="1:22" ht="45" customHeight="1" x14ac:dyDescent="0.25">
      <c r="A104" s="54" t="s">
        <v>266</v>
      </c>
      <c r="B104" s="54"/>
      <c r="C104" s="2">
        <f>SUM(C105:C113)</f>
        <v>21052476.790000003</v>
      </c>
      <c r="D104" s="2">
        <f t="shared" ref="D104:U104" si="60">SUM(D105:D113)</f>
        <v>2996229.58</v>
      </c>
      <c r="E104" s="2">
        <f t="shared" si="60"/>
        <v>776561.23</v>
      </c>
      <c r="F104" s="2">
        <f t="shared" si="60"/>
        <v>1654258.34</v>
      </c>
      <c r="G104" s="2">
        <f t="shared" si="60"/>
        <v>228876.97000000003</v>
      </c>
      <c r="H104" s="2">
        <f t="shared" si="60"/>
        <v>0</v>
      </c>
      <c r="I104" s="2">
        <f t="shared" si="60"/>
        <v>336533.04</v>
      </c>
      <c r="J104" s="2">
        <f t="shared" si="60"/>
        <v>0</v>
      </c>
      <c r="K104" s="14">
        <f t="shared" si="60"/>
        <v>0</v>
      </c>
      <c r="L104" s="2">
        <f t="shared" si="60"/>
        <v>0</v>
      </c>
      <c r="M104" s="2">
        <f t="shared" si="60"/>
        <v>1739.9</v>
      </c>
      <c r="N104" s="2">
        <f t="shared" si="60"/>
        <v>8597281.5099999998</v>
      </c>
      <c r="O104" s="2">
        <f t="shared" si="60"/>
        <v>1281.5</v>
      </c>
      <c r="P104" s="2">
        <f t="shared" si="60"/>
        <v>1244201.9099999999</v>
      </c>
      <c r="Q104" s="2">
        <f t="shared" si="60"/>
        <v>3032</v>
      </c>
      <c r="R104" s="2">
        <f t="shared" si="60"/>
        <v>6762381.1899999995</v>
      </c>
      <c r="S104" s="2">
        <f t="shared" si="60"/>
        <v>0</v>
      </c>
      <c r="T104" s="2">
        <f t="shared" si="60"/>
        <v>0</v>
      </c>
      <c r="U104" s="2">
        <f t="shared" si="60"/>
        <v>1452382.5999999999</v>
      </c>
      <c r="V104" s="18">
        <f>C104+C427+C882</f>
        <v>237761133.11000001</v>
      </c>
    </row>
    <row r="105" spans="1:22" ht="21.95" customHeight="1" x14ac:dyDescent="0.25">
      <c r="A105" s="37" t="s">
        <v>1358</v>
      </c>
      <c r="B105" s="22" t="s">
        <v>242</v>
      </c>
      <c r="C105" s="2">
        <f t="shared" si="34"/>
        <v>11569870.460000001</v>
      </c>
      <c r="D105" s="3">
        <f t="shared" ref="D105:D113" si="61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6">
        <f t="shared" ref="V105:V113" si="62">N105/M105</f>
        <v>5093.990734030438</v>
      </c>
    </row>
    <row r="106" spans="1:22" ht="21.95" customHeight="1" x14ac:dyDescent="0.25">
      <c r="A106" s="37" t="s">
        <v>1359</v>
      </c>
      <c r="B106" s="22" t="s">
        <v>243</v>
      </c>
      <c r="C106" s="2">
        <f t="shared" si="34"/>
        <v>8428223.7300000004</v>
      </c>
      <c r="D106" s="3">
        <f t="shared" si="61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6">
        <f t="shared" si="62"/>
        <v>4750.6406459948321</v>
      </c>
    </row>
    <row r="107" spans="1:22" ht="21.95" customHeight="1" x14ac:dyDescent="0.25">
      <c r="A107" s="37" t="s">
        <v>1360</v>
      </c>
      <c r="B107" s="22" t="s">
        <v>244</v>
      </c>
      <c r="C107" s="2">
        <f t="shared" si="34"/>
        <v>199000</v>
      </c>
      <c r="D107" s="3">
        <f t="shared" si="61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6" t="e">
        <f t="shared" si="62"/>
        <v>#DIV/0!</v>
      </c>
    </row>
    <row r="108" spans="1:22" ht="21.95" customHeight="1" x14ac:dyDescent="0.25">
      <c r="A108" s="37" t="s">
        <v>1263</v>
      </c>
      <c r="B108" s="8" t="s">
        <v>246</v>
      </c>
      <c r="C108" s="2">
        <f t="shared" si="34"/>
        <v>317122.92</v>
      </c>
      <c r="D108" s="3">
        <f t="shared" si="61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6" t="e">
        <f t="shared" si="62"/>
        <v>#DIV/0!</v>
      </c>
    </row>
    <row r="109" spans="1:22" ht="21.95" customHeight="1" x14ac:dyDescent="0.25">
      <c r="A109" s="37" t="s">
        <v>1361</v>
      </c>
      <c r="B109" s="22" t="s">
        <v>245</v>
      </c>
      <c r="C109" s="2">
        <f t="shared" si="34"/>
        <v>62427.49</v>
      </c>
      <c r="D109" s="3">
        <f t="shared" si="61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6" t="e">
        <f t="shared" si="62"/>
        <v>#DIV/0!</v>
      </c>
    </row>
    <row r="110" spans="1:22" ht="21.95" customHeight="1" x14ac:dyDescent="0.25">
      <c r="A110" s="37" t="s">
        <v>1362</v>
      </c>
      <c r="B110" s="22" t="s">
        <v>247</v>
      </c>
      <c r="C110" s="2">
        <f t="shared" si="34"/>
        <v>76336.39</v>
      </c>
      <c r="D110" s="3">
        <f t="shared" si="61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6" t="e">
        <f t="shared" si="62"/>
        <v>#DIV/0!</v>
      </c>
    </row>
    <row r="111" spans="1:22" ht="21.95" customHeight="1" x14ac:dyDescent="0.25">
      <c r="A111" s="37" t="s">
        <v>1363</v>
      </c>
      <c r="B111" s="22" t="s">
        <v>248</v>
      </c>
      <c r="C111" s="2">
        <f t="shared" si="34"/>
        <v>199000</v>
      </c>
      <c r="D111" s="3">
        <f t="shared" si="61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6" t="e">
        <f t="shared" si="62"/>
        <v>#DIV/0!</v>
      </c>
    </row>
    <row r="112" spans="1:22" ht="21.95" customHeight="1" x14ac:dyDescent="0.25">
      <c r="A112" s="37" t="s">
        <v>1264</v>
      </c>
      <c r="B112" s="22" t="s">
        <v>257</v>
      </c>
      <c r="C112" s="2">
        <f t="shared" si="34"/>
        <v>81875.320000000007</v>
      </c>
      <c r="D112" s="3">
        <f t="shared" si="61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6" t="e">
        <f t="shared" si="62"/>
        <v>#DIV/0!</v>
      </c>
    </row>
    <row r="113" spans="1:22" ht="21.95" customHeight="1" x14ac:dyDescent="0.25">
      <c r="A113" s="37" t="s">
        <v>1364</v>
      </c>
      <c r="B113" s="22" t="s">
        <v>260</v>
      </c>
      <c r="C113" s="2">
        <f t="shared" si="34"/>
        <v>118620.48</v>
      </c>
      <c r="D113" s="3">
        <f t="shared" si="61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6" t="e">
        <f t="shared" si="62"/>
        <v>#DIV/0!</v>
      </c>
    </row>
    <row r="114" spans="1:22" ht="45" customHeight="1" x14ac:dyDescent="0.25">
      <c r="A114" s="54" t="s">
        <v>987</v>
      </c>
      <c r="B114" s="54"/>
      <c r="C114" s="2">
        <f>SUM(C115)</f>
        <v>1686325.08</v>
      </c>
      <c r="D114" s="2">
        <f t="shared" ref="D114:U114" si="63">SUM(D115)</f>
        <v>0</v>
      </c>
      <c r="E114" s="2">
        <f t="shared" si="63"/>
        <v>0</v>
      </c>
      <c r="F114" s="2">
        <f t="shared" si="63"/>
        <v>0</v>
      </c>
      <c r="G114" s="2">
        <f t="shared" si="63"/>
        <v>0</v>
      </c>
      <c r="H114" s="2">
        <f t="shared" si="63"/>
        <v>0</v>
      </c>
      <c r="I114" s="2">
        <f t="shared" si="63"/>
        <v>0</v>
      </c>
      <c r="J114" s="2">
        <f t="shared" si="63"/>
        <v>0</v>
      </c>
      <c r="K114" s="14">
        <f t="shared" si="63"/>
        <v>0</v>
      </c>
      <c r="L114" s="2">
        <f t="shared" si="63"/>
        <v>0</v>
      </c>
      <c r="M114" s="2">
        <f t="shared" si="63"/>
        <v>536.4</v>
      </c>
      <c r="N114" s="2">
        <f t="shared" si="63"/>
        <v>1654017.3</v>
      </c>
      <c r="O114" s="2">
        <f t="shared" si="63"/>
        <v>0</v>
      </c>
      <c r="P114" s="2">
        <f t="shared" si="63"/>
        <v>0</v>
      </c>
      <c r="Q114" s="2">
        <f t="shared" si="63"/>
        <v>0</v>
      </c>
      <c r="R114" s="2">
        <f t="shared" si="63"/>
        <v>0</v>
      </c>
      <c r="S114" s="2">
        <f t="shared" si="63"/>
        <v>0</v>
      </c>
      <c r="T114" s="2">
        <f t="shared" si="63"/>
        <v>0</v>
      </c>
      <c r="U114" s="2">
        <f t="shared" si="63"/>
        <v>32307.78</v>
      </c>
      <c r="V114" s="18">
        <f>C114+C446</f>
        <v>3666325.08</v>
      </c>
    </row>
    <row r="115" spans="1:22" ht="21.95" customHeight="1" x14ac:dyDescent="0.25">
      <c r="A115" s="37" t="s">
        <v>1365</v>
      </c>
      <c r="B115" s="22" t="s">
        <v>988</v>
      </c>
      <c r="C115" s="2">
        <f t="shared" si="34"/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6">
        <f>N115/M115</f>
        <v>3083.5520134228191</v>
      </c>
    </row>
    <row r="116" spans="1:22" ht="45" customHeight="1" x14ac:dyDescent="0.25">
      <c r="A116" s="54" t="s">
        <v>267</v>
      </c>
      <c r="B116" s="54"/>
      <c r="C116" s="2">
        <f>SUM(C117)</f>
        <v>166377.20000000001</v>
      </c>
      <c r="D116" s="2">
        <f t="shared" ref="D116:U116" si="64">SUM(D117)</f>
        <v>0</v>
      </c>
      <c r="E116" s="2">
        <f t="shared" si="64"/>
        <v>0</v>
      </c>
      <c r="F116" s="2">
        <f t="shared" si="64"/>
        <v>0</v>
      </c>
      <c r="G116" s="2">
        <f t="shared" si="64"/>
        <v>0</v>
      </c>
      <c r="H116" s="2">
        <f t="shared" si="64"/>
        <v>0</v>
      </c>
      <c r="I116" s="2">
        <f t="shared" si="64"/>
        <v>0</v>
      </c>
      <c r="J116" s="2">
        <f t="shared" si="64"/>
        <v>0</v>
      </c>
      <c r="K116" s="14">
        <f t="shared" si="64"/>
        <v>0</v>
      </c>
      <c r="L116" s="2">
        <f t="shared" si="64"/>
        <v>0</v>
      </c>
      <c r="M116" s="2">
        <f t="shared" si="64"/>
        <v>0</v>
      </c>
      <c r="N116" s="2">
        <f t="shared" si="64"/>
        <v>0</v>
      </c>
      <c r="O116" s="2">
        <f t="shared" si="64"/>
        <v>0</v>
      </c>
      <c r="P116" s="2">
        <f t="shared" si="64"/>
        <v>0</v>
      </c>
      <c r="Q116" s="2">
        <f t="shared" si="64"/>
        <v>0</v>
      </c>
      <c r="R116" s="2">
        <f t="shared" si="64"/>
        <v>0</v>
      </c>
      <c r="S116" s="2">
        <f t="shared" si="64"/>
        <v>0</v>
      </c>
      <c r="T116" s="2">
        <f t="shared" si="64"/>
        <v>0</v>
      </c>
      <c r="U116" s="2">
        <f t="shared" si="64"/>
        <v>166377.20000000001</v>
      </c>
      <c r="V116" s="18">
        <f>C116</f>
        <v>166377.20000000001</v>
      </c>
    </row>
    <row r="117" spans="1:22" ht="21.95" customHeight="1" x14ac:dyDescent="0.25">
      <c r="A117" s="37" t="s">
        <v>1366</v>
      </c>
      <c r="B117" s="22" t="s">
        <v>268</v>
      </c>
      <c r="C117" s="2">
        <f t="shared" si="34"/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6" t="e">
        <f>N117/M117</f>
        <v>#DIV/0!</v>
      </c>
    </row>
    <row r="118" spans="1:22" ht="45" customHeight="1" x14ac:dyDescent="0.25">
      <c r="A118" s="54" t="s">
        <v>1059</v>
      </c>
      <c r="B118" s="54"/>
      <c r="C118" s="2">
        <f>SUM(C119)</f>
        <v>2170164.9699999997</v>
      </c>
      <c r="D118" s="2">
        <f t="shared" ref="D118:U118" si="65">SUM(D119)</f>
        <v>280113.19</v>
      </c>
      <c r="E118" s="2">
        <f t="shared" si="65"/>
        <v>198739.27</v>
      </c>
      <c r="F118" s="2">
        <f t="shared" si="65"/>
        <v>0</v>
      </c>
      <c r="G118" s="2">
        <f t="shared" si="65"/>
        <v>0</v>
      </c>
      <c r="H118" s="2">
        <f t="shared" si="65"/>
        <v>0</v>
      </c>
      <c r="I118" s="2">
        <f t="shared" si="65"/>
        <v>81373.919999999998</v>
      </c>
      <c r="J118" s="2">
        <f t="shared" si="65"/>
        <v>0</v>
      </c>
      <c r="K118" s="14">
        <f t="shared" si="65"/>
        <v>0</v>
      </c>
      <c r="L118" s="2">
        <f t="shared" si="65"/>
        <v>0</v>
      </c>
      <c r="M118" s="2">
        <f t="shared" si="65"/>
        <v>0</v>
      </c>
      <c r="N118" s="2">
        <f t="shared" si="65"/>
        <v>0</v>
      </c>
      <c r="O118" s="2">
        <f t="shared" si="65"/>
        <v>0</v>
      </c>
      <c r="P118" s="2">
        <f t="shared" si="65"/>
        <v>0</v>
      </c>
      <c r="Q118" s="2">
        <f t="shared" si="65"/>
        <v>710</v>
      </c>
      <c r="R118" s="2">
        <f t="shared" si="65"/>
        <v>1743230.17</v>
      </c>
      <c r="S118" s="2">
        <f t="shared" si="65"/>
        <v>0</v>
      </c>
      <c r="T118" s="2">
        <f t="shared" si="65"/>
        <v>0</v>
      </c>
      <c r="U118" s="2">
        <f t="shared" si="65"/>
        <v>146821.60999999999</v>
      </c>
      <c r="V118" s="18">
        <f>C118</f>
        <v>2170164.9699999997</v>
      </c>
    </row>
    <row r="119" spans="1:22" ht="21.95" customHeight="1" x14ac:dyDescent="0.25">
      <c r="A119" s="37" t="s">
        <v>1265</v>
      </c>
      <c r="B119" s="22" t="s">
        <v>1060</v>
      </c>
      <c r="C119" s="2">
        <f t="shared" si="34"/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6" t="e">
        <f>N119/M119</f>
        <v>#DIV/0!</v>
      </c>
    </row>
    <row r="120" spans="1:22" ht="45" customHeight="1" x14ac:dyDescent="0.25">
      <c r="A120" s="54" t="s">
        <v>376</v>
      </c>
      <c r="B120" s="54"/>
      <c r="C120" s="2">
        <f>SUM(C121:C236)</f>
        <v>305918620.67000008</v>
      </c>
      <c r="D120" s="2">
        <f t="shared" ref="D120:U120" si="66">SUM(D121:D236)</f>
        <v>113103388.14000002</v>
      </c>
      <c r="E120" s="2">
        <f t="shared" si="66"/>
        <v>17706561.520000003</v>
      </c>
      <c r="F120" s="2">
        <f t="shared" si="66"/>
        <v>69731826.920000002</v>
      </c>
      <c r="G120" s="2">
        <f t="shared" si="66"/>
        <v>8199732.6899999995</v>
      </c>
      <c r="H120" s="2">
        <f t="shared" si="66"/>
        <v>10460029.600000001</v>
      </c>
      <c r="I120" s="2">
        <f t="shared" si="66"/>
        <v>7005237.4100000001</v>
      </c>
      <c r="J120" s="2">
        <f t="shared" si="66"/>
        <v>0</v>
      </c>
      <c r="K120" s="14">
        <f t="shared" si="66"/>
        <v>2</v>
      </c>
      <c r="L120" s="2">
        <f t="shared" si="66"/>
        <v>3467713.03</v>
      </c>
      <c r="M120" s="2">
        <f t="shared" si="66"/>
        <v>25419.300000000007</v>
      </c>
      <c r="N120" s="2">
        <f t="shared" si="66"/>
        <v>116337857.07000002</v>
      </c>
      <c r="O120" s="2">
        <f t="shared" si="66"/>
        <v>1032</v>
      </c>
      <c r="P120" s="2">
        <f t="shared" si="66"/>
        <v>1229693.94</v>
      </c>
      <c r="Q120" s="2">
        <f t="shared" si="66"/>
        <v>25327.71</v>
      </c>
      <c r="R120" s="2">
        <f t="shared" si="66"/>
        <v>57600037.990000002</v>
      </c>
      <c r="S120" s="2">
        <f t="shared" si="66"/>
        <v>60982.93</v>
      </c>
      <c r="T120" s="2">
        <f t="shared" si="66"/>
        <v>678303.6</v>
      </c>
      <c r="U120" s="2">
        <f t="shared" si="66"/>
        <v>13440643.969999997</v>
      </c>
      <c r="V120" s="18">
        <f>C120+C457+C903</f>
        <v>2139192165.46</v>
      </c>
    </row>
    <row r="121" spans="1:22" ht="21.95" customHeight="1" x14ac:dyDescent="0.25">
      <c r="A121" s="37" t="s">
        <v>1367</v>
      </c>
      <c r="B121" s="8" t="s">
        <v>468</v>
      </c>
      <c r="C121" s="2">
        <f t="shared" si="34"/>
        <v>3323627.13</v>
      </c>
      <c r="D121" s="3">
        <f t="shared" ref="D121:D174" si="67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6">
        <f t="shared" ref="V121:V174" si="68">N121/M121</f>
        <v>4865.2083055975791</v>
      </c>
    </row>
    <row r="122" spans="1:22" ht="21.95" customHeight="1" x14ac:dyDescent="0.25">
      <c r="A122" s="37" t="s">
        <v>1368</v>
      </c>
      <c r="B122" s="8" t="s">
        <v>469</v>
      </c>
      <c r="C122" s="2">
        <f t="shared" ref="C122:C174" si="69">D122+L122+N122+P122+R122+S122+T122+U122</f>
        <v>3234332.3800000004</v>
      </c>
      <c r="D122" s="3">
        <f t="shared" si="67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6">
        <f t="shared" si="68"/>
        <v>4998.4420095693786</v>
      </c>
    </row>
    <row r="123" spans="1:22" ht="21.95" customHeight="1" x14ac:dyDescent="0.25">
      <c r="A123" s="37" t="s">
        <v>1369</v>
      </c>
      <c r="B123" s="8" t="s">
        <v>484</v>
      </c>
      <c r="C123" s="2">
        <f t="shared" si="69"/>
        <v>4313501.8099999996</v>
      </c>
      <c r="D123" s="3">
        <f t="shared" si="67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6">
        <f t="shared" si="68"/>
        <v>5196.6750368912926</v>
      </c>
    </row>
    <row r="124" spans="1:22" ht="21.95" customHeight="1" x14ac:dyDescent="0.25">
      <c r="A124" s="37" t="s">
        <v>1370</v>
      </c>
      <c r="B124" s="8" t="s">
        <v>426</v>
      </c>
      <c r="C124" s="2">
        <f t="shared" si="69"/>
        <v>163490.91</v>
      </c>
      <c r="D124" s="3">
        <f t="shared" si="67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6" t="e">
        <f t="shared" si="68"/>
        <v>#DIV/0!</v>
      </c>
    </row>
    <row r="125" spans="1:22" ht="21.95" customHeight="1" x14ac:dyDescent="0.25">
      <c r="A125" s="37" t="s">
        <v>1371</v>
      </c>
      <c r="B125" s="8" t="s">
        <v>485</v>
      </c>
      <c r="C125" s="2">
        <f t="shared" si="69"/>
        <v>5015105.75</v>
      </c>
      <c r="D125" s="3">
        <f t="shared" si="67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6">
        <f t="shared" si="68"/>
        <v>5299.9992508710802</v>
      </c>
    </row>
    <row r="126" spans="1:22" ht="21.95" customHeight="1" x14ac:dyDescent="0.25">
      <c r="A126" s="37" t="s">
        <v>1372</v>
      </c>
      <c r="B126" s="8" t="s">
        <v>420</v>
      </c>
      <c r="C126" s="2">
        <f t="shared" si="69"/>
        <v>173076.4</v>
      </c>
      <c r="D126" s="3">
        <f t="shared" si="67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6" t="e">
        <f t="shared" si="68"/>
        <v>#DIV/0!</v>
      </c>
    </row>
    <row r="127" spans="1:22" ht="21.95" customHeight="1" x14ac:dyDescent="0.25">
      <c r="A127" s="37" t="s">
        <v>1373</v>
      </c>
      <c r="B127" s="23" t="s">
        <v>377</v>
      </c>
      <c r="C127" s="2">
        <f t="shared" si="69"/>
        <v>1822584.59</v>
      </c>
      <c r="D127" s="3">
        <f t="shared" si="67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6">
        <f t="shared" si="68"/>
        <v>3913.8824922532094</v>
      </c>
    </row>
    <row r="128" spans="1:22" ht="21.95" customHeight="1" x14ac:dyDescent="0.25">
      <c r="A128" s="37" t="s">
        <v>1374</v>
      </c>
      <c r="B128" s="24" t="s">
        <v>1038</v>
      </c>
      <c r="C128" s="2">
        <f>D128+L128+N128+P128+R128+S128+T128+U128</f>
        <v>431384.7</v>
      </c>
      <c r="D128" s="3">
        <f>SUM(E128:J128)</f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6" t="e">
        <f>N128/M128</f>
        <v>#DIV/0!</v>
      </c>
    </row>
    <row r="129" spans="1:22" ht="21.95" customHeight="1" x14ac:dyDescent="0.25">
      <c r="A129" s="37" t="s">
        <v>1375</v>
      </c>
      <c r="B129" s="24" t="s">
        <v>1039</v>
      </c>
      <c r="C129" s="2">
        <f>D129+L129+N129+P129+R129+S129+T129+U129</f>
        <v>404313.16</v>
      </c>
      <c r="D129" s="3">
        <f>SUM(E129:J129)</f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6" t="e">
        <f>N129/M129</f>
        <v>#DIV/0!</v>
      </c>
    </row>
    <row r="130" spans="1:22" ht="21.95" customHeight="1" x14ac:dyDescent="0.25">
      <c r="A130" s="37" t="s">
        <v>1376</v>
      </c>
      <c r="B130" s="24" t="s">
        <v>1040</v>
      </c>
      <c r="C130" s="2">
        <f>D130+L130+N130+P130+R130+S130+T130+U130</f>
        <v>400760.45</v>
      </c>
      <c r="D130" s="3">
        <f>SUM(E130:J130)</f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6" t="e">
        <f>N130/M130</f>
        <v>#DIV/0!</v>
      </c>
    </row>
    <row r="131" spans="1:22" ht="21.95" customHeight="1" x14ac:dyDescent="0.25">
      <c r="A131" s="37" t="s">
        <v>1377</v>
      </c>
      <c r="B131" s="8" t="s">
        <v>421</v>
      </c>
      <c r="C131" s="2">
        <f t="shared" si="69"/>
        <v>39639.949999999997</v>
      </c>
      <c r="D131" s="3">
        <f t="shared" si="67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6" t="e">
        <f t="shared" si="68"/>
        <v>#DIV/0!</v>
      </c>
    </row>
    <row r="132" spans="1:22" ht="21.95" customHeight="1" x14ac:dyDescent="0.25">
      <c r="A132" s="37" t="s">
        <v>1378</v>
      </c>
      <c r="B132" s="23" t="s">
        <v>422</v>
      </c>
      <c r="C132" s="2">
        <f t="shared" si="69"/>
        <v>55918.46</v>
      </c>
      <c r="D132" s="3">
        <f t="shared" si="67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6" t="e">
        <f t="shared" si="68"/>
        <v>#DIV/0!</v>
      </c>
    </row>
    <row r="133" spans="1:22" ht="21.95" customHeight="1" x14ac:dyDescent="0.25">
      <c r="A133" s="37" t="s">
        <v>1379</v>
      </c>
      <c r="B133" s="23" t="s">
        <v>441</v>
      </c>
      <c r="C133" s="2">
        <f t="shared" si="69"/>
        <v>64358.54</v>
      </c>
      <c r="D133" s="3">
        <f t="shared" si="67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6" t="e">
        <f t="shared" si="68"/>
        <v>#DIV/0!</v>
      </c>
    </row>
    <row r="134" spans="1:22" ht="21.95" customHeight="1" x14ac:dyDescent="0.25">
      <c r="A134" s="37" t="s">
        <v>1380</v>
      </c>
      <c r="B134" s="8" t="s">
        <v>486</v>
      </c>
      <c r="C134" s="2">
        <f t="shared" si="69"/>
        <v>2558331.8400000003</v>
      </c>
      <c r="D134" s="3">
        <f t="shared" si="67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6">
        <f t="shared" si="68"/>
        <v>3539.6632843414359</v>
      </c>
    </row>
    <row r="135" spans="1:22" ht="21.95" customHeight="1" x14ac:dyDescent="0.25">
      <c r="A135" s="37" t="s">
        <v>1381</v>
      </c>
      <c r="B135" s="8" t="s">
        <v>487</v>
      </c>
      <c r="C135" s="2">
        <f t="shared" si="69"/>
        <v>53597.85</v>
      </c>
      <c r="D135" s="3">
        <f t="shared" si="67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6" t="e">
        <f t="shared" si="68"/>
        <v>#DIV/0!</v>
      </c>
    </row>
    <row r="136" spans="1:22" ht="21.95" customHeight="1" x14ac:dyDescent="0.25">
      <c r="A136" s="37" t="s">
        <v>1382</v>
      </c>
      <c r="B136" s="8" t="s">
        <v>488</v>
      </c>
      <c r="C136" s="2">
        <f t="shared" si="69"/>
        <v>68863.03</v>
      </c>
      <c r="D136" s="3">
        <f t="shared" si="67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6" t="e">
        <f t="shared" si="68"/>
        <v>#DIV/0!</v>
      </c>
    </row>
    <row r="137" spans="1:22" ht="21.95" customHeight="1" x14ac:dyDescent="0.25">
      <c r="A137" s="37" t="s">
        <v>1383</v>
      </c>
      <c r="B137" s="8" t="s">
        <v>470</v>
      </c>
      <c r="C137" s="2">
        <f t="shared" si="69"/>
        <v>84581.04</v>
      </c>
      <c r="D137" s="3">
        <f t="shared" si="67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6" t="e">
        <f t="shared" si="68"/>
        <v>#DIV/0!</v>
      </c>
    </row>
    <row r="138" spans="1:22" ht="21.95" customHeight="1" x14ac:dyDescent="0.25">
      <c r="A138" s="37" t="s">
        <v>1384</v>
      </c>
      <c r="B138" s="8" t="s">
        <v>489</v>
      </c>
      <c r="C138" s="2">
        <f t="shared" si="69"/>
        <v>41774.69</v>
      </c>
      <c r="D138" s="3">
        <f t="shared" si="67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6" t="e">
        <f t="shared" si="68"/>
        <v>#DIV/0!</v>
      </c>
    </row>
    <row r="139" spans="1:22" ht="21.95" customHeight="1" x14ac:dyDescent="0.25">
      <c r="A139" s="37" t="s">
        <v>1385</v>
      </c>
      <c r="B139" s="8" t="s">
        <v>414</v>
      </c>
      <c r="C139" s="2">
        <f t="shared" si="69"/>
        <v>95551.6</v>
      </c>
      <c r="D139" s="3">
        <f t="shared" si="67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6" t="e">
        <f t="shared" si="68"/>
        <v>#DIV/0!</v>
      </c>
    </row>
    <row r="140" spans="1:22" ht="21.95" customHeight="1" x14ac:dyDescent="0.25">
      <c r="A140" s="37" t="s">
        <v>1386</v>
      </c>
      <c r="B140" s="23" t="s">
        <v>471</v>
      </c>
      <c r="C140" s="2">
        <f t="shared" si="69"/>
        <v>108492.72</v>
      </c>
      <c r="D140" s="3">
        <f t="shared" si="67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6" t="e">
        <f t="shared" si="68"/>
        <v>#DIV/0!</v>
      </c>
    </row>
    <row r="141" spans="1:22" ht="21.95" customHeight="1" x14ac:dyDescent="0.25">
      <c r="A141" s="37" t="s">
        <v>1387</v>
      </c>
      <c r="B141" s="8" t="s">
        <v>386</v>
      </c>
      <c r="C141" s="2">
        <f t="shared" si="69"/>
        <v>3164401.52</v>
      </c>
      <c r="D141" s="3">
        <f t="shared" si="67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6">
        <f t="shared" si="68"/>
        <v>5646.1239223134653</v>
      </c>
    </row>
    <row r="142" spans="1:22" ht="21.95" customHeight="1" x14ac:dyDescent="0.25">
      <c r="A142" s="37" t="s">
        <v>1388</v>
      </c>
      <c r="B142" s="8" t="s">
        <v>490</v>
      </c>
      <c r="C142" s="2">
        <f t="shared" si="69"/>
        <v>2763011.6300000004</v>
      </c>
      <c r="D142" s="3">
        <f t="shared" si="67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6">
        <f t="shared" si="68"/>
        <v>5299.9767752583803</v>
      </c>
    </row>
    <row r="143" spans="1:22" ht="21.95" customHeight="1" x14ac:dyDescent="0.25">
      <c r="A143" s="37" t="s">
        <v>1389</v>
      </c>
      <c r="B143" s="8" t="s">
        <v>491</v>
      </c>
      <c r="C143" s="2">
        <f t="shared" si="69"/>
        <v>1935029.82</v>
      </c>
      <c r="D143" s="3">
        <f t="shared" si="67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6">
        <f t="shared" si="68"/>
        <v>4350.7331244196839</v>
      </c>
    </row>
    <row r="144" spans="1:22" ht="21.95" customHeight="1" x14ac:dyDescent="0.25">
      <c r="A144" s="37" t="s">
        <v>1390</v>
      </c>
      <c r="B144" s="8" t="s">
        <v>455</v>
      </c>
      <c r="C144" s="2">
        <f t="shared" si="69"/>
        <v>1988523.26</v>
      </c>
      <c r="D144" s="3">
        <f t="shared" si="67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6">
        <f t="shared" si="68"/>
        <v>5049.2714566156255</v>
      </c>
    </row>
    <row r="145" spans="1:22" ht="21.95" customHeight="1" x14ac:dyDescent="0.25">
      <c r="A145" s="37" t="s">
        <v>1391</v>
      </c>
      <c r="B145" s="8" t="s">
        <v>492</v>
      </c>
      <c r="C145" s="2">
        <f t="shared" si="69"/>
        <v>1313592.3500000001</v>
      </c>
      <c r="D145" s="3">
        <f t="shared" si="67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6">
        <f t="shared" si="68"/>
        <v>4497.1620751341679</v>
      </c>
    </row>
    <row r="146" spans="1:22" ht="21.95" customHeight="1" x14ac:dyDescent="0.25">
      <c r="A146" s="37" t="s">
        <v>1392</v>
      </c>
      <c r="B146" s="8" t="s">
        <v>493</v>
      </c>
      <c r="C146" s="2">
        <f t="shared" si="69"/>
        <v>1315989.95</v>
      </c>
      <c r="D146" s="3">
        <f t="shared" si="67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6">
        <f t="shared" si="68"/>
        <v>4513.8150537634401</v>
      </c>
    </row>
    <row r="147" spans="1:22" ht="21.95" customHeight="1" x14ac:dyDescent="0.25">
      <c r="A147" s="37" t="s">
        <v>1393</v>
      </c>
      <c r="B147" s="8" t="s">
        <v>433</v>
      </c>
      <c r="C147" s="2">
        <f t="shared" si="69"/>
        <v>58699.22</v>
      </c>
      <c r="D147" s="3">
        <f t="shared" si="67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6" t="e">
        <f t="shared" si="68"/>
        <v>#DIV/0!</v>
      </c>
    </row>
    <row r="148" spans="1:22" ht="21.95" customHeight="1" x14ac:dyDescent="0.25">
      <c r="A148" s="37" t="s">
        <v>1394</v>
      </c>
      <c r="B148" s="8" t="s">
        <v>434</v>
      </c>
      <c r="C148" s="2">
        <f t="shared" si="69"/>
        <v>44647.56</v>
      </c>
      <c r="D148" s="3">
        <f t="shared" si="67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6" t="e">
        <f t="shared" si="68"/>
        <v>#DIV/0!</v>
      </c>
    </row>
    <row r="149" spans="1:22" ht="21.95" customHeight="1" x14ac:dyDescent="0.25">
      <c r="A149" s="37" t="s">
        <v>1395</v>
      </c>
      <c r="B149" s="8" t="s">
        <v>391</v>
      </c>
      <c r="C149" s="2">
        <f t="shared" si="69"/>
        <v>47629.84</v>
      </c>
      <c r="D149" s="3">
        <f t="shared" si="67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6" t="e">
        <f t="shared" si="68"/>
        <v>#DIV/0!</v>
      </c>
    </row>
    <row r="150" spans="1:22" ht="21.95" customHeight="1" x14ac:dyDescent="0.25">
      <c r="A150" s="37" t="s">
        <v>1396</v>
      </c>
      <c r="B150" s="8" t="s">
        <v>672</v>
      </c>
      <c r="C150" s="2">
        <f t="shared" si="69"/>
        <v>46183.66</v>
      </c>
      <c r="D150" s="3">
        <f t="shared" si="67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6" t="e">
        <f t="shared" si="68"/>
        <v>#DIV/0!</v>
      </c>
    </row>
    <row r="151" spans="1:22" ht="21.95" customHeight="1" x14ac:dyDescent="0.25">
      <c r="A151" s="37" t="s">
        <v>1397</v>
      </c>
      <c r="B151" s="8" t="s">
        <v>442</v>
      </c>
      <c r="C151" s="2">
        <f t="shared" si="69"/>
        <v>2465982.14</v>
      </c>
      <c r="D151" s="3">
        <f t="shared" si="67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6" t="e">
        <f t="shared" si="68"/>
        <v>#DIV/0!</v>
      </c>
    </row>
    <row r="152" spans="1:22" ht="21.95" customHeight="1" x14ac:dyDescent="0.25">
      <c r="A152" s="37" t="s">
        <v>1398</v>
      </c>
      <c r="B152" s="8" t="s">
        <v>456</v>
      </c>
      <c r="C152" s="2">
        <f t="shared" si="69"/>
        <v>2191313.1800000002</v>
      </c>
      <c r="D152" s="3">
        <f t="shared" si="67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6" t="e">
        <f t="shared" si="68"/>
        <v>#DIV/0!</v>
      </c>
    </row>
    <row r="153" spans="1:22" ht="21.95" customHeight="1" x14ac:dyDescent="0.25">
      <c r="A153" s="37" t="s">
        <v>1399</v>
      </c>
      <c r="B153" s="23" t="s">
        <v>383</v>
      </c>
      <c r="C153" s="2">
        <f t="shared" si="69"/>
        <v>18021469.080000002</v>
      </c>
      <c r="D153" s="3">
        <f t="shared" si="67"/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6" t="e">
        <f t="shared" si="68"/>
        <v>#DIV/0!</v>
      </c>
    </row>
    <row r="154" spans="1:22" ht="21.95" customHeight="1" x14ac:dyDescent="0.25">
      <c r="A154" s="37" t="s">
        <v>1400</v>
      </c>
      <c r="B154" s="24" t="s">
        <v>1047</v>
      </c>
      <c r="C154" s="2">
        <f t="shared" si="69"/>
        <v>11052597.710000001</v>
      </c>
      <c r="D154" s="3">
        <f t="shared" si="67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6">
        <f t="shared" si="68"/>
        <v>5271.9676259890675</v>
      </c>
    </row>
    <row r="155" spans="1:22" ht="21.95" customHeight="1" x14ac:dyDescent="0.25">
      <c r="A155" s="37" t="s">
        <v>1401</v>
      </c>
      <c r="B155" s="24" t="s">
        <v>1049</v>
      </c>
      <c r="C155" s="2">
        <f t="shared" si="69"/>
        <v>4233066</v>
      </c>
      <c r="D155" s="3">
        <f t="shared" si="67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6">
        <f t="shared" si="68"/>
        <v>5298.8277008310251</v>
      </c>
    </row>
    <row r="156" spans="1:22" ht="21.95" customHeight="1" x14ac:dyDescent="0.25">
      <c r="A156" s="37" t="s">
        <v>1402</v>
      </c>
      <c r="B156" s="23" t="s">
        <v>446</v>
      </c>
      <c r="C156" s="2">
        <f t="shared" si="69"/>
        <v>5449604.25</v>
      </c>
      <c r="D156" s="3">
        <f t="shared" si="67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6">
        <f t="shared" si="68"/>
        <v>4592.1469103190002</v>
      </c>
    </row>
    <row r="157" spans="1:22" ht="21.95" customHeight="1" x14ac:dyDescent="0.25">
      <c r="A157" s="37" t="s">
        <v>1403</v>
      </c>
      <c r="B157" s="23" t="s">
        <v>423</v>
      </c>
      <c r="C157" s="2">
        <f t="shared" si="69"/>
        <v>57604.23</v>
      </c>
      <c r="D157" s="3">
        <f t="shared" si="67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6" t="e">
        <f t="shared" si="68"/>
        <v>#DIV/0!</v>
      </c>
    </row>
    <row r="158" spans="1:22" ht="21.95" customHeight="1" x14ac:dyDescent="0.25">
      <c r="A158" s="37" t="s">
        <v>1404</v>
      </c>
      <c r="B158" s="23" t="s">
        <v>427</v>
      </c>
      <c r="C158" s="2">
        <f t="shared" si="69"/>
        <v>57288.18</v>
      </c>
      <c r="D158" s="3">
        <f t="shared" si="67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6" t="e">
        <f t="shared" si="68"/>
        <v>#DIV/0!</v>
      </c>
    </row>
    <row r="159" spans="1:22" ht="21.95" customHeight="1" x14ac:dyDescent="0.25">
      <c r="A159" s="37" t="s">
        <v>1405</v>
      </c>
      <c r="B159" s="23" t="s">
        <v>457</v>
      </c>
      <c r="C159" s="2">
        <f t="shared" si="69"/>
        <v>47015.32</v>
      </c>
      <c r="D159" s="3">
        <f t="shared" si="67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6" t="e">
        <f t="shared" si="68"/>
        <v>#DIV/0!</v>
      </c>
    </row>
    <row r="160" spans="1:22" ht="21.95" customHeight="1" x14ac:dyDescent="0.25">
      <c r="A160" s="37" t="s">
        <v>1406</v>
      </c>
      <c r="B160" s="8" t="s">
        <v>407</v>
      </c>
      <c r="C160" s="2">
        <f t="shared" si="69"/>
        <v>43169.63</v>
      </c>
      <c r="D160" s="3">
        <f t="shared" si="67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6" t="e">
        <f t="shared" si="68"/>
        <v>#DIV/0!</v>
      </c>
    </row>
    <row r="161" spans="1:22" ht="21.95" customHeight="1" x14ac:dyDescent="0.25">
      <c r="A161" s="37" t="s">
        <v>1407</v>
      </c>
      <c r="B161" s="8" t="s">
        <v>408</v>
      </c>
      <c r="C161" s="2">
        <f t="shared" si="69"/>
        <v>44381.3</v>
      </c>
      <c r="D161" s="3">
        <f t="shared" si="67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6" t="e">
        <f t="shared" si="68"/>
        <v>#DIV/0!</v>
      </c>
    </row>
    <row r="162" spans="1:22" ht="21.95" customHeight="1" x14ac:dyDescent="0.25">
      <c r="A162" s="37" t="s">
        <v>1408</v>
      </c>
      <c r="B162" s="8" t="s">
        <v>409</v>
      </c>
      <c r="C162" s="2">
        <f t="shared" si="69"/>
        <v>42168.68</v>
      </c>
      <c r="D162" s="3">
        <f t="shared" si="67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6" t="e">
        <f t="shared" si="68"/>
        <v>#DIV/0!</v>
      </c>
    </row>
    <row r="163" spans="1:22" ht="21.95" customHeight="1" x14ac:dyDescent="0.25">
      <c r="A163" s="37" t="s">
        <v>1409</v>
      </c>
      <c r="B163" s="8" t="s">
        <v>406</v>
      </c>
      <c r="C163" s="2">
        <f t="shared" si="69"/>
        <v>44381.3</v>
      </c>
      <c r="D163" s="3">
        <f t="shared" si="67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6" t="e">
        <f t="shared" si="68"/>
        <v>#DIV/0!</v>
      </c>
    </row>
    <row r="164" spans="1:22" ht="21.95" customHeight="1" x14ac:dyDescent="0.25">
      <c r="A164" s="37" t="s">
        <v>1410</v>
      </c>
      <c r="B164" s="8" t="s">
        <v>497</v>
      </c>
      <c r="C164" s="2">
        <f t="shared" si="69"/>
        <v>24442991.599999998</v>
      </c>
      <c r="D164" s="3">
        <f t="shared" si="67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6">
        <f t="shared" si="68"/>
        <v>2949.1103359971739</v>
      </c>
    </row>
    <row r="165" spans="1:22" ht="21.95" customHeight="1" x14ac:dyDescent="0.25">
      <c r="A165" s="37" t="s">
        <v>1411</v>
      </c>
      <c r="B165" s="24" t="s">
        <v>1065</v>
      </c>
      <c r="C165" s="2">
        <f t="shared" si="69"/>
        <v>1845974.65</v>
      </c>
      <c r="D165" s="3">
        <f t="shared" si="67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6">
        <f t="shared" si="68"/>
        <v>4651.1755102040815</v>
      </c>
    </row>
    <row r="166" spans="1:22" ht="21.95" customHeight="1" x14ac:dyDescent="0.25">
      <c r="A166" s="37" t="s">
        <v>1412</v>
      </c>
      <c r="B166" s="8" t="s">
        <v>458</v>
      </c>
      <c r="C166" s="2">
        <f t="shared" si="69"/>
        <v>60640.68</v>
      </c>
      <c r="D166" s="3">
        <f t="shared" si="67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6" t="e">
        <f t="shared" si="68"/>
        <v>#DIV/0!</v>
      </c>
    </row>
    <row r="167" spans="1:22" ht="21.95" customHeight="1" x14ac:dyDescent="0.25">
      <c r="A167" s="37" t="s">
        <v>1413</v>
      </c>
      <c r="B167" s="8" t="s">
        <v>447</v>
      </c>
      <c r="C167" s="2">
        <f t="shared" si="69"/>
        <v>21399145.73</v>
      </c>
      <c r="D167" s="3">
        <f t="shared" si="67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7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6" t="e">
        <f t="shared" si="68"/>
        <v>#DIV/0!</v>
      </c>
    </row>
    <row r="168" spans="1:22" ht="21.95" customHeight="1" x14ac:dyDescent="0.25">
      <c r="A168" s="37" t="s">
        <v>1414</v>
      </c>
      <c r="B168" s="8" t="s">
        <v>436</v>
      </c>
      <c r="C168" s="2">
        <f t="shared" si="69"/>
        <v>128639.99</v>
      </c>
      <c r="D168" s="3">
        <f t="shared" si="67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7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6" t="e">
        <f t="shared" si="68"/>
        <v>#DIV/0!</v>
      </c>
    </row>
    <row r="169" spans="1:22" ht="21.95" customHeight="1" x14ac:dyDescent="0.25">
      <c r="A169" s="37" t="s">
        <v>1266</v>
      </c>
      <c r="B169" s="8" t="s">
        <v>428</v>
      </c>
      <c r="C169" s="2">
        <f t="shared" si="69"/>
        <v>200000</v>
      </c>
      <c r="D169" s="3">
        <f t="shared" si="67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7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6" t="e">
        <f t="shared" si="68"/>
        <v>#DIV/0!</v>
      </c>
    </row>
    <row r="170" spans="1:22" ht="21.95" customHeight="1" x14ac:dyDescent="0.25">
      <c r="A170" s="37" t="s">
        <v>1267</v>
      </c>
      <c r="B170" s="8" t="s">
        <v>415</v>
      </c>
      <c r="C170" s="2">
        <f t="shared" si="69"/>
        <v>2315708.7499999995</v>
      </c>
      <c r="D170" s="3">
        <f t="shared" si="67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7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6" t="e">
        <f t="shared" si="68"/>
        <v>#DIV/0!</v>
      </c>
    </row>
    <row r="171" spans="1:22" ht="21.95" customHeight="1" x14ac:dyDescent="0.25">
      <c r="A171" s="37" t="s">
        <v>1415</v>
      </c>
      <c r="B171" s="8" t="s">
        <v>429</v>
      </c>
      <c r="C171" s="2">
        <f t="shared" si="69"/>
        <v>200000</v>
      </c>
      <c r="D171" s="3">
        <f t="shared" si="67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7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6" t="e">
        <f t="shared" si="68"/>
        <v>#DIV/0!</v>
      </c>
    </row>
    <row r="172" spans="1:22" ht="21.95" customHeight="1" x14ac:dyDescent="0.25">
      <c r="A172" s="37" t="s">
        <v>1268</v>
      </c>
      <c r="B172" s="8" t="s">
        <v>435</v>
      </c>
      <c r="C172" s="2">
        <f t="shared" si="69"/>
        <v>128923.69</v>
      </c>
      <c r="D172" s="3">
        <f t="shared" si="67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7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6" t="e">
        <f t="shared" si="68"/>
        <v>#DIV/0!</v>
      </c>
    </row>
    <row r="173" spans="1:22" ht="21.95" customHeight="1" x14ac:dyDescent="0.25">
      <c r="A173" s="37" t="s">
        <v>1269</v>
      </c>
      <c r="B173" s="8" t="s">
        <v>472</v>
      </c>
      <c r="C173" s="2">
        <f t="shared" si="69"/>
        <v>6825610.0200000005</v>
      </c>
      <c r="D173" s="3">
        <f t="shared" si="67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6" t="e">
        <f t="shared" si="68"/>
        <v>#DIV/0!</v>
      </c>
    </row>
    <row r="174" spans="1:22" ht="21.95" customHeight="1" x14ac:dyDescent="0.25">
      <c r="A174" s="37" t="s">
        <v>1416</v>
      </c>
      <c r="B174" s="8" t="s">
        <v>395</v>
      </c>
      <c r="C174" s="2">
        <f t="shared" si="69"/>
        <v>200000</v>
      </c>
      <c r="D174" s="3">
        <f t="shared" si="67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6" t="e">
        <f t="shared" si="68"/>
        <v>#DIV/0!</v>
      </c>
    </row>
    <row r="175" spans="1:22" ht="21.95" customHeight="1" x14ac:dyDescent="0.25">
      <c r="A175" s="37" t="s">
        <v>1417</v>
      </c>
      <c r="B175" s="23" t="s">
        <v>438</v>
      </c>
      <c r="C175" s="2">
        <f t="shared" ref="C175:C210" si="71">D175+L175+N175+P175+R175+S175+T175+U175</f>
        <v>200000</v>
      </c>
      <c r="D175" s="3">
        <f t="shared" ref="D175:D209" si="72">SUM(E175:J175)</f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 t="shared" ref="J175:J515" si="73"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6" t="e">
        <f t="shared" ref="V175:V211" si="74">N175/M175</f>
        <v>#DIV/0!</v>
      </c>
    </row>
    <row r="176" spans="1:22" ht="21.95" customHeight="1" x14ac:dyDescent="0.25">
      <c r="A176" s="37" t="s">
        <v>1418</v>
      </c>
      <c r="B176" s="8" t="s">
        <v>473</v>
      </c>
      <c r="C176" s="2">
        <f t="shared" si="71"/>
        <v>3724471.58</v>
      </c>
      <c r="D176" s="3">
        <f t="shared" si="72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6">
        <f t="shared" si="74"/>
        <v>4537.3351607276354</v>
      </c>
    </row>
    <row r="177" spans="1:22" ht="21.95" customHeight="1" x14ac:dyDescent="0.25">
      <c r="A177" s="37" t="s">
        <v>1419</v>
      </c>
      <c r="B177" s="8" t="s">
        <v>459</v>
      </c>
      <c r="C177" s="2">
        <f t="shared" si="71"/>
        <v>62674.98</v>
      </c>
      <c r="D177" s="3">
        <f t="shared" si="72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6" t="e">
        <f t="shared" si="74"/>
        <v>#DIV/0!</v>
      </c>
    </row>
    <row r="178" spans="1:22" ht="21.95" customHeight="1" x14ac:dyDescent="0.25">
      <c r="A178" s="37" t="s">
        <v>1420</v>
      </c>
      <c r="B178" s="8" t="s">
        <v>460</v>
      </c>
      <c r="C178" s="2">
        <f t="shared" si="71"/>
        <v>63754.32</v>
      </c>
      <c r="D178" s="3">
        <f t="shared" si="72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6" t="e">
        <f t="shared" si="74"/>
        <v>#DIV/0!</v>
      </c>
    </row>
    <row r="179" spans="1:22" ht="21.95" customHeight="1" x14ac:dyDescent="0.25">
      <c r="A179" s="37" t="s">
        <v>1421</v>
      </c>
      <c r="B179" s="23" t="s">
        <v>443</v>
      </c>
      <c r="C179" s="2">
        <f t="shared" si="71"/>
        <v>4392186.8099999996</v>
      </c>
      <c r="D179" s="3">
        <f t="shared" si="72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6">
        <f t="shared" si="74"/>
        <v>4332.3694015748033</v>
      </c>
    </row>
    <row r="180" spans="1:22" ht="21.95" customHeight="1" x14ac:dyDescent="0.25">
      <c r="A180" s="37" t="s">
        <v>1422</v>
      </c>
      <c r="B180" s="8" t="s">
        <v>416</v>
      </c>
      <c r="C180" s="2">
        <f t="shared" si="71"/>
        <v>42590.11</v>
      </c>
      <c r="D180" s="3">
        <f t="shared" si="72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6" t="e">
        <f t="shared" si="74"/>
        <v>#DIV/0!</v>
      </c>
    </row>
    <row r="181" spans="1:22" ht="21.95" customHeight="1" x14ac:dyDescent="0.25">
      <c r="A181" s="37" t="s">
        <v>1423</v>
      </c>
      <c r="B181" s="8" t="s">
        <v>474</v>
      </c>
      <c r="C181" s="2">
        <f t="shared" si="71"/>
        <v>200000</v>
      </c>
      <c r="D181" s="3">
        <f t="shared" si="72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6" t="e">
        <f t="shared" si="74"/>
        <v>#DIV/0!</v>
      </c>
    </row>
    <row r="182" spans="1:22" ht="21.95" customHeight="1" x14ac:dyDescent="0.25">
      <c r="A182" s="37" t="s">
        <v>1424</v>
      </c>
      <c r="B182" s="8" t="s">
        <v>444</v>
      </c>
      <c r="C182" s="2">
        <f t="shared" si="71"/>
        <v>4615765.99</v>
      </c>
      <c r="D182" s="3">
        <f t="shared" si="72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6" t="e">
        <f t="shared" si="74"/>
        <v>#DIV/0!</v>
      </c>
    </row>
    <row r="183" spans="1:22" ht="21.95" customHeight="1" x14ac:dyDescent="0.25">
      <c r="A183" s="37" t="s">
        <v>1270</v>
      </c>
      <c r="B183" s="23" t="s">
        <v>475</v>
      </c>
      <c r="C183" s="2">
        <f t="shared" si="71"/>
        <v>5786822.2199999997</v>
      </c>
      <c r="D183" s="3">
        <f t="shared" si="72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6">
        <f t="shared" si="74"/>
        <v>5115.7037556942187</v>
      </c>
    </row>
    <row r="184" spans="1:22" ht="21.95" customHeight="1" x14ac:dyDescent="0.25">
      <c r="A184" s="37" t="s">
        <v>1425</v>
      </c>
      <c r="B184" s="24" t="s">
        <v>1054</v>
      </c>
      <c r="C184" s="2">
        <f>D184+L184+N184+P184+R184+S184+T184+U184</f>
        <v>2176312.8000000003</v>
      </c>
      <c r="D184" s="3">
        <f>SUM(E184:J184)</f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5">
        <v>0</v>
      </c>
      <c r="S184" s="3">
        <v>0</v>
      </c>
      <c r="T184" s="3">
        <v>0</v>
      </c>
      <c r="U184" s="3">
        <v>0</v>
      </c>
      <c r="V184" s="6" t="e">
        <f>N184/M184</f>
        <v>#DIV/0!</v>
      </c>
    </row>
    <row r="185" spans="1:22" ht="21.95" customHeight="1" x14ac:dyDescent="0.25">
      <c r="A185" s="37" t="s">
        <v>1426</v>
      </c>
      <c r="B185" s="23" t="s">
        <v>389</v>
      </c>
      <c r="C185" s="2">
        <f t="shared" si="71"/>
        <v>78903.490000000005</v>
      </c>
      <c r="D185" s="3">
        <f t="shared" si="72"/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6" t="e">
        <f t="shared" si="74"/>
        <v>#DIV/0!</v>
      </c>
    </row>
    <row r="186" spans="1:22" ht="21.95" customHeight="1" x14ac:dyDescent="0.25">
      <c r="A186" s="37" t="s">
        <v>1427</v>
      </c>
      <c r="B186" s="8" t="s">
        <v>384</v>
      </c>
      <c r="C186" s="2">
        <f t="shared" si="71"/>
        <v>65980.28</v>
      </c>
      <c r="D186" s="3">
        <f t="shared" si="7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6" t="e">
        <f t="shared" si="74"/>
        <v>#DIV/0!</v>
      </c>
    </row>
    <row r="187" spans="1:22" ht="21.95" customHeight="1" x14ac:dyDescent="0.25">
      <c r="A187" s="37" t="s">
        <v>1428</v>
      </c>
      <c r="B187" s="8" t="s">
        <v>397</v>
      </c>
      <c r="C187" s="2">
        <f>D187+L187+N187+P187+R187+S187+T187+U187</f>
        <v>118539.22</v>
      </c>
      <c r="D187" s="3">
        <f>SUM(E187:J187)</f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75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6" t="e">
        <f>N187/M187</f>
        <v>#DIV/0!</v>
      </c>
    </row>
    <row r="188" spans="1:22" ht="21.95" customHeight="1" x14ac:dyDescent="0.25">
      <c r="A188" s="37" t="s">
        <v>1429</v>
      </c>
      <c r="B188" s="8" t="s">
        <v>496</v>
      </c>
      <c r="C188" s="2">
        <f t="shared" si="71"/>
        <v>11697685.68</v>
      </c>
      <c r="D188" s="3">
        <f t="shared" si="7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75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6">
        <f t="shared" si="74"/>
        <v>4614.2002518597983</v>
      </c>
    </row>
    <row r="189" spans="1:22" ht="21.95" customHeight="1" x14ac:dyDescent="0.25">
      <c r="A189" s="37" t="s">
        <v>1430</v>
      </c>
      <c r="B189" s="8" t="s">
        <v>1052</v>
      </c>
      <c r="C189" s="2">
        <f t="shared" si="71"/>
        <v>367317.96</v>
      </c>
      <c r="D189" s="3">
        <f t="shared" si="7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75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6" t="e">
        <f t="shared" si="74"/>
        <v>#DIV/0!</v>
      </c>
    </row>
    <row r="190" spans="1:22" ht="21.95" customHeight="1" x14ac:dyDescent="0.25">
      <c r="A190" s="37" t="s">
        <v>1431</v>
      </c>
      <c r="B190" s="8" t="s">
        <v>1073</v>
      </c>
      <c r="C190" s="2">
        <f t="shared" si="71"/>
        <v>13956660.52</v>
      </c>
      <c r="D190" s="3">
        <f t="shared" si="7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75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6" t="e">
        <f t="shared" si="74"/>
        <v>#DIV/0!</v>
      </c>
    </row>
    <row r="191" spans="1:22" ht="21.95" customHeight="1" x14ac:dyDescent="0.25">
      <c r="A191" s="37" t="s">
        <v>1432</v>
      </c>
      <c r="B191" s="8" t="s">
        <v>392</v>
      </c>
      <c r="C191" s="2">
        <f t="shared" si="71"/>
        <v>200000</v>
      </c>
      <c r="D191" s="3">
        <f t="shared" si="7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75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6" t="e">
        <f t="shared" si="74"/>
        <v>#DIV/0!</v>
      </c>
    </row>
    <row r="192" spans="1:22" ht="21.95" customHeight="1" x14ac:dyDescent="0.25">
      <c r="A192" s="37" t="s">
        <v>1433</v>
      </c>
      <c r="B192" s="8" t="s">
        <v>387</v>
      </c>
      <c r="C192" s="2">
        <f t="shared" si="71"/>
        <v>186810.04</v>
      </c>
      <c r="D192" s="3">
        <f t="shared" si="7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75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6" t="e">
        <f t="shared" si="74"/>
        <v>#DIV/0!</v>
      </c>
    </row>
    <row r="193" spans="1:22" ht="21.95" customHeight="1" x14ac:dyDescent="0.25">
      <c r="A193" s="37" t="s">
        <v>1434</v>
      </c>
      <c r="B193" s="24" t="s">
        <v>1048</v>
      </c>
      <c r="C193" s="2">
        <f t="shared" si="71"/>
        <v>4548983.59</v>
      </c>
      <c r="D193" s="3">
        <f t="shared" si="7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5">
        <v>1970674.32</v>
      </c>
      <c r="S193" s="3">
        <v>0</v>
      </c>
      <c r="T193" s="3">
        <v>0</v>
      </c>
      <c r="U193" s="3">
        <v>0</v>
      </c>
      <c r="V193" s="6">
        <f t="shared" si="74"/>
        <v>3641.6797598870057</v>
      </c>
    </row>
    <row r="194" spans="1:22" ht="21.95" customHeight="1" x14ac:dyDescent="0.25">
      <c r="A194" s="37" t="s">
        <v>1435</v>
      </c>
      <c r="B194" s="8" t="s">
        <v>499</v>
      </c>
      <c r="C194" s="2">
        <f t="shared" si="71"/>
        <v>4309443.47</v>
      </c>
      <c r="D194" s="3">
        <f t="shared" si="7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6" t="e">
        <f t="shared" si="74"/>
        <v>#DIV/0!</v>
      </c>
    </row>
    <row r="195" spans="1:22" ht="21.95" customHeight="1" x14ac:dyDescent="0.25">
      <c r="A195" s="37" t="s">
        <v>1436</v>
      </c>
      <c r="B195" s="8" t="s">
        <v>461</v>
      </c>
      <c r="C195" s="2">
        <f t="shared" si="71"/>
        <v>80998.289999999994</v>
      </c>
      <c r="D195" s="3">
        <f t="shared" si="7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6" t="e">
        <f t="shared" si="74"/>
        <v>#DIV/0!</v>
      </c>
    </row>
    <row r="196" spans="1:22" ht="21.95" customHeight="1" x14ac:dyDescent="0.25">
      <c r="A196" s="37" t="s">
        <v>1437</v>
      </c>
      <c r="B196" s="8" t="s">
        <v>1074</v>
      </c>
      <c r="C196" s="2">
        <f t="shared" si="71"/>
        <v>268000</v>
      </c>
      <c r="D196" s="3">
        <f t="shared" si="7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1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268000</v>
      </c>
      <c r="V196" s="6" t="e">
        <f t="shared" si="74"/>
        <v>#DIV/0!</v>
      </c>
    </row>
    <row r="197" spans="1:22" ht="21.95" customHeight="1" x14ac:dyDescent="0.25">
      <c r="A197" s="37" t="s">
        <v>1438</v>
      </c>
      <c r="B197" s="8" t="s">
        <v>403</v>
      </c>
      <c r="C197" s="2">
        <f t="shared" si="71"/>
        <v>200000</v>
      </c>
      <c r="D197" s="3">
        <f t="shared" si="7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6" t="e">
        <f t="shared" si="74"/>
        <v>#DIV/0!</v>
      </c>
    </row>
    <row r="198" spans="1:22" ht="21.95" customHeight="1" x14ac:dyDescent="0.25">
      <c r="A198" s="37" t="s">
        <v>1439</v>
      </c>
      <c r="B198" s="24" t="s">
        <v>1037</v>
      </c>
      <c r="C198" s="2">
        <f>D198+L198+N198+P198+R198+S198+T198+U198</f>
        <v>549889.57999999996</v>
      </c>
      <c r="D198" s="3">
        <f>SUM(E198:J198)</f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5">
        <f>Q198*3000</f>
        <v>0</v>
      </c>
      <c r="S198" s="3">
        <v>0</v>
      </c>
      <c r="T198" s="3">
        <v>0</v>
      </c>
      <c r="U198" s="3">
        <v>549889.57999999996</v>
      </c>
      <c r="V198" s="6" t="e">
        <f>N198/M198</f>
        <v>#DIV/0!</v>
      </c>
    </row>
    <row r="199" spans="1:22" ht="21.95" customHeight="1" x14ac:dyDescent="0.25">
      <c r="A199" s="37" t="s">
        <v>1440</v>
      </c>
      <c r="B199" s="8" t="s">
        <v>477</v>
      </c>
      <c r="C199" s="2">
        <f t="shared" si="71"/>
        <v>2317624.1</v>
      </c>
      <c r="D199" s="3">
        <f t="shared" si="7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6">
        <f t="shared" si="74"/>
        <v>4978.1390728476817</v>
      </c>
    </row>
    <row r="200" spans="1:22" ht="21.95" customHeight="1" x14ac:dyDescent="0.25">
      <c r="A200" s="37" t="s">
        <v>1441</v>
      </c>
      <c r="B200" s="8" t="s">
        <v>478</v>
      </c>
      <c r="C200" s="2">
        <f t="shared" si="71"/>
        <v>1057534.19</v>
      </c>
      <c r="D200" s="3">
        <f t="shared" si="7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6">
        <f t="shared" si="74"/>
        <v>4026.9552695092516</v>
      </c>
    </row>
    <row r="201" spans="1:22" ht="21.95" customHeight="1" x14ac:dyDescent="0.25">
      <c r="A201" s="37" t="s">
        <v>1442</v>
      </c>
      <c r="B201" s="8" t="s">
        <v>494</v>
      </c>
      <c r="C201" s="2">
        <f t="shared" si="71"/>
        <v>3327672.9299999997</v>
      </c>
      <c r="D201" s="3">
        <f t="shared" si="7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6">
        <f t="shared" si="74"/>
        <v>5134.7432423917835</v>
      </c>
    </row>
    <row r="202" spans="1:22" ht="21.95" customHeight="1" x14ac:dyDescent="0.25">
      <c r="A202" s="37" t="s">
        <v>1443</v>
      </c>
      <c r="B202" s="8" t="s">
        <v>424</v>
      </c>
      <c r="C202" s="2">
        <f t="shared" si="71"/>
        <v>2462464.0900000003</v>
      </c>
      <c r="D202" s="3">
        <f t="shared" si="7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6" t="e">
        <f t="shared" si="74"/>
        <v>#DIV/0!</v>
      </c>
    </row>
    <row r="203" spans="1:22" ht="21.95" customHeight="1" x14ac:dyDescent="0.25">
      <c r="A203" s="37" t="s">
        <v>1444</v>
      </c>
      <c r="B203" s="24" t="s">
        <v>1075</v>
      </c>
      <c r="C203" s="2">
        <f t="shared" si="71"/>
        <v>117294.52</v>
      </c>
      <c r="D203" s="3">
        <f t="shared" si="7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6" t="e">
        <f t="shared" si="74"/>
        <v>#DIV/0!</v>
      </c>
    </row>
    <row r="204" spans="1:22" ht="21.95" customHeight="1" x14ac:dyDescent="0.25">
      <c r="A204" s="37" t="s">
        <v>1445</v>
      </c>
      <c r="B204" s="8" t="s">
        <v>413</v>
      </c>
      <c r="C204" s="2">
        <f t="shared" si="71"/>
        <v>58789.59</v>
      </c>
      <c r="D204" s="3">
        <f t="shared" si="7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6" t="e">
        <f t="shared" si="74"/>
        <v>#DIV/0!</v>
      </c>
    </row>
    <row r="205" spans="1:22" ht="21.95" customHeight="1" x14ac:dyDescent="0.25">
      <c r="A205" s="37" t="s">
        <v>1271</v>
      </c>
      <c r="B205" s="8" t="s">
        <v>398</v>
      </c>
      <c r="C205" s="2">
        <f t="shared" si="71"/>
        <v>2630727.2000000002</v>
      </c>
      <c r="D205" s="3">
        <f t="shared" si="7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6" t="e">
        <f t="shared" si="74"/>
        <v>#DIV/0!</v>
      </c>
    </row>
    <row r="206" spans="1:22" ht="21.95" customHeight="1" x14ac:dyDescent="0.25">
      <c r="A206" s="37" t="s">
        <v>1446</v>
      </c>
      <c r="B206" s="8" t="s">
        <v>495</v>
      </c>
      <c r="C206" s="2">
        <f t="shared" si="71"/>
        <v>20198852.490000002</v>
      </c>
      <c r="D206" s="3">
        <f t="shared" si="7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6">
        <f t="shared" si="74"/>
        <v>4840.0854947869029</v>
      </c>
    </row>
    <row r="207" spans="1:22" ht="21.95" customHeight="1" x14ac:dyDescent="0.25">
      <c r="A207" s="37" t="s">
        <v>1447</v>
      </c>
      <c r="B207" s="8" t="s">
        <v>819</v>
      </c>
      <c r="C207" s="2">
        <f t="shared" si="71"/>
        <v>3611336.3299999996</v>
      </c>
      <c r="D207" s="3">
        <f t="shared" si="7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5">
        <v>0</v>
      </c>
      <c r="N207" s="5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6" t="e">
        <f t="shared" si="74"/>
        <v>#DIV/0!</v>
      </c>
    </row>
    <row r="208" spans="1:22" ht="21.95" customHeight="1" x14ac:dyDescent="0.25">
      <c r="A208" s="37" t="s">
        <v>1448</v>
      </c>
      <c r="B208" s="8" t="s">
        <v>405</v>
      </c>
      <c r="C208" s="2">
        <f t="shared" si="71"/>
        <v>2281426.62</v>
      </c>
      <c r="D208" s="3">
        <f t="shared" si="7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6" t="e">
        <f t="shared" si="74"/>
        <v>#DIV/0!</v>
      </c>
    </row>
    <row r="209" spans="1:22" ht="21.95" customHeight="1" x14ac:dyDescent="0.25">
      <c r="A209" s="37" t="s">
        <v>1449</v>
      </c>
      <c r="B209" s="24" t="s">
        <v>1028</v>
      </c>
      <c r="C209" s="2">
        <f t="shared" si="71"/>
        <v>3226159.2</v>
      </c>
      <c r="D209" s="3">
        <f t="shared" si="7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6" t="e">
        <f t="shared" si="74"/>
        <v>#DIV/0!</v>
      </c>
    </row>
    <row r="210" spans="1:22" ht="21.95" customHeight="1" x14ac:dyDescent="0.25">
      <c r="A210" s="37" t="s">
        <v>1450</v>
      </c>
      <c r="B210" s="24" t="s">
        <v>1053</v>
      </c>
      <c r="C210" s="2">
        <f t="shared" si="71"/>
        <v>3368829.6</v>
      </c>
      <c r="D210" s="3">
        <f t="shared" ref="D210:D236" si="76">SUM(E210:J210)</f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6">
        <f t="shared" si="74"/>
        <v>2177.779961342289</v>
      </c>
    </row>
    <row r="211" spans="1:22" ht="21.95" customHeight="1" x14ac:dyDescent="0.25">
      <c r="A211" s="37" t="s">
        <v>1451</v>
      </c>
      <c r="B211" s="24" t="s">
        <v>1051</v>
      </c>
      <c r="C211" s="2">
        <f t="shared" ref="C211:C260" si="77">D211+L211+N211+P211+R211+S211+T211+U211</f>
        <v>4094363</v>
      </c>
      <c r="D211" s="3">
        <f t="shared" si="76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6" t="e">
        <f t="shared" si="74"/>
        <v>#DIV/0!</v>
      </c>
    </row>
    <row r="212" spans="1:22" ht="21.95" customHeight="1" x14ac:dyDescent="0.25">
      <c r="A212" s="37" t="s">
        <v>1452</v>
      </c>
      <c r="B212" s="8" t="s">
        <v>439</v>
      </c>
      <c r="C212" s="2">
        <f t="shared" si="77"/>
        <v>338823.02999999997</v>
      </c>
      <c r="D212" s="3">
        <f t="shared" si="76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6" t="e">
        <f t="shared" ref="V212:V236" si="78">N212/M212</f>
        <v>#DIV/0!</v>
      </c>
    </row>
    <row r="213" spans="1:22" ht="21.95" customHeight="1" x14ac:dyDescent="0.25">
      <c r="A213" s="37" t="s">
        <v>1453</v>
      </c>
      <c r="B213" s="8" t="s">
        <v>445</v>
      </c>
      <c r="C213" s="2">
        <f t="shared" si="77"/>
        <v>1100401.56</v>
      </c>
      <c r="D213" s="3">
        <f t="shared" si="76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6">
        <f t="shared" si="78"/>
        <v>4021.7486725663721</v>
      </c>
    </row>
    <row r="214" spans="1:22" ht="21.95" customHeight="1" x14ac:dyDescent="0.25">
      <c r="A214" s="37" t="s">
        <v>1454</v>
      </c>
      <c r="B214" s="8" t="s">
        <v>449</v>
      </c>
      <c r="C214" s="2">
        <f t="shared" si="77"/>
        <v>99358.51</v>
      </c>
      <c r="D214" s="3">
        <f t="shared" si="76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6" t="e">
        <f t="shared" si="78"/>
        <v>#DIV/0!</v>
      </c>
    </row>
    <row r="215" spans="1:22" ht="21.95" customHeight="1" x14ac:dyDescent="0.25">
      <c r="A215" s="37" t="s">
        <v>1455</v>
      </c>
      <c r="B215" s="8" t="s">
        <v>430</v>
      </c>
      <c r="C215" s="2">
        <f t="shared" si="77"/>
        <v>104881.83</v>
      </c>
      <c r="D215" s="3">
        <f t="shared" si="76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6" t="e">
        <f t="shared" si="78"/>
        <v>#DIV/0!</v>
      </c>
    </row>
    <row r="216" spans="1:22" ht="21.95" customHeight="1" x14ac:dyDescent="0.25">
      <c r="A216" s="37" t="s">
        <v>1456</v>
      </c>
      <c r="B216" s="23" t="s">
        <v>450</v>
      </c>
      <c r="C216" s="2">
        <f t="shared" si="77"/>
        <v>6160573.5499999998</v>
      </c>
      <c r="D216" s="3">
        <f t="shared" si="76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6">
        <f t="shared" si="78"/>
        <v>5034.6326649471666</v>
      </c>
    </row>
    <row r="217" spans="1:22" ht="21.95" customHeight="1" x14ac:dyDescent="0.25">
      <c r="A217" s="37" t="s">
        <v>1457</v>
      </c>
      <c r="B217" s="8" t="s">
        <v>479</v>
      </c>
      <c r="C217" s="2">
        <f t="shared" si="77"/>
        <v>3600310.75</v>
      </c>
      <c r="D217" s="3">
        <f t="shared" si="76"/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6">
        <f t="shared" si="78"/>
        <v>5101.9482407676651</v>
      </c>
    </row>
    <row r="218" spans="1:22" ht="21.95" customHeight="1" x14ac:dyDescent="0.25">
      <c r="A218" s="37" t="s">
        <v>1272</v>
      </c>
      <c r="B218" s="8" t="s">
        <v>399</v>
      </c>
      <c r="C218" s="2">
        <f t="shared" si="77"/>
        <v>164909.60999999999</v>
      </c>
      <c r="D218" s="3">
        <f t="shared" si="7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6" t="e">
        <f t="shared" si="78"/>
        <v>#DIV/0!</v>
      </c>
    </row>
    <row r="219" spans="1:22" ht="21.95" customHeight="1" x14ac:dyDescent="0.25">
      <c r="A219" s="37" t="s">
        <v>1458</v>
      </c>
      <c r="B219" s="8" t="s">
        <v>452</v>
      </c>
      <c r="C219" s="2">
        <f t="shared" si="77"/>
        <v>4921900.3999999994</v>
      </c>
      <c r="D219" s="3">
        <f t="shared" si="7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6" t="e">
        <f t="shared" si="78"/>
        <v>#DIV/0!</v>
      </c>
    </row>
    <row r="220" spans="1:22" ht="21.95" customHeight="1" x14ac:dyDescent="0.25">
      <c r="A220" s="37" t="s">
        <v>1459</v>
      </c>
      <c r="B220" s="8" t="s">
        <v>463</v>
      </c>
      <c r="C220" s="2">
        <f t="shared" si="77"/>
        <v>12226422.870000001</v>
      </c>
      <c r="D220" s="3">
        <f t="shared" si="7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6">
        <f t="shared" si="78"/>
        <v>5272.3918395748988</v>
      </c>
    </row>
    <row r="221" spans="1:22" ht="21.95" customHeight="1" x14ac:dyDescent="0.25">
      <c r="A221" s="37" t="s">
        <v>1460</v>
      </c>
      <c r="B221" s="23" t="s">
        <v>453</v>
      </c>
      <c r="C221" s="2">
        <f t="shared" si="77"/>
        <v>4823836.51</v>
      </c>
      <c r="D221" s="3">
        <f t="shared" si="7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6">
        <f t="shared" si="78"/>
        <v>4896.4427320125133</v>
      </c>
    </row>
    <row r="222" spans="1:22" ht="21.95" customHeight="1" x14ac:dyDescent="0.25">
      <c r="A222" s="37" t="s">
        <v>1461</v>
      </c>
      <c r="B222" s="8" t="s">
        <v>464</v>
      </c>
      <c r="C222" s="2">
        <f t="shared" si="77"/>
        <v>54862.78</v>
      </c>
      <c r="D222" s="3">
        <f t="shared" si="7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6" t="e">
        <f t="shared" si="78"/>
        <v>#DIV/0!</v>
      </c>
    </row>
    <row r="223" spans="1:22" ht="21.95" customHeight="1" x14ac:dyDescent="0.25">
      <c r="A223" s="37" t="s">
        <v>1462</v>
      </c>
      <c r="B223" s="8" t="s">
        <v>480</v>
      </c>
      <c r="C223" s="2">
        <f t="shared" si="77"/>
        <v>1824644.4600000002</v>
      </c>
      <c r="D223" s="3">
        <f t="shared" si="7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6">
        <f t="shared" si="78"/>
        <v>4552.9635824742272</v>
      </c>
    </row>
    <row r="224" spans="1:22" ht="21.95" customHeight="1" x14ac:dyDescent="0.25">
      <c r="A224" s="37" t="s">
        <v>1463</v>
      </c>
      <c r="B224" s="8" t="s">
        <v>400</v>
      </c>
      <c r="C224" s="2">
        <f t="shared" si="77"/>
        <v>75456.38</v>
      </c>
      <c r="D224" s="3">
        <f t="shared" si="7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6" t="e">
        <f t="shared" si="78"/>
        <v>#DIV/0!</v>
      </c>
    </row>
    <row r="225" spans="1:22" ht="21.95" customHeight="1" x14ac:dyDescent="0.25">
      <c r="A225" s="37" t="s">
        <v>1273</v>
      </c>
      <c r="B225" s="8" t="s">
        <v>481</v>
      </c>
      <c r="C225" s="2">
        <f t="shared" si="77"/>
        <v>2965032.13</v>
      </c>
      <c r="D225" s="3">
        <f t="shared" si="7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6">
        <f t="shared" si="78"/>
        <v>4881.4706849315071</v>
      </c>
    </row>
    <row r="226" spans="1:22" ht="21.95" customHeight="1" x14ac:dyDescent="0.25">
      <c r="A226" s="37" t="s">
        <v>1274</v>
      </c>
      <c r="B226" s="8" t="s">
        <v>465</v>
      </c>
      <c r="C226" s="2">
        <f t="shared" si="77"/>
        <v>2904799.21</v>
      </c>
      <c r="D226" s="3">
        <f t="shared" si="7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6">
        <f t="shared" si="78"/>
        <v>4778.2834680134674</v>
      </c>
    </row>
    <row r="227" spans="1:22" ht="21.95" customHeight="1" x14ac:dyDescent="0.25">
      <c r="A227" s="37" t="s">
        <v>1464</v>
      </c>
      <c r="B227" s="8" t="s">
        <v>382</v>
      </c>
      <c r="C227" s="2">
        <f t="shared" si="77"/>
        <v>2062847.55</v>
      </c>
      <c r="D227" s="3">
        <f t="shared" si="7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6" t="e">
        <f t="shared" si="78"/>
        <v>#DIV/0!</v>
      </c>
    </row>
    <row r="228" spans="1:22" ht="21.95" customHeight="1" x14ac:dyDescent="0.25">
      <c r="A228" s="37" t="s">
        <v>1465</v>
      </c>
      <c r="B228" s="8" t="s">
        <v>454</v>
      </c>
      <c r="C228" s="2">
        <f t="shared" si="77"/>
        <v>72988.7</v>
      </c>
      <c r="D228" s="3">
        <f t="shared" si="7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6" t="e">
        <f t="shared" si="78"/>
        <v>#DIV/0!</v>
      </c>
    </row>
    <row r="229" spans="1:22" ht="21.95" customHeight="1" x14ac:dyDescent="0.25">
      <c r="A229" s="37" t="s">
        <v>1466</v>
      </c>
      <c r="B229" s="8" t="s">
        <v>440</v>
      </c>
      <c r="C229" s="2">
        <f t="shared" si="77"/>
        <v>6267141.54</v>
      </c>
      <c r="D229" s="3">
        <f t="shared" si="7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6">
        <f t="shared" si="78"/>
        <v>5230.0817686343744</v>
      </c>
    </row>
    <row r="230" spans="1:22" ht="21.95" customHeight="1" x14ac:dyDescent="0.25">
      <c r="A230" s="37" t="s">
        <v>1467</v>
      </c>
      <c r="B230" s="8" t="s">
        <v>466</v>
      </c>
      <c r="C230" s="2">
        <f t="shared" si="77"/>
        <v>3566948.55</v>
      </c>
      <c r="D230" s="3">
        <f t="shared" ref="D230:D235" si="79">SUM(E230:J230)</f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6">
        <f t="shared" si="78"/>
        <v>5031.924877697842</v>
      </c>
    </row>
    <row r="231" spans="1:22" ht="21.95" customHeight="1" x14ac:dyDescent="0.25">
      <c r="A231" s="37" t="s">
        <v>1468</v>
      </c>
      <c r="B231" s="24" t="s">
        <v>1025</v>
      </c>
      <c r="C231" s="2">
        <f>D231+L231+N231+P231+R231+S231+T231+U231</f>
        <v>5179580.74</v>
      </c>
      <c r="D231" s="3">
        <f t="shared" si="79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6">
        <f t="shared" si="78"/>
        <v>4983.7368120300753</v>
      </c>
    </row>
    <row r="232" spans="1:22" ht="21.95" customHeight="1" x14ac:dyDescent="0.25">
      <c r="A232" s="37" t="s">
        <v>1469</v>
      </c>
      <c r="B232" s="8" t="s">
        <v>467</v>
      </c>
      <c r="C232" s="2">
        <f t="shared" si="77"/>
        <v>39357.33</v>
      </c>
      <c r="D232" s="3">
        <f t="shared" si="79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6" t="e">
        <f t="shared" si="78"/>
        <v>#DIV/0!</v>
      </c>
    </row>
    <row r="233" spans="1:22" ht="21.95" customHeight="1" x14ac:dyDescent="0.25">
      <c r="A233" s="37" t="s">
        <v>1470</v>
      </c>
      <c r="B233" s="8" t="s">
        <v>482</v>
      </c>
      <c r="C233" s="2">
        <f t="shared" si="77"/>
        <v>1742990.48</v>
      </c>
      <c r="D233" s="3">
        <f t="shared" si="79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6">
        <f t="shared" si="78"/>
        <v>4535.4692485985333</v>
      </c>
    </row>
    <row r="234" spans="1:22" ht="21.95" customHeight="1" x14ac:dyDescent="0.25">
      <c r="A234" s="37" t="s">
        <v>1471</v>
      </c>
      <c r="B234" s="8" t="s">
        <v>417</v>
      </c>
      <c r="C234" s="2">
        <f t="shared" si="77"/>
        <v>42605.66</v>
      </c>
      <c r="D234" s="3">
        <f t="shared" si="79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6" t="e">
        <f t="shared" si="78"/>
        <v>#DIV/0!</v>
      </c>
    </row>
    <row r="235" spans="1:22" ht="21.95" customHeight="1" x14ac:dyDescent="0.25">
      <c r="A235" s="37" t="s">
        <v>1275</v>
      </c>
      <c r="B235" s="8" t="s">
        <v>431</v>
      </c>
      <c r="C235" s="2">
        <f t="shared" si="77"/>
        <v>46635.76</v>
      </c>
      <c r="D235" s="3">
        <f t="shared" si="79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6" t="e">
        <f t="shared" si="78"/>
        <v>#DIV/0!</v>
      </c>
    </row>
    <row r="236" spans="1:22" ht="21.95" customHeight="1" x14ac:dyDescent="0.25">
      <c r="A236" s="37" t="s">
        <v>1472</v>
      </c>
      <c r="B236" s="8" t="s">
        <v>432</v>
      </c>
      <c r="C236" s="2">
        <f t="shared" si="77"/>
        <v>2255774.0699999998</v>
      </c>
      <c r="D236" s="3">
        <f t="shared" si="7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6" t="e">
        <f t="shared" si="78"/>
        <v>#DIV/0!</v>
      </c>
    </row>
    <row r="237" spans="1:22" ht="45" customHeight="1" x14ac:dyDescent="0.25">
      <c r="A237" s="54" t="s">
        <v>303</v>
      </c>
      <c r="B237" s="54"/>
      <c r="C237" s="2">
        <f>SUM(C238:C241)</f>
        <v>2538146.2999999998</v>
      </c>
      <c r="D237" s="2">
        <f t="shared" ref="D237:U237" si="80">SUM(D238:D241)</f>
        <v>2538146.2999999998</v>
      </c>
      <c r="E237" s="2">
        <f t="shared" si="80"/>
        <v>0</v>
      </c>
      <c r="F237" s="2">
        <f t="shared" si="80"/>
        <v>1951709.6399999997</v>
      </c>
      <c r="G237" s="2">
        <f t="shared" si="80"/>
        <v>276757.42</v>
      </c>
      <c r="H237" s="2">
        <f t="shared" si="80"/>
        <v>0</v>
      </c>
      <c r="I237" s="2">
        <f t="shared" si="80"/>
        <v>309679.24</v>
      </c>
      <c r="J237" s="2">
        <f t="shared" si="80"/>
        <v>0</v>
      </c>
      <c r="K237" s="14">
        <f t="shared" si="80"/>
        <v>0</v>
      </c>
      <c r="L237" s="2">
        <f t="shared" si="80"/>
        <v>0</v>
      </c>
      <c r="M237" s="2">
        <f t="shared" si="80"/>
        <v>0</v>
      </c>
      <c r="N237" s="2">
        <f t="shared" si="80"/>
        <v>0</v>
      </c>
      <c r="O237" s="2">
        <f t="shared" si="80"/>
        <v>0</v>
      </c>
      <c r="P237" s="2">
        <f t="shared" si="80"/>
        <v>0</v>
      </c>
      <c r="Q237" s="2">
        <f t="shared" si="80"/>
        <v>0</v>
      </c>
      <c r="R237" s="2">
        <f t="shared" si="80"/>
        <v>0</v>
      </c>
      <c r="S237" s="2">
        <f t="shared" si="80"/>
        <v>0</v>
      </c>
      <c r="T237" s="2">
        <f t="shared" si="80"/>
        <v>0</v>
      </c>
      <c r="U237" s="2">
        <f t="shared" si="80"/>
        <v>0</v>
      </c>
      <c r="V237" s="18">
        <f>C237+C1108</f>
        <v>12631102.300000001</v>
      </c>
    </row>
    <row r="238" spans="1:22" ht="21.95" customHeight="1" x14ac:dyDescent="0.25">
      <c r="A238" s="37" t="s">
        <v>1473</v>
      </c>
      <c r="B238" s="8" t="s">
        <v>1032</v>
      </c>
      <c r="C238" s="2">
        <f t="shared" si="77"/>
        <v>419071.85</v>
      </c>
      <c r="D238" s="3">
        <f t="shared" ref="D238:D241" si="81"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5">
        <v>0</v>
      </c>
      <c r="N238" s="5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6" t="e">
        <f t="shared" ref="V238:V241" si="82">N238/M238</f>
        <v>#DIV/0!</v>
      </c>
    </row>
    <row r="239" spans="1:22" ht="21.95" customHeight="1" x14ac:dyDescent="0.25">
      <c r="A239" s="37" t="s">
        <v>1474</v>
      </c>
      <c r="B239" s="8" t="s">
        <v>1031</v>
      </c>
      <c r="C239" s="2">
        <f t="shared" si="77"/>
        <v>709295.13</v>
      </c>
      <c r="D239" s="3">
        <f t="shared" si="81"/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5">
        <v>0</v>
      </c>
      <c r="N239" s="5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6" t="e">
        <f t="shared" si="82"/>
        <v>#DIV/0!</v>
      </c>
    </row>
    <row r="240" spans="1:22" ht="21.95" customHeight="1" x14ac:dyDescent="0.25">
      <c r="A240" s="37" t="s">
        <v>1475</v>
      </c>
      <c r="B240" s="8" t="s">
        <v>1030</v>
      </c>
      <c r="C240" s="2">
        <f t="shared" si="77"/>
        <v>668196.1</v>
      </c>
      <c r="D240" s="3">
        <f t="shared" si="81"/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5">
        <v>0</v>
      </c>
      <c r="N240" s="5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6" t="e">
        <f t="shared" si="82"/>
        <v>#DIV/0!</v>
      </c>
    </row>
    <row r="241" spans="1:22" ht="21.95" customHeight="1" x14ac:dyDescent="0.25">
      <c r="A241" s="37" t="s">
        <v>1476</v>
      </c>
      <c r="B241" s="8" t="s">
        <v>1029</v>
      </c>
      <c r="C241" s="2">
        <f t="shared" si="77"/>
        <v>741583.22</v>
      </c>
      <c r="D241" s="3">
        <f t="shared" si="81"/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5">
        <v>0</v>
      </c>
      <c r="N241" s="5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6" t="e">
        <f t="shared" si="82"/>
        <v>#DIV/0!</v>
      </c>
    </row>
    <row r="242" spans="1:22" ht="45" customHeight="1" x14ac:dyDescent="0.25">
      <c r="A242" s="54" t="s">
        <v>279</v>
      </c>
      <c r="B242" s="54"/>
      <c r="C242" s="2">
        <f>SUM(C243)</f>
        <v>34252.04</v>
      </c>
      <c r="D242" s="2">
        <f t="shared" ref="D242:U242" si="83">SUM(D243)</f>
        <v>0</v>
      </c>
      <c r="E242" s="2">
        <f t="shared" si="83"/>
        <v>0</v>
      </c>
      <c r="F242" s="2">
        <f t="shared" si="83"/>
        <v>0</v>
      </c>
      <c r="G242" s="2">
        <f t="shared" si="83"/>
        <v>0</v>
      </c>
      <c r="H242" s="2">
        <f t="shared" si="83"/>
        <v>0</v>
      </c>
      <c r="I242" s="2">
        <f t="shared" si="83"/>
        <v>0</v>
      </c>
      <c r="J242" s="2">
        <f t="shared" si="83"/>
        <v>0</v>
      </c>
      <c r="K242" s="14">
        <f t="shared" si="83"/>
        <v>0</v>
      </c>
      <c r="L242" s="2">
        <f t="shared" si="83"/>
        <v>0</v>
      </c>
      <c r="M242" s="2">
        <f t="shared" si="83"/>
        <v>0</v>
      </c>
      <c r="N242" s="2">
        <f t="shared" si="83"/>
        <v>0</v>
      </c>
      <c r="O242" s="2">
        <f t="shared" si="83"/>
        <v>0</v>
      </c>
      <c r="P242" s="2">
        <f t="shared" si="83"/>
        <v>0</v>
      </c>
      <c r="Q242" s="2">
        <f t="shared" si="83"/>
        <v>0</v>
      </c>
      <c r="R242" s="2">
        <f t="shared" si="83"/>
        <v>0</v>
      </c>
      <c r="S242" s="2">
        <f t="shared" si="83"/>
        <v>0</v>
      </c>
      <c r="T242" s="2">
        <f t="shared" si="83"/>
        <v>0</v>
      </c>
      <c r="U242" s="2">
        <f t="shared" si="83"/>
        <v>34252.04</v>
      </c>
      <c r="V242" s="18">
        <f>C242+C695+C1110</f>
        <v>18966279.669999998</v>
      </c>
    </row>
    <row r="243" spans="1:22" ht="21.95" customHeight="1" x14ac:dyDescent="0.25">
      <c r="A243" s="37" t="s">
        <v>1477</v>
      </c>
      <c r="B243" s="8" t="s">
        <v>305</v>
      </c>
      <c r="C243" s="2">
        <f t="shared" si="77"/>
        <v>34252.04</v>
      </c>
      <c r="D243" s="3">
        <f t="shared" ref="D243" si="84"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6" t="e">
        <f>N243/M243</f>
        <v>#DIV/0!</v>
      </c>
    </row>
    <row r="244" spans="1:22" ht="45" customHeight="1" x14ac:dyDescent="0.25">
      <c r="A244" s="54" t="s">
        <v>284</v>
      </c>
      <c r="B244" s="54"/>
      <c r="C244" s="2">
        <f>SUM(C245:C246)</f>
        <v>6414068.6400000006</v>
      </c>
      <c r="D244" s="2">
        <f t="shared" ref="D244:U244" si="85">SUM(D245:D246)</f>
        <v>517361.39</v>
      </c>
      <c r="E244" s="2">
        <f t="shared" si="85"/>
        <v>264982.02</v>
      </c>
      <c r="F244" s="2">
        <f t="shared" si="85"/>
        <v>159810.94</v>
      </c>
      <c r="G244" s="2">
        <f t="shared" si="85"/>
        <v>54255.360000000001</v>
      </c>
      <c r="H244" s="2">
        <f t="shared" si="85"/>
        <v>0</v>
      </c>
      <c r="I244" s="2">
        <f t="shared" si="85"/>
        <v>38313.07</v>
      </c>
      <c r="J244" s="2">
        <f t="shared" si="85"/>
        <v>0</v>
      </c>
      <c r="K244" s="14">
        <f t="shared" si="85"/>
        <v>0</v>
      </c>
      <c r="L244" s="2">
        <f t="shared" si="85"/>
        <v>0</v>
      </c>
      <c r="M244" s="2">
        <f t="shared" si="85"/>
        <v>753.21</v>
      </c>
      <c r="N244" s="2">
        <f t="shared" si="85"/>
        <v>3858635.48</v>
      </c>
      <c r="O244" s="2">
        <f t="shared" si="85"/>
        <v>0</v>
      </c>
      <c r="P244" s="2">
        <f t="shared" si="85"/>
        <v>0</v>
      </c>
      <c r="Q244" s="2">
        <f t="shared" si="85"/>
        <v>1152</v>
      </c>
      <c r="R244" s="2">
        <f t="shared" si="85"/>
        <v>1646478.24</v>
      </c>
      <c r="S244" s="2">
        <f t="shared" si="85"/>
        <v>0</v>
      </c>
      <c r="T244" s="2">
        <f t="shared" si="85"/>
        <v>0</v>
      </c>
      <c r="U244" s="2">
        <f t="shared" si="85"/>
        <v>391593.53</v>
      </c>
      <c r="V244" s="18">
        <f>C244+C701+C1118</f>
        <v>23408618.640000001</v>
      </c>
    </row>
    <row r="245" spans="1:22" ht="21.95" customHeight="1" x14ac:dyDescent="0.25">
      <c r="A245" s="37" t="s">
        <v>1478</v>
      </c>
      <c r="B245" s="8" t="s">
        <v>285</v>
      </c>
      <c r="C245" s="2">
        <f t="shared" si="77"/>
        <v>3331574.8200000003</v>
      </c>
      <c r="D245" s="3">
        <f t="shared" ref="D245:D246" si="86"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6">
        <f t="shared" ref="V245:V246" si="87">N245/M245</f>
        <v>5194.1586609617607</v>
      </c>
    </row>
    <row r="246" spans="1:22" ht="21.95" customHeight="1" x14ac:dyDescent="0.25">
      <c r="A246" s="37" t="s">
        <v>1479</v>
      </c>
      <c r="B246" s="8" t="s">
        <v>286</v>
      </c>
      <c r="C246" s="2">
        <f t="shared" si="77"/>
        <v>3082493.82</v>
      </c>
      <c r="D246" s="3">
        <f t="shared" si="86"/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6">
        <f t="shared" si="87"/>
        <v>5053.5486897274632</v>
      </c>
    </row>
    <row r="247" spans="1:22" ht="45" customHeight="1" x14ac:dyDescent="0.25">
      <c r="A247" s="54" t="s">
        <v>289</v>
      </c>
      <c r="B247" s="54"/>
      <c r="C247" s="2">
        <f>SUM(C248:C250)</f>
        <v>145766.94</v>
      </c>
      <c r="D247" s="2">
        <f t="shared" ref="D247:U247" si="88">SUM(D248:D250)</f>
        <v>0</v>
      </c>
      <c r="E247" s="2">
        <f t="shared" si="88"/>
        <v>0</v>
      </c>
      <c r="F247" s="2">
        <f t="shared" si="88"/>
        <v>0</v>
      </c>
      <c r="G247" s="2">
        <f t="shared" si="88"/>
        <v>0</v>
      </c>
      <c r="H247" s="2">
        <f t="shared" si="88"/>
        <v>0</v>
      </c>
      <c r="I247" s="2">
        <f t="shared" si="88"/>
        <v>0</v>
      </c>
      <c r="J247" s="2">
        <f t="shared" si="88"/>
        <v>0</v>
      </c>
      <c r="K247" s="14">
        <f t="shared" si="88"/>
        <v>0</v>
      </c>
      <c r="L247" s="2">
        <f t="shared" si="88"/>
        <v>0</v>
      </c>
      <c r="M247" s="2">
        <f t="shared" si="88"/>
        <v>0</v>
      </c>
      <c r="N247" s="2">
        <f t="shared" si="88"/>
        <v>0</v>
      </c>
      <c r="O247" s="2">
        <f t="shared" si="88"/>
        <v>0</v>
      </c>
      <c r="P247" s="2">
        <f t="shared" si="88"/>
        <v>0</v>
      </c>
      <c r="Q247" s="2">
        <f t="shared" si="88"/>
        <v>0</v>
      </c>
      <c r="R247" s="2">
        <f t="shared" si="88"/>
        <v>0</v>
      </c>
      <c r="S247" s="2">
        <f t="shared" si="88"/>
        <v>0</v>
      </c>
      <c r="T247" s="2">
        <f t="shared" si="88"/>
        <v>0</v>
      </c>
      <c r="U247" s="2">
        <f t="shared" si="88"/>
        <v>145766.94</v>
      </c>
      <c r="V247" s="18">
        <f>C247+C704+C1122</f>
        <v>40221247.480000004</v>
      </c>
    </row>
    <row r="248" spans="1:22" ht="21.95" customHeight="1" x14ac:dyDescent="0.25">
      <c r="A248" s="37" t="s">
        <v>1480</v>
      </c>
      <c r="B248" s="8" t="s">
        <v>294</v>
      </c>
      <c r="C248" s="2">
        <f t="shared" si="77"/>
        <v>49421.84</v>
      </c>
      <c r="D248" s="3">
        <f t="shared" ref="D248:D250" si="89"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6" t="e">
        <f t="shared" ref="V248:V250" si="90">N248/M248</f>
        <v>#DIV/0!</v>
      </c>
    </row>
    <row r="249" spans="1:22" ht="21.95" customHeight="1" x14ac:dyDescent="0.25">
      <c r="A249" s="37" t="s">
        <v>1481</v>
      </c>
      <c r="B249" s="8" t="s">
        <v>295</v>
      </c>
      <c r="C249" s="2">
        <f t="shared" si="77"/>
        <v>50355.93</v>
      </c>
      <c r="D249" s="3">
        <f t="shared" si="89"/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6" t="e">
        <f t="shared" si="90"/>
        <v>#DIV/0!</v>
      </c>
    </row>
    <row r="250" spans="1:22" ht="21.95" customHeight="1" x14ac:dyDescent="0.25">
      <c r="A250" s="37" t="s">
        <v>1482</v>
      </c>
      <c r="B250" s="8" t="s">
        <v>297</v>
      </c>
      <c r="C250" s="2">
        <f t="shared" si="77"/>
        <v>45989.17</v>
      </c>
      <c r="D250" s="3">
        <f t="shared" si="89"/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6" t="e">
        <f t="shared" si="90"/>
        <v>#DIV/0!</v>
      </c>
    </row>
    <row r="251" spans="1:22" ht="45" customHeight="1" x14ac:dyDescent="0.25">
      <c r="A251" s="54" t="s">
        <v>307</v>
      </c>
      <c r="B251" s="54"/>
      <c r="C251" s="2">
        <f>SUM(C252:C254)</f>
        <v>7854268.2100000009</v>
      </c>
      <c r="D251" s="2">
        <f t="shared" ref="D251:U251" si="91">SUM(D252:D254)</f>
        <v>180683</v>
      </c>
      <c r="E251" s="2">
        <f t="shared" si="91"/>
        <v>147697</v>
      </c>
      <c r="F251" s="2">
        <f t="shared" si="91"/>
        <v>0</v>
      </c>
      <c r="G251" s="2">
        <f t="shared" si="91"/>
        <v>16717</v>
      </c>
      <c r="H251" s="2">
        <f t="shared" si="91"/>
        <v>0</v>
      </c>
      <c r="I251" s="2">
        <f t="shared" si="91"/>
        <v>16269</v>
      </c>
      <c r="J251" s="2">
        <f t="shared" si="91"/>
        <v>0</v>
      </c>
      <c r="K251" s="14">
        <f t="shared" si="91"/>
        <v>0</v>
      </c>
      <c r="L251" s="2">
        <f t="shared" si="91"/>
        <v>0</v>
      </c>
      <c r="M251" s="2">
        <f t="shared" si="91"/>
        <v>758</v>
      </c>
      <c r="N251" s="2">
        <f t="shared" si="91"/>
        <v>3934473</v>
      </c>
      <c r="O251" s="2">
        <f t="shared" si="91"/>
        <v>0</v>
      </c>
      <c r="P251" s="2">
        <f t="shared" si="91"/>
        <v>0</v>
      </c>
      <c r="Q251" s="2">
        <f t="shared" si="91"/>
        <v>1168.8000000000002</v>
      </c>
      <c r="R251" s="2">
        <f t="shared" si="91"/>
        <v>3044652.5</v>
      </c>
      <c r="S251" s="2">
        <f t="shared" si="91"/>
        <v>290445.24</v>
      </c>
      <c r="T251" s="2">
        <f t="shared" si="91"/>
        <v>0</v>
      </c>
      <c r="U251" s="2">
        <f t="shared" si="91"/>
        <v>404014.47</v>
      </c>
      <c r="V251" s="18">
        <f>C251+C715</f>
        <v>8054268.2100000009</v>
      </c>
    </row>
    <row r="252" spans="1:22" ht="21.95" customHeight="1" x14ac:dyDescent="0.25">
      <c r="A252" s="37" t="s">
        <v>1483</v>
      </c>
      <c r="B252" s="8" t="s">
        <v>308</v>
      </c>
      <c r="C252" s="2">
        <f t="shared" si="77"/>
        <v>2428435.9</v>
      </c>
      <c r="D252" s="3">
        <f t="shared" ref="D252:D254" si="92"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6">
        <f t="shared" ref="V252:V254" si="93">N252/M252</f>
        <v>5293.4708333333338</v>
      </c>
    </row>
    <row r="253" spans="1:22" ht="21.95" customHeight="1" x14ac:dyDescent="0.25">
      <c r="A253" s="37" t="s">
        <v>1484</v>
      </c>
      <c r="B253" s="8" t="s">
        <v>309</v>
      </c>
      <c r="C253" s="2">
        <f t="shared" si="77"/>
        <v>2365776.25</v>
      </c>
      <c r="D253" s="3">
        <f t="shared" si="92"/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6">
        <f t="shared" si="93"/>
        <v>5007.2745901639346</v>
      </c>
    </row>
    <row r="254" spans="1:22" ht="21.95" customHeight="1" x14ac:dyDescent="0.25">
      <c r="A254" s="37" t="s">
        <v>1485</v>
      </c>
      <c r="B254" s="8" t="s">
        <v>310</v>
      </c>
      <c r="C254" s="2">
        <f t="shared" si="77"/>
        <v>3060056.06</v>
      </c>
      <c r="D254" s="3">
        <f t="shared" si="92"/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6">
        <f t="shared" si="93"/>
        <v>5263.7408759124091</v>
      </c>
    </row>
    <row r="255" spans="1:22" ht="45" customHeight="1" x14ac:dyDescent="0.25">
      <c r="A255" s="54" t="s">
        <v>312</v>
      </c>
      <c r="B255" s="54"/>
      <c r="C255" s="2">
        <f>SUM(C256)</f>
        <v>48130.46</v>
      </c>
      <c r="D255" s="2">
        <f t="shared" ref="D255:U255" si="94">SUM(D256)</f>
        <v>0</v>
      </c>
      <c r="E255" s="2">
        <f t="shared" si="94"/>
        <v>0</v>
      </c>
      <c r="F255" s="2">
        <f t="shared" si="94"/>
        <v>0</v>
      </c>
      <c r="G255" s="2">
        <f t="shared" si="94"/>
        <v>0</v>
      </c>
      <c r="H255" s="2">
        <f t="shared" si="94"/>
        <v>0</v>
      </c>
      <c r="I255" s="2">
        <f t="shared" si="94"/>
        <v>0</v>
      </c>
      <c r="J255" s="2">
        <f t="shared" si="94"/>
        <v>0</v>
      </c>
      <c r="K255" s="14">
        <f t="shared" si="94"/>
        <v>0</v>
      </c>
      <c r="L255" s="2">
        <f t="shared" si="94"/>
        <v>0</v>
      </c>
      <c r="M255" s="2">
        <f t="shared" si="94"/>
        <v>0</v>
      </c>
      <c r="N255" s="2">
        <f t="shared" si="94"/>
        <v>0</v>
      </c>
      <c r="O255" s="2">
        <f t="shared" si="94"/>
        <v>0</v>
      </c>
      <c r="P255" s="2">
        <f t="shared" si="94"/>
        <v>0</v>
      </c>
      <c r="Q255" s="2">
        <f t="shared" si="94"/>
        <v>0</v>
      </c>
      <c r="R255" s="2">
        <f t="shared" si="94"/>
        <v>0</v>
      </c>
      <c r="S255" s="2">
        <f t="shared" si="94"/>
        <v>0</v>
      </c>
      <c r="T255" s="2">
        <f t="shared" si="94"/>
        <v>0</v>
      </c>
      <c r="U255" s="2">
        <f t="shared" si="94"/>
        <v>48130.46</v>
      </c>
      <c r="V255" s="18">
        <f>C255+C717+C1127</f>
        <v>18062665.460000001</v>
      </c>
    </row>
    <row r="256" spans="1:22" ht="21.95" customHeight="1" x14ac:dyDescent="0.25">
      <c r="A256" s="36" t="s">
        <v>1486</v>
      </c>
      <c r="B256" s="8" t="s">
        <v>316</v>
      </c>
      <c r="C256" s="2">
        <f t="shared" si="77"/>
        <v>48130.46</v>
      </c>
      <c r="D256" s="3">
        <f t="shared" ref="D256" si="95"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5">
        <v>0</v>
      </c>
      <c r="N256" s="5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6" t="e">
        <f>N256/M256</f>
        <v>#DIV/0!</v>
      </c>
    </row>
    <row r="257" spans="1:22" ht="40.15" customHeight="1" x14ac:dyDescent="0.25">
      <c r="A257" s="54" t="s">
        <v>970</v>
      </c>
      <c r="B257" s="54"/>
      <c r="C257" s="2">
        <f>SUM(C258)</f>
        <v>2999935.13</v>
      </c>
      <c r="D257" s="2">
        <f t="shared" ref="D257:U257" si="96">SUM(D258)</f>
        <v>97668.77</v>
      </c>
      <c r="E257" s="2">
        <f t="shared" si="96"/>
        <v>97668.77</v>
      </c>
      <c r="F257" s="2">
        <f t="shared" si="96"/>
        <v>0</v>
      </c>
      <c r="G257" s="2">
        <f t="shared" si="96"/>
        <v>0</v>
      </c>
      <c r="H257" s="2">
        <f t="shared" si="96"/>
        <v>0</v>
      </c>
      <c r="I257" s="2">
        <f t="shared" si="96"/>
        <v>0</v>
      </c>
      <c r="J257" s="2">
        <f t="shared" si="96"/>
        <v>0</v>
      </c>
      <c r="K257" s="14">
        <f t="shared" si="96"/>
        <v>0</v>
      </c>
      <c r="L257" s="2">
        <f t="shared" si="96"/>
        <v>0</v>
      </c>
      <c r="M257" s="2">
        <f t="shared" si="96"/>
        <v>414</v>
      </c>
      <c r="N257" s="2">
        <f t="shared" si="96"/>
        <v>2020023.69</v>
      </c>
      <c r="O257" s="2">
        <f t="shared" si="96"/>
        <v>0</v>
      </c>
      <c r="P257" s="2">
        <f t="shared" si="96"/>
        <v>0</v>
      </c>
      <c r="Q257" s="2">
        <f t="shared" si="96"/>
        <v>556</v>
      </c>
      <c r="R257" s="2">
        <f t="shared" si="96"/>
        <v>776040.08</v>
      </c>
      <c r="S257" s="2">
        <f t="shared" si="96"/>
        <v>0</v>
      </c>
      <c r="T257" s="2">
        <f t="shared" si="96"/>
        <v>0</v>
      </c>
      <c r="U257" s="2">
        <f t="shared" si="96"/>
        <v>106202.59</v>
      </c>
      <c r="V257" s="18">
        <f>C257+C721+C1134</f>
        <v>9507195.129999999</v>
      </c>
    </row>
    <row r="258" spans="1:22" ht="21.95" customHeight="1" x14ac:dyDescent="0.25">
      <c r="A258" s="37" t="s">
        <v>1487</v>
      </c>
      <c r="B258" s="8" t="s">
        <v>323</v>
      </c>
      <c r="C258" s="2">
        <f t="shared" si="77"/>
        <v>2999935.13</v>
      </c>
      <c r="D258" s="3">
        <f t="shared" ref="D258" si="97"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6">
        <f>N258/M258</f>
        <v>4879.284275362319</v>
      </c>
    </row>
    <row r="259" spans="1:22" ht="42.95" customHeight="1" x14ac:dyDescent="0.25">
      <c r="A259" s="54" t="s">
        <v>324</v>
      </c>
      <c r="B259" s="54"/>
      <c r="C259" s="2">
        <f>SUM(C260:C261)</f>
        <v>1151732.3800000001</v>
      </c>
      <c r="D259" s="2">
        <f t="shared" ref="D259:U259" si="98">SUM(D260:D261)</f>
        <v>0</v>
      </c>
      <c r="E259" s="2">
        <f t="shared" si="98"/>
        <v>0</v>
      </c>
      <c r="F259" s="2">
        <f t="shared" si="98"/>
        <v>0</v>
      </c>
      <c r="G259" s="2">
        <f t="shared" si="98"/>
        <v>0</v>
      </c>
      <c r="H259" s="2">
        <f t="shared" si="98"/>
        <v>0</v>
      </c>
      <c r="I259" s="2">
        <f t="shared" si="98"/>
        <v>0</v>
      </c>
      <c r="J259" s="2">
        <f t="shared" si="98"/>
        <v>0</v>
      </c>
      <c r="K259" s="14">
        <f t="shared" si="98"/>
        <v>0</v>
      </c>
      <c r="L259" s="2">
        <f t="shared" si="98"/>
        <v>0</v>
      </c>
      <c r="M259" s="2">
        <f t="shared" si="98"/>
        <v>315.04000000000002</v>
      </c>
      <c r="N259" s="2">
        <f t="shared" si="98"/>
        <v>1069200</v>
      </c>
      <c r="O259" s="2">
        <f t="shared" si="98"/>
        <v>0</v>
      </c>
      <c r="P259" s="2">
        <f t="shared" si="98"/>
        <v>0</v>
      </c>
      <c r="Q259" s="2">
        <f t="shared" si="98"/>
        <v>0</v>
      </c>
      <c r="R259" s="2">
        <f t="shared" si="98"/>
        <v>0</v>
      </c>
      <c r="S259" s="2">
        <f t="shared" si="98"/>
        <v>0</v>
      </c>
      <c r="T259" s="2">
        <f t="shared" si="98"/>
        <v>0</v>
      </c>
      <c r="U259" s="2">
        <f t="shared" si="98"/>
        <v>82532.38</v>
      </c>
      <c r="V259" s="18">
        <f>C259+C723+C1137</f>
        <v>38236820.380000003</v>
      </c>
    </row>
    <row r="260" spans="1:22" ht="23.1" customHeight="1" x14ac:dyDescent="0.25">
      <c r="A260" s="36" t="s">
        <v>1488</v>
      </c>
      <c r="B260" s="8" t="s">
        <v>973</v>
      </c>
      <c r="C260" s="2">
        <f t="shared" si="77"/>
        <v>1102862.77</v>
      </c>
      <c r="D260" s="3">
        <f t="shared" ref="D260:D261" si="99"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1">
        <v>0</v>
      </c>
      <c r="L260" s="5">
        <v>0</v>
      </c>
      <c r="M260" s="5">
        <v>315.04000000000002</v>
      </c>
      <c r="N260" s="5">
        <v>1069200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33662.769999999997</v>
      </c>
      <c r="V260" s="6">
        <f t="shared" ref="V260:V261" si="100">N260/M260</f>
        <v>3393.8547486033517</v>
      </c>
    </row>
    <row r="261" spans="1:22" ht="23.1" customHeight="1" x14ac:dyDescent="0.25">
      <c r="A261" s="36" t="s">
        <v>1489</v>
      </c>
      <c r="B261" s="8" t="s">
        <v>326</v>
      </c>
      <c r="C261" s="2">
        <f t="shared" ref="C261:C282" si="101">D261+L261+N261+P261+R261+S261+T261+U261</f>
        <v>48869.61</v>
      </c>
      <c r="D261" s="3">
        <f t="shared" si="99"/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6" t="e">
        <f t="shared" si="100"/>
        <v>#DIV/0!</v>
      </c>
    </row>
    <row r="262" spans="1:22" ht="42.95" customHeight="1" x14ac:dyDescent="0.25">
      <c r="A262" s="54" t="s">
        <v>328</v>
      </c>
      <c r="B262" s="54"/>
      <c r="C262" s="2">
        <f>SUM(C263)</f>
        <v>2990808.4</v>
      </c>
      <c r="D262" s="2">
        <f t="shared" ref="D262:U262" si="102">SUM(D263)</f>
        <v>0</v>
      </c>
      <c r="E262" s="2">
        <f t="shared" si="102"/>
        <v>0</v>
      </c>
      <c r="F262" s="2">
        <f t="shared" si="102"/>
        <v>0</v>
      </c>
      <c r="G262" s="2">
        <f t="shared" si="102"/>
        <v>0</v>
      </c>
      <c r="H262" s="2">
        <f t="shared" si="102"/>
        <v>0</v>
      </c>
      <c r="I262" s="2">
        <f t="shared" si="102"/>
        <v>0</v>
      </c>
      <c r="J262" s="2">
        <f t="shared" si="102"/>
        <v>0</v>
      </c>
      <c r="K262" s="14">
        <f t="shared" si="102"/>
        <v>0</v>
      </c>
      <c r="L262" s="2">
        <f t="shared" si="102"/>
        <v>0</v>
      </c>
      <c r="M262" s="2">
        <f t="shared" si="102"/>
        <v>366.4</v>
      </c>
      <c r="N262" s="2">
        <f t="shared" si="102"/>
        <v>1920360.81</v>
      </c>
      <c r="O262" s="2">
        <f t="shared" si="102"/>
        <v>0</v>
      </c>
      <c r="P262" s="2">
        <f t="shared" si="102"/>
        <v>0</v>
      </c>
      <c r="Q262" s="2">
        <f t="shared" si="102"/>
        <v>426</v>
      </c>
      <c r="R262" s="2">
        <f t="shared" si="102"/>
        <v>990609.29</v>
      </c>
      <c r="S262" s="2">
        <f t="shared" si="102"/>
        <v>0</v>
      </c>
      <c r="T262" s="2">
        <f t="shared" si="102"/>
        <v>0</v>
      </c>
      <c r="U262" s="2">
        <f t="shared" si="102"/>
        <v>79838.3</v>
      </c>
      <c r="V262" s="18">
        <f>C262+C727</f>
        <v>3290808.4</v>
      </c>
    </row>
    <row r="263" spans="1:22" ht="23.1" customHeight="1" x14ac:dyDescent="0.25">
      <c r="A263" s="37" t="s">
        <v>1490</v>
      </c>
      <c r="B263" s="1" t="s">
        <v>330</v>
      </c>
      <c r="C263" s="2">
        <f t="shared" si="101"/>
        <v>2990808.4</v>
      </c>
      <c r="D263" s="3">
        <f t="shared" ref="D263" si="103"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6">
        <f>N263/M263</f>
        <v>5241.1594159388651</v>
      </c>
    </row>
    <row r="264" spans="1:22" ht="42.95" customHeight="1" x14ac:dyDescent="0.25">
      <c r="A264" s="54" t="s">
        <v>1214</v>
      </c>
      <c r="B264" s="54"/>
      <c r="C264" s="2">
        <f>SUM(C265)</f>
        <v>4068458.4</v>
      </c>
      <c r="D264" s="2">
        <f t="shared" ref="D264:U264" si="104">SUM(D265)</f>
        <v>0</v>
      </c>
      <c r="E264" s="2">
        <f t="shared" si="104"/>
        <v>0</v>
      </c>
      <c r="F264" s="2">
        <f t="shared" si="104"/>
        <v>0</v>
      </c>
      <c r="G264" s="2">
        <f t="shared" si="104"/>
        <v>0</v>
      </c>
      <c r="H264" s="2">
        <f t="shared" si="104"/>
        <v>0</v>
      </c>
      <c r="I264" s="2">
        <f t="shared" si="104"/>
        <v>0</v>
      </c>
      <c r="J264" s="2">
        <f t="shared" si="104"/>
        <v>0</v>
      </c>
      <c r="K264" s="14">
        <f t="shared" si="104"/>
        <v>0</v>
      </c>
      <c r="L264" s="2">
        <f t="shared" si="104"/>
        <v>0</v>
      </c>
      <c r="M264" s="2">
        <f t="shared" si="104"/>
        <v>1220.3</v>
      </c>
      <c r="N264" s="2">
        <f t="shared" si="104"/>
        <v>4068458.4</v>
      </c>
      <c r="O264" s="2">
        <f t="shared" si="104"/>
        <v>0</v>
      </c>
      <c r="P264" s="2">
        <f t="shared" si="104"/>
        <v>0</v>
      </c>
      <c r="Q264" s="2">
        <f t="shared" si="104"/>
        <v>0</v>
      </c>
      <c r="R264" s="2">
        <f t="shared" si="104"/>
        <v>0</v>
      </c>
      <c r="S264" s="2">
        <f t="shared" si="104"/>
        <v>0</v>
      </c>
      <c r="T264" s="2">
        <f t="shared" si="104"/>
        <v>0</v>
      </c>
      <c r="U264" s="2">
        <f t="shared" si="104"/>
        <v>0</v>
      </c>
      <c r="V264" s="18">
        <f>C264+C731</f>
        <v>30342279.229999997</v>
      </c>
    </row>
    <row r="265" spans="1:22" ht="24.95" customHeight="1" x14ac:dyDescent="0.25">
      <c r="A265" s="37" t="s">
        <v>1491</v>
      </c>
      <c r="B265" s="1" t="s">
        <v>1215</v>
      </c>
      <c r="C265" s="2">
        <f t="shared" ref="C265" si="105">D265+L265+N265+P265+R265+S265+T265+U265</f>
        <v>4068458.4</v>
      </c>
      <c r="D265" s="3">
        <f t="shared" ref="D265" si="106"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6">
        <f>N265/M265</f>
        <v>3333.982135540441</v>
      </c>
    </row>
    <row r="266" spans="1:22" ht="35.1" customHeight="1" x14ac:dyDescent="0.25">
      <c r="A266" s="54" t="s">
        <v>331</v>
      </c>
      <c r="B266" s="54"/>
      <c r="C266" s="2">
        <f>SUM(C267)</f>
        <v>2367169.1</v>
      </c>
      <c r="D266" s="2">
        <f t="shared" ref="D266:U266" si="107">SUM(D267:D267)</f>
        <v>0</v>
      </c>
      <c r="E266" s="2">
        <f t="shared" si="107"/>
        <v>0</v>
      </c>
      <c r="F266" s="2">
        <f t="shared" si="107"/>
        <v>0</v>
      </c>
      <c r="G266" s="2">
        <f t="shared" si="107"/>
        <v>0</v>
      </c>
      <c r="H266" s="2">
        <f t="shared" si="107"/>
        <v>0</v>
      </c>
      <c r="I266" s="2">
        <f t="shared" si="107"/>
        <v>0</v>
      </c>
      <c r="J266" s="2">
        <f t="shared" si="107"/>
        <v>0</v>
      </c>
      <c r="K266" s="14">
        <f t="shared" si="107"/>
        <v>0</v>
      </c>
      <c r="L266" s="2">
        <f t="shared" si="107"/>
        <v>0</v>
      </c>
      <c r="M266" s="2">
        <f t="shared" si="107"/>
        <v>488.37</v>
      </c>
      <c r="N266" s="2">
        <f t="shared" si="107"/>
        <v>2367169.1</v>
      </c>
      <c r="O266" s="2">
        <f t="shared" si="107"/>
        <v>0</v>
      </c>
      <c r="P266" s="2">
        <f t="shared" si="107"/>
        <v>0</v>
      </c>
      <c r="Q266" s="2">
        <f t="shared" si="107"/>
        <v>0</v>
      </c>
      <c r="R266" s="2">
        <f t="shared" si="107"/>
        <v>0</v>
      </c>
      <c r="S266" s="2">
        <f t="shared" si="107"/>
        <v>0</v>
      </c>
      <c r="T266" s="2">
        <f t="shared" si="107"/>
        <v>0</v>
      </c>
      <c r="U266" s="2">
        <f t="shared" si="107"/>
        <v>0</v>
      </c>
      <c r="V266" s="18">
        <f>C266</f>
        <v>2367169.1</v>
      </c>
    </row>
    <row r="267" spans="1:22" ht="24.95" customHeight="1" x14ac:dyDescent="0.25">
      <c r="A267" s="36" t="s">
        <v>1492</v>
      </c>
      <c r="B267" s="8" t="s">
        <v>1210</v>
      </c>
      <c r="C267" s="2">
        <f t="shared" si="101"/>
        <v>2367169.1</v>
      </c>
      <c r="D267" s="3">
        <f t="shared" ref="D267" si="108">SUM(E267:J267)</f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11">
        <v>0</v>
      </c>
      <c r="L267" s="5">
        <v>0</v>
      </c>
      <c r="M267" s="5">
        <v>488.37</v>
      </c>
      <c r="N267" s="5">
        <v>2367169.1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6">
        <f t="shared" ref="V267" si="109">N267/M267</f>
        <v>4847.081311300858</v>
      </c>
    </row>
    <row r="268" spans="1:22" ht="40.15" customHeight="1" x14ac:dyDescent="0.25">
      <c r="A268" s="54" t="s">
        <v>335</v>
      </c>
      <c r="B268" s="54"/>
      <c r="C268" s="2">
        <f>SUM(C269)</f>
        <v>1083858.1100000001</v>
      </c>
      <c r="D268" s="2">
        <f t="shared" ref="D268:U268" si="110">SUM(D269)</f>
        <v>0</v>
      </c>
      <c r="E268" s="2">
        <f t="shared" si="110"/>
        <v>0</v>
      </c>
      <c r="F268" s="2">
        <f t="shared" si="110"/>
        <v>0</v>
      </c>
      <c r="G268" s="2">
        <f t="shared" si="110"/>
        <v>0</v>
      </c>
      <c r="H268" s="2">
        <f t="shared" si="110"/>
        <v>0</v>
      </c>
      <c r="I268" s="2">
        <f t="shared" si="110"/>
        <v>0</v>
      </c>
      <c r="J268" s="2">
        <f t="shared" si="110"/>
        <v>0</v>
      </c>
      <c r="K268" s="14">
        <f t="shared" si="110"/>
        <v>0</v>
      </c>
      <c r="L268" s="2">
        <f t="shared" si="110"/>
        <v>0</v>
      </c>
      <c r="M268" s="2">
        <f t="shared" si="110"/>
        <v>321.10000000000002</v>
      </c>
      <c r="N268" s="2">
        <f t="shared" si="110"/>
        <v>1059307.8500000001</v>
      </c>
      <c r="O268" s="2">
        <f t="shared" si="110"/>
        <v>0</v>
      </c>
      <c r="P268" s="2">
        <f t="shared" si="110"/>
        <v>0</v>
      </c>
      <c r="Q268" s="2">
        <f t="shared" si="110"/>
        <v>0</v>
      </c>
      <c r="R268" s="2">
        <f t="shared" si="110"/>
        <v>0</v>
      </c>
      <c r="S268" s="2">
        <f t="shared" si="110"/>
        <v>0</v>
      </c>
      <c r="T268" s="2">
        <f t="shared" si="110"/>
        <v>0</v>
      </c>
      <c r="U268" s="2">
        <f t="shared" si="110"/>
        <v>24550.26</v>
      </c>
      <c r="V268" s="18">
        <f>C268</f>
        <v>1083858.1100000001</v>
      </c>
    </row>
    <row r="269" spans="1:22" ht="21.95" customHeight="1" x14ac:dyDescent="0.25">
      <c r="A269" s="37" t="s">
        <v>1493</v>
      </c>
      <c r="B269" s="8" t="s">
        <v>336</v>
      </c>
      <c r="C269" s="2">
        <f t="shared" si="101"/>
        <v>1083858.1100000001</v>
      </c>
      <c r="D269" s="3">
        <f t="shared" ref="D269" si="111"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6">
        <f>N269/M269</f>
        <v>3298.9967299906571</v>
      </c>
    </row>
    <row r="270" spans="1:22" ht="40.15" customHeight="1" x14ac:dyDescent="0.25">
      <c r="A270" s="54" t="s">
        <v>1281</v>
      </c>
      <c r="B270" s="54"/>
      <c r="C270" s="2">
        <f>SUM(C271:C283)</f>
        <v>51998849.679999992</v>
      </c>
      <c r="D270" s="2">
        <f t="shared" ref="D270:U270" si="112">SUM(D271:D283)</f>
        <v>713279.95</v>
      </c>
      <c r="E270" s="2">
        <f t="shared" si="112"/>
        <v>316423.8</v>
      </c>
      <c r="F270" s="2">
        <f t="shared" si="112"/>
        <v>0</v>
      </c>
      <c r="G270" s="2">
        <f t="shared" si="112"/>
        <v>203648.15</v>
      </c>
      <c r="H270" s="2">
        <f t="shared" si="112"/>
        <v>0</v>
      </c>
      <c r="I270" s="2">
        <f t="shared" si="112"/>
        <v>193208</v>
      </c>
      <c r="J270" s="2">
        <f t="shared" si="112"/>
        <v>0</v>
      </c>
      <c r="K270" s="14">
        <f t="shared" si="112"/>
        <v>0</v>
      </c>
      <c r="L270" s="2">
        <f t="shared" si="112"/>
        <v>0</v>
      </c>
      <c r="M270" s="2">
        <f t="shared" si="112"/>
        <v>7845</v>
      </c>
      <c r="N270" s="2">
        <f t="shared" si="112"/>
        <v>25612943.949999999</v>
      </c>
      <c r="O270" s="2">
        <f t="shared" si="112"/>
        <v>0</v>
      </c>
      <c r="P270" s="2">
        <f t="shared" si="112"/>
        <v>0</v>
      </c>
      <c r="Q270" s="2">
        <f t="shared" si="112"/>
        <v>9809.4</v>
      </c>
      <c r="R270" s="2">
        <f t="shared" si="112"/>
        <v>22910394.800000001</v>
      </c>
      <c r="S270" s="2">
        <f t="shared" si="112"/>
        <v>488565.26</v>
      </c>
      <c r="T270" s="2">
        <f t="shared" si="112"/>
        <v>0</v>
      </c>
      <c r="U270" s="2">
        <f t="shared" si="112"/>
        <v>2273665.7200000002</v>
      </c>
      <c r="V270" s="18">
        <f>C270+C734+C1145</f>
        <v>334474732.87</v>
      </c>
    </row>
    <row r="271" spans="1:22" ht="21.95" customHeight="1" x14ac:dyDescent="0.25">
      <c r="A271" s="37" t="s">
        <v>1494</v>
      </c>
      <c r="B271" s="8" t="s">
        <v>337</v>
      </c>
      <c r="C271" s="2">
        <f t="shared" si="101"/>
        <v>2925706.35</v>
      </c>
      <c r="D271" s="3">
        <f t="shared" ref="D271:D283" si="113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6">
        <f t="shared" ref="V271:V283" si="114">N271/M271</f>
        <v>3103.5535602559739</v>
      </c>
    </row>
    <row r="272" spans="1:22" ht="21.95" customHeight="1" x14ac:dyDescent="0.25">
      <c r="A272" s="37" t="s">
        <v>1495</v>
      </c>
      <c r="B272" s="8" t="s">
        <v>338</v>
      </c>
      <c r="C272" s="2">
        <f t="shared" si="101"/>
        <v>3929419.09</v>
      </c>
      <c r="D272" s="3">
        <f t="shared" si="113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6">
        <f t="shared" si="114"/>
        <v>3096.7366155937029</v>
      </c>
    </row>
    <row r="273" spans="1:22" ht="21.95" customHeight="1" x14ac:dyDescent="0.25">
      <c r="A273" s="37" t="s">
        <v>1496</v>
      </c>
      <c r="B273" s="8" t="s">
        <v>339</v>
      </c>
      <c r="C273" s="2">
        <f t="shared" si="101"/>
        <v>4817880.9799999995</v>
      </c>
      <c r="D273" s="3">
        <f t="shared" si="113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6">
        <f t="shared" si="114"/>
        <v>2964.71859999244</v>
      </c>
    </row>
    <row r="274" spans="1:22" ht="21.95" customHeight="1" x14ac:dyDescent="0.25">
      <c r="A274" s="37" t="s">
        <v>1497</v>
      </c>
      <c r="B274" s="8" t="s">
        <v>340</v>
      </c>
      <c r="C274" s="2">
        <f t="shared" si="101"/>
        <v>4998407.29</v>
      </c>
      <c r="D274" s="3">
        <f t="shared" si="113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6">
        <f t="shared" si="114"/>
        <v>2937.7836222355049</v>
      </c>
    </row>
    <row r="275" spans="1:22" ht="21.95" customHeight="1" x14ac:dyDescent="0.25">
      <c r="A275" s="37" t="s">
        <v>1498</v>
      </c>
      <c r="B275" s="8" t="s">
        <v>341</v>
      </c>
      <c r="C275" s="2">
        <f t="shared" si="101"/>
        <v>4568951.93</v>
      </c>
      <c r="D275" s="3">
        <f t="shared" si="113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6" t="e">
        <f t="shared" si="114"/>
        <v>#DIV/0!</v>
      </c>
    </row>
    <row r="276" spans="1:22" ht="21.95" customHeight="1" x14ac:dyDescent="0.25">
      <c r="A276" s="37" t="s">
        <v>1499</v>
      </c>
      <c r="B276" s="8" t="s">
        <v>343</v>
      </c>
      <c r="C276" s="2">
        <f t="shared" si="101"/>
        <v>4381271.97</v>
      </c>
      <c r="D276" s="3">
        <f t="shared" si="113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6" t="e">
        <f t="shared" si="114"/>
        <v>#DIV/0!</v>
      </c>
    </row>
    <row r="277" spans="1:22" ht="21.95" customHeight="1" x14ac:dyDescent="0.25">
      <c r="A277" s="37" t="s">
        <v>1500</v>
      </c>
      <c r="B277" s="8" t="s">
        <v>344</v>
      </c>
      <c r="C277" s="2">
        <f t="shared" si="101"/>
        <v>4530496.58</v>
      </c>
      <c r="D277" s="3">
        <f t="shared" si="113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6" t="e">
        <f t="shared" si="114"/>
        <v>#DIV/0!</v>
      </c>
    </row>
    <row r="278" spans="1:22" ht="21.95" customHeight="1" x14ac:dyDescent="0.25">
      <c r="A278" s="37" t="s">
        <v>1501</v>
      </c>
      <c r="B278" s="8" t="s">
        <v>345</v>
      </c>
      <c r="C278" s="2">
        <f t="shared" si="101"/>
        <v>4528460.6399999997</v>
      </c>
      <c r="D278" s="3">
        <f t="shared" si="113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6" t="e">
        <f t="shared" si="114"/>
        <v>#DIV/0!</v>
      </c>
    </row>
    <row r="279" spans="1:22" ht="21.95" customHeight="1" x14ac:dyDescent="0.25">
      <c r="A279" s="37" t="s">
        <v>1502</v>
      </c>
      <c r="B279" s="8" t="s">
        <v>342</v>
      </c>
      <c r="C279" s="2">
        <f>D279+L279+N279+P279+R279+S279+T279+U279</f>
        <v>105201.37</v>
      </c>
      <c r="D279" s="3">
        <f>SUM(E279:J279)</f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6" t="e">
        <f>N279/M279</f>
        <v>#DIV/0!</v>
      </c>
    </row>
    <row r="280" spans="1:22" ht="21.95" customHeight="1" x14ac:dyDescent="0.25">
      <c r="A280" s="37" t="s">
        <v>1503</v>
      </c>
      <c r="B280" s="8" t="s">
        <v>1063</v>
      </c>
      <c r="C280" s="2">
        <f t="shared" si="101"/>
        <v>3104305.26</v>
      </c>
      <c r="D280" s="3">
        <f t="shared" si="113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5">
        <v>0</v>
      </c>
      <c r="N280" s="5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6" t="e">
        <f t="shared" si="114"/>
        <v>#DIV/0!</v>
      </c>
    </row>
    <row r="281" spans="1:22" ht="21.95" customHeight="1" x14ac:dyDescent="0.25">
      <c r="A281" s="37" t="s">
        <v>1504</v>
      </c>
      <c r="B281" s="8" t="s">
        <v>1024</v>
      </c>
      <c r="C281" s="2">
        <f t="shared" ref="C281" si="115">D281+L281+N281+P281+R281+S281+T281+U281</f>
        <v>435666.08</v>
      </c>
      <c r="D281" s="3">
        <f t="shared" ref="D281" si="116">SUM(E281:J281)</f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6">
        <f>N743/M743</f>
        <v>5500</v>
      </c>
    </row>
    <row r="282" spans="1:22" ht="21.95" customHeight="1" x14ac:dyDescent="0.25">
      <c r="A282" s="37" t="s">
        <v>1505</v>
      </c>
      <c r="B282" s="8" t="s">
        <v>1064</v>
      </c>
      <c r="C282" s="2">
        <f t="shared" si="101"/>
        <v>8063449.2299999995</v>
      </c>
      <c r="D282" s="3">
        <f t="shared" si="113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5">
        <v>746</v>
      </c>
      <c r="N282" s="5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6">
        <f t="shared" si="114"/>
        <v>5328.1704423592491</v>
      </c>
    </row>
    <row r="283" spans="1:22" ht="21.95" customHeight="1" x14ac:dyDescent="0.25">
      <c r="A283" s="37" t="s">
        <v>1506</v>
      </c>
      <c r="B283" s="8" t="s">
        <v>370</v>
      </c>
      <c r="C283" s="2">
        <f>D283+L283+N283+P283+R283+S283+T283+U283</f>
        <v>5609632.9100000001</v>
      </c>
      <c r="D283" s="3">
        <f t="shared" si="113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6">
        <f t="shared" si="114"/>
        <v>3169.8599393405498</v>
      </c>
    </row>
    <row r="284" spans="1:22" s="16" customFormat="1" ht="24.95" customHeight="1" x14ac:dyDescent="0.25">
      <c r="A284" s="60" t="s">
        <v>207</v>
      </c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15"/>
    </row>
    <row r="285" spans="1:22" ht="24.95" customHeight="1" x14ac:dyDescent="0.25">
      <c r="A285" s="59" t="s">
        <v>208</v>
      </c>
      <c r="B285" s="59"/>
      <c r="C285" s="2">
        <f>C286+C291+C314+C316+C320+C322+C326+C328+C332+C334+C340+C348+C350+C352+C356+C358+C361+C363+C365+C369+C373+C380+C382+C403+C405+C415+C423+C425+C427+C446+C448+C450+C453+C455+C457+C695+C699+C701+C704+C715+C717+C721+C723+C727+C729+C731+C734+C751+C754</f>
        <v>1769021408.7600002</v>
      </c>
      <c r="D285" s="2">
        <f t="shared" ref="D285:U285" si="117">D286+D291+D314+D316+D320+D322+D326+D328+D332+D334+D340+D348+D350+D352+D356+D358+D361+D363+D365+D369+D373+D380+D382+D403+D405+D415+D423+D425+D427+D446+D448+D450+D453+D455+D457+D695+D699+D701+D704+D715+D717+D721+D723+D727+D729+D731+D734+D751+D754</f>
        <v>374537613.27999997</v>
      </c>
      <c r="E285" s="2">
        <f t="shared" si="117"/>
        <v>71567983.539999992</v>
      </c>
      <c r="F285" s="2">
        <f t="shared" si="117"/>
        <v>176992445.03</v>
      </c>
      <c r="G285" s="2">
        <f t="shared" si="117"/>
        <v>47570070.099999994</v>
      </c>
      <c r="H285" s="2">
        <f t="shared" si="117"/>
        <v>35450314.359999999</v>
      </c>
      <c r="I285" s="2">
        <f t="shared" si="117"/>
        <v>42993318.650000006</v>
      </c>
      <c r="J285" s="2">
        <f t="shared" si="117"/>
        <v>0</v>
      </c>
      <c r="K285" s="45">
        <f t="shared" si="117"/>
        <v>39</v>
      </c>
      <c r="L285" s="2">
        <f t="shared" si="117"/>
        <v>79012516.679999992</v>
      </c>
      <c r="M285" s="2">
        <f t="shared" si="117"/>
        <v>164414.52000000005</v>
      </c>
      <c r="N285" s="2">
        <f t="shared" si="117"/>
        <v>870147500.66999996</v>
      </c>
      <c r="O285" s="2">
        <f t="shared" si="117"/>
        <v>3305.25</v>
      </c>
      <c r="P285" s="2">
        <f t="shared" si="117"/>
        <v>3776366.1</v>
      </c>
      <c r="Q285" s="2">
        <f t="shared" si="117"/>
        <v>131591.40000000002</v>
      </c>
      <c r="R285" s="2">
        <f t="shared" si="117"/>
        <v>385547582.56</v>
      </c>
      <c r="S285" s="2">
        <f t="shared" si="117"/>
        <v>6586652.3200000003</v>
      </c>
      <c r="T285" s="2">
        <f t="shared" si="117"/>
        <v>0</v>
      </c>
      <c r="U285" s="2">
        <f t="shared" si="117"/>
        <v>49413177.150000006</v>
      </c>
    </row>
    <row r="286" spans="1:22" ht="45" customHeight="1" x14ac:dyDescent="0.25">
      <c r="A286" s="54" t="s">
        <v>1280</v>
      </c>
      <c r="B286" s="54"/>
      <c r="C286" s="2">
        <f>SUM(C287:C290)</f>
        <v>19112684</v>
      </c>
      <c r="D286" s="2">
        <f t="shared" ref="D286:U286" si="118">SUM(D287:D290)</f>
        <v>2210620</v>
      </c>
      <c r="E286" s="2">
        <f t="shared" si="118"/>
        <v>1008490</v>
      </c>
      <c r="F286" s="2">
        <f t="shared" si="118"/>
        <v>822510</v>
      </c>
      <c r="G286" s="2">
        <f t="shared" si="118"/>
        <v>189810</v>
      </c>
      <c r="H286" s="2">
        <f t="shared" si="118"/>
        <v>0</v>
      </c>
      <c r="I286" s="2">
        <f t="shared" si="118"/>
        <v>189810</v>
      </c>
      <c r="J286" s="2">
        <f t="shared" si="118"/>
        <v>0</v>
      </c>
      <c r="K286" s="14">
        <f t="shared" si="118"/>
        <v>0</v>
      </c>
      <c r="L286" s="2">
        <f t="shared" si="118"/>
        <v>0</v>
      </c>
      <c r="M286" s="2">
        <f t="shared" si="118"/>
        <v>1654</v>
      </c>
      <c r="N286" s="2">
        <f t="shared" si="118"/>
        <v>8670700</v>
      </c>
      <c r="O286" s="2">
        <f t="shared" si="118"/>
        <v>0</v>
      </c>
      <c r="P286" s="2">
        <f t="shared" si="118"/>
        <v>0</v>
      </c>
      <c r="Q286" s="2">
        <f t="shared" si="118"/>
        <v>2066.02</v>
      </c>
      <c r="R286" s="2">
        <f t="shared" si="118"/>
        <v>6331364</v>
      </c>
      <c r="S286" s="2">
        <f t="shared" si="118"/>
        <v>0</v>
      </c>
      <c r="T286" s="2">
        <f t="shared" si="118"/>
        <v>0</v>
      </c>
      <c r="U286" s="2">
        <f t="shared" si="118"/>
        <v>1900000</v>
      </c>
    </row>
    <row r="287" spans="1:22" ht="21.95" customHeight="1" x14ac:dyDescent="0.25">
      <c r="A287" s="37" t="s">
        <v>1535</v>
      </c>
      <c r="B287" s="38" t="s">
        <v>20</v>
      </c>
      <c r="C287" s="2">
        <f>D287+L287+N287+P287+R287+S287+T287+U287</f>
        <v>5211050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532</v>
      </c>
      <c r="N287" s="3">
        <f>M287*5500</f>
        <v>2926000</v>
      </c>
      <c r="O287" s="3">
        <v>0</v>
      </c>
      <c r="P287" s="3">
        <v>0</v>
      </c>
      <c r="Q287" s="3">
        <v>647.5</v>
      </c>
      <c r="R287" s="3">
        <f>Q287*3000</f>
        <v>1942500</v>
      </c>
      <c r="S287" s="3">
        <v>0</v>
      </c>
      <c r="T287" s="3">
        <v>0</v>
      </c>
      <c r="U287" s="3">
        <v>100000</v>
      </c>
      <c r="V287" s="6">
        <f>N287/M287</f>
        <v>5500</v>
      </c>
    </row>
    <row r="288" spans="1:22" ht="21.95" customHeight="1" x14ac:dyDescent="0.25">
      <c r="A288" s="37" t="s">
        <v>1536</v>
      </c>
      <c r="B288" s="38" t="s">
        <v>21</v>
      </c>
      <c r="C288" s="2">
        <f>D288+L288+N288+P288+R288+S288+T288+U288</f>
        <v>3831076</v>
      </c>
      <c r="D288" s="3">
        <f>SUM(E288:J288)</f>
        <v>878539.99999999988</v>
      </c>
      <c r="E288" s="3">
        <f>700*337.9</f>
        <v>236529.99999999997</v>
      </c>
      <c r="F288" s="3">
        <f>1300*337.9</f>
        <v>439269.99999999994</v>
      </c>
      <c r="G288" s="3">
        <f>300*337.9</f>
        <v>101370</v>
      </c>
      <c r="H288" s="3">
        <f>400*0</f>
        <v>0</v>
      </c>
      <c r="I288" s="3">
        <f>300*337.9</f>
        <v>101370</v>
      </c>
      <c r="J288" s="3">
        <f>350*0</f>
        <v>0</v>
      </c>
      <c r="K288" s="4">
        <v>0</v>
      </c>
      <c r="L288" s="3">
        <v>0</v>
      </c>
      <c r="M288" s="3">
        <v>196</v>
      </c>
      <c r="N288" s="3">
        <f>M288*4450</f>
        <v>872200</v>
      </c>
      <c r="O288" s="3">
        <v>0</v>
      </c>
      <c r="P288" s="3">
        <v>0</v>
      </c>
      <c r="Q288" s="3">
        <v>384.48</v>
      </c>
      <c r="R288" s="3">
        <f>Q288*3200</f>
        <v>1230336</v>
      </c>
      <c r="S288" s="3">
        <v>0</v>
      </c>
      <c r="T288" s="3">
        <v>0</v>
      </c>
      <c r="U288" s="3">
        <v>850000</v>
      </c>
      <c r="V288" s="6">
        <f>N288/M288</f>
        <v>4450</v>
      </c>
    </row>
    <row r="289" spans="1:22" ht="21.95" customHeight="1" x14ac:dyDescent="0.25">
      <c r="A289" s="37" t="s">
        <v>1537</v>
      </c>
      <c r="B289" s="51" t="s">
        <v>22</v>
      </c>
      <c r="C289" s="2">
        <f>D289+L289+N289+P289+R289+S289+T289+U289</f>
        <v>3453508</v>
      </c>
      <c r="D289" s="3">
        <f>SUM(E289:J289)</f>
        <v>766480</v>
      </c>
      <c r="E289" s="3">
        <f>700*294.8</f>
        <v>206360</v>
      </c>
      <c r="F289" s="3">
        <f>1300*294.8</f>
        <v>383240</v>
      </c>
      <c r="G289" s="3">
        <f>300*294.8</f>
        <v>88440</v>
      </c>
      <c r="H289" s="3">
        <f>500*0</f>
        <v>0</v>
      </c>
      <c r="I289" s="3">
        <f>300*294.8</f>
        <v>88440</v>
      </c>
      <c r="J289" s="3">
        <f>350*0</f>
        <v>0</v>
      </c>
      <c r="K289" s="4">
        <v>0</v>
      </c>
      <c r="L289" s="3">
        <v>0</v>
      </c>
      <c r="M289" s="3">
        <v>210</v>
      </c>
      <c r="N289" s="3">
        <f>M289*4450</f>
        <v>934500</v>
      </c>
      <c r="O289" s="3">
        <v>0</v>
      </c>
      <c r="P289" s="3">
        <v>0</v>
      </c>
      <c r="Q289" s="3">
        <v>282.04000000000002</v>
      </c>
      <c r="R289" s="3">
        <f>Q289*3200</f>
        <v>902528.00000000012</v>
      </c>
      <c r="S289" s="3">
        <v>0</v>
      </c>
      <c r="T289" s="3">
        <v>0</v>
      </c>
      <c r="U289" s="3">
        <v>850000</v>
      </c>
      <c r="V289" s="6">
        <f>N289/M289</f>
        <v>4450</v>
      </c>
    </row>
    <row r="290" spans="1:22" ht="21.95" customHeight="1" x14ac:dyDescent="0.25">
      <c r="A290" s="37" t="s">
        <v>1538</v>
      </c>
      <c r="B290" s="46" t="s">
        <v>23</v>
      </c>
      <c r="C290" s="2">
        <f>D290+L290+N290+P290+R290+S290+T290+U290</f>
        <v>6617050</v>
      </c>
      <c r="D290" s="3">
        <f>SUM(E290:J290)</f>
        <v>323050</v>
      </c>
      <c r="E290" s="3">
        <f>350*923</f>
        <v>323050</v>
      </c>
      <c r="F290" s="3">
        <f>800*0</f>
        <v>0</v>
      </c>
      <c r="G290" s="3">
        <v>0</v>
      </c>
      <c r="H290" s="3">
        <f>400*0</f>
        <v>0</v>
      </c>
      <c r="I290" s="3">
        <v>0</v>
      </c>
      <c r="J290" s="3">
        <f>350*0</f>
        <v>0</v>
      </c>
      <c r="K290" s="4">
        <v>0</v>
      </c>
      <c r="L290" s="3">
        <v>0</v>
      </c>
      <c r="M290" s="3">
        <v>716</v>
      </c>
      <c r="N290" s="3">
        <f>M290*5500</f>
        <v>3938000</v>
      </c>
      <c r="O290" s="3">
        <v>0</v>
      </c>
      <c r="P290" s="3">
        <v>0</v>
      </c>
      <c r="Q290" s="3">
        <v>752</v>
      </c>
      <c r="R290" s="3">
        <f>Q290*3000</f>
        <v>2256000</v>
      </c>
      <c r="S290" s="3">
        <v>0</v>
      </c>
      <c r="T290" s="3">
        <v>0</v>
      </c>
      <c r="U290" s="3">
        <v>100000</v>
      </c>
      <c r="V290" s="6">
        <f>N290/M290</f>
        <v>5500</v>
      </c>
    </row>
    <row r="291" spans="1:22" ht="45" customHeight="1" x14ac:dyDescent="0.25">
      <c r="A291" s="54" t="s">
        <v>0</v>
      </c>
      <c r="B291" s="54"/>
      <c r="C291" s="2">
        <f>SUM(C292:C313)</f>
        <v>141235326.60999998</v>
      </c>
      <c r="D291" s="2">
        <f t="shared" ref="D291:U291" si="119">SUM(D292:D313)</f>
        <v>19438720</v>
      </c>
      <c r="E291" s="2">
        <f t="shared" si="119"/>
        <v>3832220</v>
      </c>
      <c r="F291" s="2">
        <f t="shared" si="119"/>
        <v>7092330</v>
      </c>
      <c r="G291" s="2">
        <f t="shared" si="119"/>
        <v>2655570</v>
      </c>
      <c r="H291" s="2">
        <f t="shared" si="119"/>
        <v>3540760</v>
      </c>
      <c r="I291" s="2">
        <f t="shared" si="119"/>
        <v>2317840</v>
      </c>
      <c r="J291" s="2">
        <f t="shared" si="119"/>
        <v>0</v>
      </c>
      <c r="K291" s="45">
        <f t="shared" si="119"/>
        <v>10</v>
      </c>
      <c r="L291" s="2">
        <f t="shared" si="119"/>
        <v>22400000</v>
      </c>
      <c r="M291" s="2">
        <f t="shared" si="119"/>
        <v>13063.02</v>
      </c>
      <c r="N291" s="2">
        <f t="shared" si="119"/>
        <v>64584856.600000001</v>
      </c>
      <c r="O291" s="2">
        <f t="shared" si="119"/>
        <v>498</v>
      </c>
      <c r="P291" s="2">
        <f t="shared" si="119"/>
        <v>597600</v>
      </c>
      <c r="Q291" s="2">
        <f t="shared" si="119"/>
        <v>10716.3</v>
      </c>
      <c r="R291" s="2">
        <f t="shared" si="119"/>
        <v>30810915.600000001</v>
      </c>
      <c r="S291" s="2">
        <f t="shared" si="119"/>
        <v>0</v>
      </c>
      <c r="T291" s="2">
        <f t="shared" si="119"/>
        <v>0</v>
      </c>
      <c r="U291" s="2">
        <f t="shared" si="119"/>
        <v>3403234.41</v>
      </c>
    </row>
    <row r="292" spans="1:22" ht="21" customHeight="1" x14ac:dyDescent="0.25">
      <c r="A292" s="53" t="s">
        <v>1539</v>
      </c>
      <c r="B292" s="8" t="s">
        <v>1982</v>
      </c>
      <c r="C292" s="2">
        <f t="shared" ref="C292" si="120">D292+L292+N292+P292+R292+S292+T292+U292</f>
        <v>300000</v>
      </c>
      <c r="D292" s="3">
        <f t="shared" ref="D292" si="121">SUM(E292:J292)</f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4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300000</v>
      </c>
    </row>
    <row r="293" spans="1:22" ht="23.1" customHeight="1" x14ac:dyDescent="0.25">
      <c r="A293" s="53" t="s">
        <v>1540</v>
      </c>
      <c r="B293" s="19" t="s">
        <v>40</v>
      </c>
      <c r="C293" s="2">
        <f t="shared" ref="C293:C357" si="122">D293+L293+N293+P293+R293+S293+T293+U293</f>
        <v>3781250</v>
      </c>
      <c r="D293" s="3">
        <f t="shared" ref="D293:D313" si="123">SUM(E293:J293)</f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687.5</v>
      </c>
      <c r="N293" s="3">
        <f t="shared" ref="N293:N294" si="124">M293*5500</f>
        <v>3781250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6">
        <f t="shared" ref="V293:V313" si="125">N293/M293</f>
        <v>5500</v>
      </c>
    </row>
    <row r="294" spans="1:22" ht="23.1" customHeight="1" x14ac:dyDescent="0.25">
      <c r="A294" s="53" t="s">
        <v>1541</v>
      </c>
      <c r="B294" s="8" t="s">
        <v>44</v>
      </c>
      <c r="C294" s="2">
        <f t="shared" si="122"/>
        <v>4675000</v>
      </c>
      <c r="D294" s="3">
        <f t="shared" si="123"/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4">
        <v>0</v>
      </c>
      <c r="L294" s="3">
        <v>0</v>
      </c>
      <c r="M294" s="3">
        <v>850</v>
      </c>
      <c r="N294" s="3">
        <f t="shared" si="124"/>
        <v>4675000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6">
        <f t="shared" si="125"/>
        <v>5500</v>
      </c>
    </row>
    <row r="295" spans="1:22" ht="23.1" customHeight="1" x14ac:dyDescent="0.25">
      <c r="A295" s="53" t="s">
        <v>1542</v>
      </c>
      <c r="B295" s="8" t="s">
        <v>17</v>
      </c>
      <c r="C295" s="2">
        <f t="shared" si="122"/>
        <v>17493345.440000001</v>
      </c>
      <c r="D295" s="3">
        <f t="shared" si="123"/>
        <v>3565410</v>
      </c>
      <c r="E295" s="3">
        <f>700*2097.3</f>
        <v>1468110.0000000002</v>
      </c>
      <c r="F295" s="3">
        <v>0</v>
      </c>
      <c r="G295" s="3">
        <f>300*2097.3</f>
        <v>629190</v>
      </c>
      <c r="H295" s="3">
        <f>400*2097.3</f>
        <v>838920.00000000012</v>
      </c>
      <c r="I295" s="3">
        <f>300*2097.3</f>
        <v>629190</v>
      </c>
      <c r="J295" s="3">
        <f>350*0</f>
        <v>0</v>
      </c>
      <c r="K295" s="4">
        <v>0</v>
      </c>
      <c r="L295" s="3">
        <v>0</v>
      </c>
      <c r="M295" s="3">
        <v>1315</v>
      </c>
      <c r="N295" s="3">
        <f>M295*6600</f>
        <v>8679000</v>
      </c>
      <c r="O295" s="3">
        <v>0</v>
      </c>
      <c r="P295" s="3">
        <v>0</v>
      </c>
      <c r="Q295" s="3">
        <v>1500</v>
      </c>
      <c r="R295" s="3">
        <f>Q295*3200</f>
        <v>4800000</v>
      </c>
      <c r="S295" s="3">
        <v>0</v>
      </c>
      <c r="T295" s="3">
        <v>0</v>
      </c>
      <c r="U295" s="3">
        <v>448935.44</v>
      </c>
      <c r="V295" s="6">
        <f t="shared" si="125"/>
        <v>6600</v>
      </c>
    </row>
    <row r="296" spans="1:22" ht="23.1" customHeight="1" x14ac:dyDescent="0.25">
      <c r="A296" s="53" t="s">
        <v>1543</v>
      </c>
      <c r="B296" s="8" t="s">
        <v>47</v>
      </c>
      <c r="C296" s="2">
        <f t="shared" si="122"/>
        <v>1403380</v>
      </c>
      <c r="D296" s="3">
        <f t="shared" si="123"/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4">
        <v>0</v>
      </c>
      <c r="L296" s="3">
        <v>0</v>
      </c>
      <c r="M296" s="3">
        <v>256.3</v>
      </c>
      <c r="N296" s="3">
        <v>1403380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6">
        <f t="shared" si="125"/>
        <v>5475.5364806866946</v>
      </c>
    </row>
    <row r="297" spans="1:22" ht="23.1" customHeight="1" x14ac:dyDescent="0.25">
      <c r="A297" s="53" t="s">
        <v>1544</v>
      </c>
      <c r="B297" s="8" t="s">
        <v>32</v>
      </c>
      <c r="C297" s="2">
        <f t="shared" si="122"/>
        <v>9910290</v>
      </c>
      <c r="D297" s="3">
        <f t="shared" si="123"/>
        <v>2341540</v>
      </c>
      <c r="E297" s="3">
        <f>350*996.4</f>
        <v>348740</v>
      </c>
      <c r="F297" s="3">
        <f>1050*996.4</f>
        <v>1046220</v>
      </c>
      <c r="G297" s="3">
        <f>300*996.4</f>
        <v>298920</v>
      </c>
      <c r="H297" s="3">
        <f>400*996.4</f>
        <v>398560</v>
      </c>
      <c r="I297" s="3">
        <f>250*996.4</f>
        <v>249100</v>
      </c>
      <c r="J297" s="3">
        <f>350*0</f>
        <v>0</v>
      </c>
      <c r="K297" s="4">
        <v>0</v>
      </c>
      <c r="L297" s="3">
        <v>0</v>
      </c>
      <c r="M297" s="3">
        <v>774.3</v>
      </c>
      <c r="N297" s="3">
        <f t="shared" ref="N297:N302" si="126">M297*5500</f>
        <v>4258650</v>
      </c>
      <c r="O297" s="3">
        <v>498</v>
      </c>
      <c r="P297" s="3">
        <f>O297*1200</f>
        <v>597600</v>
      </c>
      <c r="Q297" s="3">
        <v>837.5</v>
      </c>
      <c r="R297" s="3">
        <f>Q297*3000</f>
        <v>2512500</v>
      </c>
      <c r="S297" s="3">
        <v>0</v>
      </c>
      <c r="T297" s="3">
        <v>0</v>
      </c>
      <c r="U297" s="3">
        <v>200000</v>
      </c>
      <c r="V297" s="6">
        <f t="shared" si="125"/>
        <v>5500</v>
      </c>
    </row>
    <row r="298" spans="1:22" ht="23.1" customHeight="1" x14ac:dyDescent="0.25">
      <c r="A298" s="53" t="s">
        <v>1545</v>
      </c>
      <c r="B298" s="8" t="s">
        <v>51</v>
      </c>
      <c r="C298" s="2">
        <f t="shared" si="122"/>
        <v>6689100</v>
      </c>
      <c r="D298" s="3">
        <f t="shared" si="123"/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1216.2</v>
      </c>
      <c r="N298" s="3">
        <f t="shared" si="126"/>
        <v>6689100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6">
        <f t="shared" si="125"/>
        <v>5500</v>
      </c>
    </row>
    <row r="299" spans="1:22" ht="21.95" customHeight="1" x14ac:dyDescent="0.25">
      <c r="A299" s="53" t="s">
        <v>1546</v>
      </c>
      <c r="B299" s="19" t="s">
        <v>1033</v>
      </c>
      <c r="C299" s="2">
        <f>D299+L299+N299+P299+R299+S299+T299+U299</f>
        <v>4455560.83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0</v>
      </c>
      <c r="L299" s="3">
        <v>0</v>
      </c>
      <c r="M299" s="3">
        <v>610.32000000000005</v>
      </c>
      <c r="N299" s="20">
        <f>M299*6600</f>
        <v>4028112.0000000005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427448.83</v>
      </c>
      <c r="V299" s="6">
        <f>N299/M299</f>
        <v>6600</v>
      </c>
    </row>
    <row r="300" spans="1:22" ht="21.95" customHeight="1" x14ac:dyDescent="0.25">
      <c r="A300" s="53" t="s">
        <v>1547</v>
      </c>
      <c r="B300" s="8" t="s">
        <v>54</v>
      </c>
      <c r="C300" s="2">
        <f>D300+L300+N300+P300+R300+S300+T300+U300</f>
        <v>2994367.69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390</v>
      </c>
      <c r="N300" s="20">
        <f>M300*6600</f>
        <v>2574000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420367.69</v>
      </c>
      <c r="V300" s="6">
        <f>N300/M300</f>
        <v>6600</v>
      </c>
    </row>
    <row r="301" spans="1:22" ht="23.1" customHeight="1" x14ac:dyDescent="0.25">
      <c r="A301" s="53" t="s">
        <v>1548</v>
      </c>
      <c r="B301" s="8" t="s">
        <v>52</v>
      </c>
      <c r="C301" s="2">
        <f t="shared" si="122"/>
        <v>2582996.2599999998</v>
      </c>
      <c r="D301" s="3">
        <f t="shared" si="123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496.6</v>
      </c>
      <c r="N301" s="3">
        <v>2582996.2599999998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6">
        <f t="shared" si="125"/>
        <v>5201.3617801047112</v>
      </c>
    </row>
    <row r="302" spans="1:22" ht="23.1" customHeight="1" x14ac:dyDescent="0.25">
      <c r="A302" s="53" t="s">
        <v>1549</v>
      </c>
      <c r="B302" s="19" t="s">
        <v>58</v>
      </c>
      <c r="C302" s="2">
        <f t="shared" si="122"/>
        <v>3345649.9999999995</v>
      </c>
      <c r="D302" s="3">
        <f t="shared" si="123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608.29999999999995</v>
      </c>
      <c r="N302" s="3">
        <f t="shared" si="126"/>
        <v>3345649.9999999995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6">
        <f t="shared" si="125"/>
        <v>5500</v>
      </c>
    </row>
    <row r="303" spans="1:22" ht="23.1" customHeight="1" x14ac:dyDescent="0.25">
      <c r="A303" s="53" t="s">
        <v>1550</v>
      </c>
      <c r="B303" s="8" t="s">
        <v>33</v>
      </c>
      <c r="C303" s="2">
        <f t="shared" si="122"/>
        <v>3795805.94</v>
      </c>
      <c r="D303" s="3">
        <f t="shared" si="123"/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0</v>
      </c>
      <c r="L303" s="3">
        <v>0</v>
      </c>
      <c r="M303" s="3">
        <v>1029.79</v>
      </c>
      <c r="N303" s="3">
        <v>3795805.94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6">
        <f t="shared" si="125"/>
        <v>3686</v>
      </c>
    </row>
    <row r="304" spans="1:22" ht="23.1" customHeight="1" x14ac:dyDescent="0.25">
      <c r="A304" s="53" t="s">
        <v>1551</v>
      </c>
      <c r="B304" s="8" t="s">
        <v>1287</v>
      </c>
      <c r="C304" s="2">
        <f t="shared" ref="C304" si="127">D304+L304+N304+P304+R304+S304+T304+U304</f>
        <v>14300000</v>
      </c>
      <c r="D304" s="3">
        <f t="shared" ref="D304" si="128">SUM(E304:J304)</f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6</v>
      </c>
      <c r="L304" s="3">
        <f>K304*2300000</f>
        <v>13800000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500000</v>
      </c>
      <c r="V304" s="6" t="e">
        <f t="shared" si="125"/>
        <v>#DIV/0!</v>
      </c>
    </row>
    <row r="305" spans="1:22" ht="23.1" customHeight="1" x14ac:dyDescent="0.25">
      <c r="A305" s="53" t="s">
        <v>1552</v>
      </c>
      <c r="B305" s="8" t="s">
        <v>34</v>
      </c>
      <c r="C305" s="2">
        <f t="shared" si="122"/>
        <v>957241.2</v>
      </c>
      <c r="D305" s="3">
        <f t="shared" si="123"/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334.3</v>
      </c>
      <c r="N305" s="3">
        <v>957241.2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6">
        <f t="shared" si="125"/>
        <v>2863.419682919533</v>
      </c>
    </row>
    <row r="306" spans="1:22" ht="23.1" customHeight="1" x14ac:dyDescent="0.25">
      <c r="A306" s="53" t="s">
        <v>1553</v>
      </c>
      <c r="B306" s="8" t="s">
        <v>61</v>
      </c>
      <c r="C306" s="2">
        <f>D306+L306+N306+P306+R306+S306+T306+U306</f>
        <v>4819705</v>
      </c>
      <c r="D306" s="3">
        <f>SUM(E306:J306)</f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0</v>
      </c>
      <c r="L306" s="3">
        <v>0</v>
      </c>
      <c r="M306" s="3">
        <v>876.31</v>
      </c>
      <c r="N306" s="3">
        <f>M306*5500</f>
        <v>4819705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6">
        <f>N306/M306</f>
        <v>5500</v>
      </c>
    </row>
    <row r="307" spans="1:22" ht="23.1" customHeight="1" x14ac:dyDescent="0.25">
      <c r="A307" s="53" t="s">
        <v>1554</v>
      </c>
      <c r="B307" s="8" t="s">
        <v>60</v>
      </c>
      <c r="C307" s="2">
        <f t="shared" si="122"/>
        <v>300000</v>
      </c>
      <c r="D307" s="3">
        <f t="shared" si="123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f t="shared" ref="N307" si="129">M307*5500</f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300000</v>
      </c>
      <c r="V307" s="6" t="e">
        <f t="shared" si="125"/>
        <v>#DIV/0!</v>
      </c>
    </row>
    <row r="308" spans="1:22" ht="23.1" customHeight="1" x14ac:dyDescent="0.25">
      <c r="A308" s="53" t="s">
        <v>1555</v>
      </c>
      <c r="B308" s="8" t="s">
        <v>64</v>
      </c>
      <c r="C308" s="2">
        <f t="shared" si="122"/>
        <v>300000</v>
      </c>
      <c r="D308" s="3">
        <f t="shared" si="123"/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4">
        <v>0</v>
      </c>
      <c r="L308" s="3">
        <v>0</v>
      </c>
      <c r="M308" s="3">
        <v>0</v>
      </c>
      <c r="N308" s="3">
        <f t="shared" ref="N308:N310" si="130">M308*3686</f>
        <v>0</v>
      </c>
      <c r="O308" s="3">
        <v>0</v>
      </c>
      <c r="P308" s="3">
        <v>0</v>
      </c>
      <c r="Q308" s="3">
        <v>0</v>
      </c>
      <c r="R308" s="3">
        <f t="shared" ref="R308" si="131">Q308*3000</f>
        <v>0</v>
      </c>
      <c r="S308" s="3">
        <v>0</v>
      </c>
      <c r="T308" s="3">
        <v>0</v>
      </c>
      <c r="U308" s="3">
        <v>300000</v>
      </c>
      <c r="V308" s="6" t="e">
        <f t="shared" si="125"/>
        <v>#DIV/0!</v>
      </c>
    </row>
    <row r="309" spans="1:22" ht="23.1" customHeight="1" x14ac:dyDescent="0.25">
      <c r="A309" s="53" t="s">
        <v>1556</v>
      </c>
      <c r="B309" s="8" t="s">
        <v>986</v>
      </c>
      <c r="C309" s="2">
        <f t="shared" si="122"/>
        <v>11139009.6</v>
      </c>
      <c r="D309" s="3">
        <f t="shared" si="123"/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4">
        <v>0</v>
      </c>
      <c r="L309" s="3">
        <v>0</v>
      </c>
      <c r="M309" s="3">
        <v>997</v>
      </c>
      <c r="N309" s="3">
        <v>3333591.6</v>
      </c>
      <c r="O309" s="3">
        <v>0</v>
      </c>
      <c r="P309" s="3">
        <v>0</v>
      </c>
      <c r="Q309" s="3">
        <v>2940</v>
      </c>
      <c r="R309" s="3">
        <v>7805418</v>
      </c>
      <c r="S309" s="3">
        <v>0</v>
      </c>
      <c r="T309" s="3">
        <v>0</v>
      </c>
      <c r="U309" s="3">
        <v>0</v>
      </c>
      <c r="V309" s="6">
        <f t="shared" si="125"/>
        <v>3343.6224674022069</v>
      </c>
    </row>
    <row r="310" spans="1:22" ht="23.1" customHeight="1" x14ac:dyDescent="0.25">
      <c r="A310" s="53" t="s">
        <v>1557</v>
      </c>
      <c r="B310" s="19" t="s">
        <v>36</v>
      </c>
      <c r="C310" s="2">
        <f t="shared" si="122"/>
        <v>4924496</v>
      </c>
      <c r="D310" s="3">
        <f t="shared" si="123"/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0</v>
      </c>
      <c r="L310" s="3">
        <v>0</v>
      </c>
      <c r="M310" s="3">
        <v>1336</v>
      </c>
      <c r="N310" s="3">
        <f t="shared" si="130"/>
        <v>4924496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6">
        <f t="shared" si="125"/>
        <v>3686</v>
      </c>
    </row>
    <row r="311" spans="1:22" ht="23.1" customHeight="1" x14ac:dyDescent="0.25">
      <c r="A311" s="53" t="s">
        <v>1558</v>
      </c>
      <c r="B311" s="8" t="s">
        <v>1016</v>
      </c>
      <c r="C311" s="2">
        <f t="shared" si="122"/>
        <v>8800000</v>
      </c>
      <c r="D311" s="3">
        <f t="shared" si="123"/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4">
        <v>4</v>
      </c>
      <c r="L311" s="3">
        <f>K311*2150000</f>
        <v>8600000</v>
      </c>
      <c r="M311" s="3">
        <v>0</v>
      </c>
      <c r="N311" s="20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200000</v>
      </c>
      <c r="V311" s="6" t="e">
        <f t="shared" si="125"/>
        <v>#DIV/0!</v>
      </c>
    </row>
    <row r="312" spans="1:22" ht="23.1" customHeight="1" x14ac:dyDescent="0.25">
      <c r="A312" s="53" t="s">
        <v>1559</v>
      </c>
      <c r="B312" s="19" t="s">
        <v>37</v>
      </c>
      <c r="C312" s="2">
        <f t="shared" si="122"/>
        <v>15692997.6</v>
      </c>
      <c r="D312" s="3">
        <f t="shared" si="123"/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4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5438.8</v>
      </c>
      <c r="R312" s="3">
        <v>15692997.6</v>
      </c>
      <c r="S312" s="3">
        <v>0</v>
      </c>
      <c r="T312" s="3">
        <v>0</v>
      </c>
      <c r="U312" s="3">
        <v>0</v>
      </c>
      <c r="V312" s="6" t="e">
        <f t="shared" si="125"/>
        <v>#DIV/0!</v>
      </c>
    </row>
    <row r="313" spans="1:22" ht="23.1" customHeight="1" x14ac:dyDescent="0.25">
      <c r="A313" s="53" t="s">
        <v>1560</v>
      </c>
      <c r="B313" s="19" t="s">
        <v>38</v>
      </c>
      <c r="C313" s="2">
        <f t="shared" si="122"/>
        <v>18575131.050000001</v>
      </c>
      <c r="D313" s="3">
        <f t="shared" si="123"/>
        <v>13531770</v>
      </c>
      <c r="E313" s="3">
        <f>350*5758.2</f>
        <v>2015370</v>
      </c>
      <c r="F313" s="3">
        <f>1050*5758.2</f>
        <v>6046110</v>
      </c>
      <c r="G313" s="3">
        <f>300*5758.2</f>
        <v>1727460</v>
      </c>
      <c r="H313" s="3">
        <f>400*5758.2</f>
        <v>2303280</v>
      </c>
      <c r="I313" s="3">
        <f>250*5758.2</f>
        <v>1439550</v>
      </c>
      <c r="J313" s="3">
        <f>350*0</f>
        <v>0</v>
      </c>
      <c r="K313" s="4">
        <v>0</v>
      </c>
      <c r="L313" s="3">
        <v>0</v>
      </c>
      <c r="M313" s="3">
        <v>1285.0999999999999</v>
      </c>
      <c r="N313" s="3">
        <f>M313*3686</f>
        <v>4736878.5999999996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306482.45</v>
      </c>
      <c r="V313" s="6">
        <f t="shared" si="125"/>
        <v>3686</v>
      </c>
    </row>
    <row r="314" spans="1:22" ht="42.95" customHeight="1" x14ac:dyDescent="0.25">
      <c r="A314" s="54" t="s">
        <v>30</v>
      </c>
      <c r="B314" s="54"/>
      <c r="C314" s="2">
        <f>SUM(C315)</f>
        <v>300000</v>
      </c>
      <c r="D314" s="2">
        <f t="shared" ref="D314:U314" si="132">SUM(D315)</f>
        <v>0</v>
      </c>
      <c r="E314" s="2">
        <f t="shared" si="132"/>
        <v>0</v>
      </c>
      <c r="F314" s="2">
        <f t="shared" si="132"/>
        <v>0</v>
      </c>
      <c r="G314" s="2">
        <f t="shared" si="132"/>
        <v>0</v>
      </c>
      <c r="H314" s="2">
        <f t="shared" si="132"/>
        <v>0</v>
      </c>
      <c r="I314" s="2">
        <f t="shared" si="132"/>
        <v>0</v>
      </c>
      <c r="J314" s="2">
        <f t="shared" si="132"/>
        <v>0</v>
      </c>
      <c r="K314" s="14">
        <f t="shared" si="132"/>
        <v>0</v>
      </c>
      <c r="L314" s="2">
        <f t="shared" si="132"/>
        <v>0</v>
      </c>
      <c r="M314" s="2">
        <f t="shared" si="132"/>
        <v>0</v>
      </c>
      <c r="N314" s="2">
        <f t="shared" si="132"/>
        <v>0</v>
      </c>
      <c r="O314" s="2">
        <f t="shared" si="132"/>
        <v>0</v>
      </c>
      <c r="P314" s="2">
        <f t="shared" si="132"/>
        <v>0</v>
      </c>
      <c r="Q314" s="2">
        <f t="shared" si="132"/>
        <v>0</v>
      </c>
      <c r="R314" s="2">
        <f t="shared" si="132"/>
        <v>0</v>
      </c>
      <c r="S314" s="2">
        <f t="shared" si="132"/>
        <v>0</v>
      </c>
      <c r="T314" s="2">
        <f t="shared" si="132"/>
        <v>0</v>
      </c>
      <c r="U314" s="2">
        <f t="shared" si="132"/>
        <v>300000</v>
      </c>
      <c r="V314" s="18">
        <f>C314</f>
        <v>300000</v>
      </c>
    </row>
    <row r="315" spans="1:22" ht="21.95" customHeight="1" x14ac:dyDescent="0.25">
      <c r="A315" s="37" t="s">
        <v>1561</v>
      </c>
      <c r="B315" s="8" t="s">
        <v>31</v>
      </c>
      <c r="C315" s="2">
        <f t="shared" si="122"/>
        <v>300000</v>
      </c>
      <c r="D315" s="3">
        <f t="shared" ref="D315" si="133">SUM(E315:J315)</f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4">
        <v>0</v>
      </c>
      <c r="L315" s="3">
        <v>0</v>
      </c>
      <c r="M315" s="3">
        <v>0</v>
      </c>
      <c r="N315" s="3">
        <f t="shared" ref="N315" si="134">M315*5500</f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300000</v>
      </c>
      <c r="V315" s="6" t="e">
        <f>N315/M315</f>
        <v>#DIV/0!</v>
      </c>
    </row>
    <row r="316" spans="1:22" ht="42.95" customHeight="1" x14ac:dyDescent="0.25">
      <c r="A316" s="54" t="s">
        <v>74</v>
      </c>
      <c r="B316" s="54"/>
      <c r="C316" s="2">
        <f>SUM(C317:C319)</f>
        <v>7505000</v>
      </c>
      <c r="D316" s="2">
        <f t="shared" ref="D316:U316" si="135">SUM(D317:D319)</f>
        <v>0</v>
      </c>
      <c r="E316" s="2">
        <f t="shared" si="135"/>
        <v>0</v>
      </c>
      <c r="F316" s="2">
        <f t="shared" si="135"/>
        <v>0</v>
      </c>
      <c r="G316" s="2">
        <f t="shared" si="135"/>
        <v>0</v>
      </c>
      <c r="H316" s="2">
        <f t="shared" si="135"/>
        <v>0</v>
      </c>
      <c r="I316" s="2">
        <f t="shared" si="135"/>
        <v>0</v>
      </c>
      <c r="J316" s="2">
        <f t="shared" si="135"/>
        <v>0</v>
      </c>
      <c r="K316" s="14">
        <f t="shared" si="135"/>
        <v>0</v>
      </c>
      <c r="L316" s="2">
        <f t="shared" si="135"/>
        <v>0</v>
      </c>
      <c r="M316" s="2">
        <f t="shared" si="135"/>
        <v>1310</v>
      </c>
      <c r="N316" s="2">
        <f t="shared" si="135"/>
        <v>7205000</v>
      </c>
      <c r="O316" s="2">
        <f t="shared" si="135"/>
        <v>0</v>
      </c>
      <c r="P316" s="2">
        <f t="shared" si="135"/>
        <v>0</v>
      </c>
      <c r="Q316" s="2">
        <f t="shared" si="135"/>
        <v>0</v>
      </c>
      <c r="R316" s="2">
        <f t="shared" si="135"/>
        <v>0</v>
      </c>
      <c r="S316" s="2">
        <f t="shared" si="135"/>
        <v>0</v>
      </c>
      <c r="T316" s="2">
        <f t="shared" si="135"/>
        <v>0</v>
      </c>
      <c r="U316" s="2">
        <f t="shared" si="135"/>
        <v>300000</v>
      </c>
    </row>
    <row r="317" spans="1:22" ht="23.1" customHeight="1" x14ac:dyDescent="0.25">
      <c r="A317" s="36" t="s">
        <v>1562</v>
      </c>
      <c r="B317" s="8" t="s">
        <v>981</v>
      </c>
      <c r="C317" s="2">
        <f t="shared" si="122"/>
        <v>300000</v>
      </c>
      <c r="D317" s="3">
        <f t="shared" ref="D317:D319" si="136">SUM(E317:J317)</f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11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300000</v>
      </c>
      <c r="V317" s="6" t="e">
        <f t="shared" ref="V317:V319" si="137">N317/M317</f>
        <v>#DIV/0!</v>
      </c>
    </row>
    <row r="318" spans="1:22" ht="23.1" customHeight="1" x14ac:dyDescent="0.25">
      <c r="A318" s="36" t="s">
        <v>1563</v>
      </c>
      <c r="B318" s="8" t="s">
        <v>982</v>
      </c>
      <c r="C318" s="2">
        <f t="shared" si="122"/>
        <v>4565000</v>
      </c>
      <c r="D318" s="3">
        <f t="shared" si="136"/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4">
        <v>0</v>
      </c>
      <c r="L318" s="3">
        <v>0</v>
      </c>
      <c r="M318" s="3">
        <v>830</v>
      </c>
      <c r="N318" s="3">
        <f t="shared" ref="N318:N319" si="138">M318*5500</f>
        <v>4565000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5">
        <v>0</v>
      </c>
      <c r="U318" s="3">
        <v>0</v>
      </c>
      <c r="V318" s="6">
        <f t="shared" si="137"/>
        <v>5500</v>
      </c>
    </row>
    <row r="319" spans="1:22" ht="23.1" customHeight="1" x14ac:dyDescent="0.25">
      <c r="A319" s="36" t="s">
        <v>1564</v>
      </c>
      <c r="B319" s="8" t="s">
        <v>983</v>
      </c>
      <c r="C319" s="2">
        <f t="shared" si="122"/>
        <v>2640000</v>
      </c>
      <c r="D319" s="3">
        <f t="shared" si="136"/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4">
        <v>0</v>
      </c>
      <c r="L319" s="3">
        <v>0</v>
      </c>
      <c r="M319" s="3">
        <v>480</v>
      </c>
      <c r="N319" s="3">
        <f t="shared" si="138"/>
        <v>2640000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5">
        <v>0</v>
      </c>
      <c r="U319" s="3">
        <v>0</v>
      </c>
      <c r="V319" s="6">
        <f t="shared" si="137"/>
        <v>5500</v>
      </c>
    </row>
    <row r="320" spans="1:22" ht="45" customHeight="1" x14ac:dyDescent="0.25">
      <c r="A320" s="54" t="s">
        <v>1070</v>
      </c>
      <c r="B320" s="54"/>
      <c r="C320" s="2">
        <f>SUM(C321)</f>
        <v>2051640.0000000002</v>
      </c>
      <c r="D320" s="2">
        <f t="shared" ref="D320:U320" si="139">SUM(D321)</f>
        <v>0</v>
      </c>
      <c r="E320" s="2">
        <f t="shared" si="139"/>
        <v>0</v>
      </c>
      <c r="F320" s="2">
        <f t="shared" si="139"/>
        <v>0</v>
      </c>
      <c r="G320" s="2">
        <f t="shared" si="139"/>
        <v>0</v>
      </c>
      <c r="H320" s="2">
        <f t="shared" si="139"/>
        <v>0</v>
      </c>
      <c r="I320" s="2">
        <f t="shared" si="139"/>
        <v>0</v>
      </c>
      <c r="J320" s="2">
        <f t="shared" si="139"/>
        <v>0</v>
      </c>
      <c r="K320" s="14">
        <f t="shared" si="139"/>
        <v>0</v>
      </c>
      <c r="L320" s="2">
        <f t="shared" si="139"/>
        <v>0</v>
      </c>
      <c r="M320" s="2">
        <f t="shared" si="139"/>
        <v>0</v>
      </c>
      <c r="N320" s="2">
        <f t="shared" si="139"/>
        <v>0</v>
      </c>
      <c r="O320" s="2">
        <f t="shared" si="139"/>
        <v>323.25</v>
      </c>
      <c r="P320" s="2">
        <f t="shared" si="139"/>
        <v>387900</v>
      </c>
      <c r="Q320" s="2">
        <f t="shared" si="139"/>
        <v>554.58000000000004</v>
      </c>
      <c r="R320" s="2">
        <f t="shared" si="139"/>
        <v>1663740.0000000002</v>
      </c>
      <c r="S320" s="2">
        <f t="shared" si="139"/>
        <v>0</v>
      </c>
      <c r="T320" s="2">
        <f t="shared" si="139"/>
        <v>0</v>
      </c>
      <c r="U320" s="2">
        <f t="shared" si="139"/>
        <v>0</v>
      </c>
      <c r="V320" s="18">
        <f>C320</f>
        <v>2051640.0000000002</v>
      </c>
    </row>
    <row r="321" spans="1:258" ht="27" customHeight="1" x14ac:dyDescent="0.25">
      <c r="A321" s="37" t="s">
        <v>1565</v>
      </c>
      <c r="B321" s="8" t="s">
        <v>1071</v>
      </c>
      <c r="C321" s="2">
        <f>D321+L321+N321+P321+R321+S321+T321+U321</f>
        <v>2051640.0000000002</v>
      </c>
      <c r="D321" s="3">
        <f>SUM(E321:J321)</f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4">
        <v>0</v>
      </c>
      <c r="L321" s="3">
        <v>0</v>
      </c>
      <c r="M321" s="3">
        <v>0</v>
      </c>
      <c r="N321" s="3">
        <v>0</v>
      </c>
      <c r="O321" s="3">
        <v>323.25</v>
      </c>
      <c r="P321" s="3">
        <f>O321*1200</f>
        <v>387900</v>
      </c>
      <c r="Q321" s="3">
        <v>554.58000000000004</v>
      </c>
      <c r="R321" s="3">
        <f>Q321*3000</f>
        <v>1663740.0000000002</v>
      </c>
      <c r="S321" s="3">
        <v>0</v>
      </c>
      <c r="T321" s="3">
        <v>0</v>
      </c>
      <c r="U321" s="3">
        <v>0</v>
      </c>
      <c r="V321" s="6" t="e">
        <f>N321/M321</f>
        <v>#DIV/0!</v>
      </c>
    </row>
    <row r="322" spans="1:258" ht="42.95" customHeight="1" x14ac:dyDescent="0.25">
      <c r="A322" s="54" t="s">
        <v>2</v>
      </c>
      <c r="B322" s="54"/>
      <c r="C322" s="2">
        <f>SUM(C323:C325)</f>
        <v>12146800</v>
      </c>
      <c r="D322" s="2">
        <f t="shared" ref="D322:U322" si="140">SUM(D323:D325)</f>
        <v>802800</v>
      </c>
      <c r="E322" s="2">
        <f t="shared" si="140"/>
        <v>312200</v>
      </c>
      <c r="F322" s="2">
        <f t="shared" si="140"/>
        <v>0</v>
      </c>
      <c r="G322" s="2">
        <f t="shared" si="140"/>
        <v>267600</v>
      </c>
      <c r="H322" s="2">
        <f t="shared" si="140"/>
        <v>0</v>
      </c>
      <c r="I322" s="2">
        <f t="shared" si="140"/>
        <v>223000</v>
      </c>
      <c r="J322" s="2">
        <f t="shared" si="140"/>
        <v>0</v>
      </c>
      <c r="K322" s="14">
        <f t="shared" si="140"/>
        <v>0</v>
      </c>
      <c r="L322" s="2">
        <f t="shared" si="140"/>
        <v>0</v>
      </c>
      <c r="M322" s="2">
        <f t="shared" si="140"/>
        <v>1628</v>
      </c>
      <c r="N322" s="2">
        <f t="shared" si="140"/>
        <v>8954000</v>
      </c>
      <c r="O322" s="2">
        <f t="shared" si="140"/>
        <v>0</v>
      </c>
      <c r="P322" s="2">
        <f t="shared" si="140"/>
        <v>0</v>
      </c>
      <c r="Q322" s="2">
        <f t="shared" si="140"/>
        <v>730</v>
      </c>
      <c r="R322" s="2">
        <f t="shared" si="140"/>
        <v>2190000</v>
      </c>
      <c r="S322" s="2">
        <f t="shared" si="140"/>
        <v>0</v>
      </c>
      <c r="T322" s="2">
        <f t="shared" si="140"/>
        <v>0</v>
      </c>
      <c r="U322" s="2">
        <f t="shared" si="140"/>
        <v>200000</v>
      </c>
    </row>
    <row r="323" spans="1:258" ht="23.1" customHeight="1" x14ac:dyDescent="0.25">
      <c r="A323" s="37" t="s">
        <v>1566</v>
      </c>
      <c r="B323" s="8" t="s">
        <v>77</v>
      </c>
      <c r="C323" s="2">
        <f t="shared" si="122"/>
        <v>6756800</v>
      </c>
      <c r="D323" s="3">
        <f t="shared" ref="D323:D325" si="141">SUM(E323:J323)</f>
        <v>802800</v>
      </c>
      <c r="E323" s="3">
        <f>350*892</f>
        <v>312200</v>
      </c>
      <c r="F323" s="3">
        <f>800*0</f>
        <v>0</v>
      </c>
      <c r="G323" s="3">
        <f>300*892</f>
        <v>267600</v>
      </c>
      <c r="H323" s="3">
        <f>400*0</f>
        <v>0</v>
      </c>
      <c r="I323" s="3">
        <f>250*892</f>
        <v>223000</v>
      </c>
      <c r="J323" s="3">
        <f>350*0</f>
        <v>0</v>
      </c>
      <c r="K323" s="4">
        <v>0</v>
      </c>
      <c r="L323" s="3">
        <v>0</v>
      </c>
      <c r="M323" s="5">
        <v>648</v>
      </c>
      <c r="N323" s="3">
        <f t="shared" ref="N323:N325" si="142">M323*5500</f>
        <v>3564000</v>
      </c>
      <c r="O323" s="3">
        <v>0</v>
      </c>
      <c r="P323" s="3">
        <v>0</v>
      </c>
      <c r="Q323" s="3">
        <v>730</v>
      </c>
      <c r="R323" s="3">
        <f>Q323*3000</f>
        <v>2190000</v>
      </c>
      <c r="S323" s="5">
        <v>0</v>
      </c>
      <c r="T323" s="3">
        <v>0</v>
      </c>
      <c r="U323" s="3">
        <v>200000</v>
      </c>
      <c r="V323" s="6">
        <f t="shared" ref="V323:V325" si="143">N323/M323</f>
        <v>5500</v>
      </c>
    </row>
    <row r="324" spans="1:258" ht="23.1" customHeight="1" x14ac:dyDescent="0.25">
      <c r="A324" s="37" t="s">
        <v>1567</v>
      </c>
      <c r="B324" s="8" t="s">
        <v>79</v>
      </c>
      <c r="C324" s="2">
        <f t="shared" si="122"/>
        <v>2695000</v>
      </c>
      <c r="D324" s="3">
        <f t="shared" si="141"/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5">
        <v>490</v>
      </c>
      <c r="N324" s="3">
        <f t="shared" si="142"/>
        <v>2695000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5">
        <v>0</v>
      </c>
      <c r="V324" s="6">
        <f t="shared" si="143"/>
        <v>5500</v>
      </c>
    </row>
    <row r="325" spans="1:258" ht="23.1" customHeight="1" x14ac:dyDescent="0.25">
      <c r="A325" s="37" t="s">
        <v>1568</v>
      </c>
      <c r="B325" s="8" t="s">
        <v>80</v>
      </c>
      <c r="C325" s="2">
        <f t="shared" si="122"/>
        <v>2695000</v>
      </c>
      <c r="D325" s="3">
        <f t="shared" si="141"/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4">
        <v>0</v>
      </c>
      <c r="L325" s="3">
        <v>0</v>
      </c>
      <c r="M325" s="5">
        <v>490</v>
      </c>
      <c r="N325" s="3">
        <f t="shared" si="142"/>
        <v>2695000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5">
        <v>0</v>
      </c>
      <c r="V325" s="6">
        <f t="shared" si="143"/>
        <v>5500</v>
      </c>
    </row>
    <row r="326" spans="1:258" ht="45" customHeight="1" x14ac:dyDescent="0.25">
      <c r="A326" s="54" t="s">
        <v>81</v>
      </c>
      <c r="B326" s="54"/>
      <c r="C326" s="2">
        <f>SUM(C327)</f>
        <v>1495600</v>
      </c>
      <c r="D326" s="2">
        <f t="shared" ref="D326:U326" si="144">SUM(D327)</f>
        <v>117600</v>
      </c>
      <c r="E326" s="2">
        <f t="shared" si="144"/>
        <v>117600</v>
      </c>
      <c r="F326" s="2">
        <f t="shared" si="144"/>
        <v>0</v>
      </c>
      <c r="G326" s="2">
        <f t="shared" si="144"/>
        <v>0</v>
      </c>
      <c r="H326" s="2">
        <f t="shared" si="144"/>
        <v>0</v>
      </c>
      <c r="I326" s="2">
        <f t="shared" si="144"/>
        <v>0</v>
      </c>
      <c r="J326" s="2">
        <f t="shared" si="144"/>
        <v>0</v>
      </c>
      <c r="K326" s="14">
        <f t="shared" si="144"/>
        <v>0</v>
      </c>
      <c r="L326" s="2">
        <f t="shared" si="144"/>
        <v>0</v>
      </c>
      <c r="M326" s="2">
        <f t="shared" si="144"/>
        <v>0</v>
      </c>
      <c r="N326" s="2">
        <f t="shared" si="144"/>
        <v>0</v>
      </c>
      <c r="O326" s="2">
        <f t="shared" si="144"/>
        <v>0</v>
      </c>
      <c r="P326" s="2">
        <f t="shared" si="144"/>
        <v>0</v>
      </c>
      <c r="Q326" s="2">
        <f t="shared" si="144"/>
        <v>426</v>
      </c>
      <c r="R326" s="2">
        <f t="shared" si="144"/>
        <v>1278000</v>
      </c>
      <c r="S326" s="2">
        <f t="shared" si="144"/>
        <v>0</v>
      </c>
      <c r="T326" s="2">
        <f t="shared" si="144"/>
        <v>0</v>
      </c>
      <c r="U326" s="2">
        <f t="shared" si="144"/>
        <v>100000</v>
      </c>
      <c r="V326" s="18">
        <f>C326+C797</f>
        <v>3968620</v>
      </c>
    </row>
    <row r="327" spans="1:258" ht="21.95" customHeight="1" x14ac:dyDescent="0.25">
      <c r="A327" s="36" t="s">
        <v>1569</v>
      </c>
      <c r="B327" s="1" t="s">
        <v>84</v>
      </c>
      <c r="C327" s="2">
        <f t="shared" si="122"/>
        <v>1495600</v>
      </c>
      <c r="D327" s="3">
        <f t="shared" ref="D327" si="145">SUM(E327:J327)</f>
        <v>117600</v>
      </c>
      <c r="E327" s="3">
        <f>350*336</f>
        <v>117600</v>
      </c>
      <c r="F327" s="3">
        <v>0</v>
      </c>
      <c r="G327" s="3">
        <v>0</v>
      </c>
      <c r="H327" s="3">
        <v>0</v>
      </c>
      <c r="I327" s="3">
        <v>0</v>
      </c>
      <c r="J327" s="3">
        <f>350*0</f>
        <v>0</v>
      </c>
      <c r="K327" s="11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426</v>
      </c>
      <c r="R327" s="3">
        <f>Q327*3000</f>
        <v>1278000</v>
      </c>
      <c r="S327" s="5">
        <v>0</v>
      </c>
      <c r="T327" s="5">
        <v>0</v>
      </c>
      <c r="U327" s="5">
        <v>100000</v>
      </c>
      <c r="V327" s="6" t="e">
        <f>N327/M327</f>
        <v>#DIV/0!</v>
      </c>
    </row>
    <row r="328" spans="1:258" ht="45" customHeight="1" x14ac:dyDescent="0.25">
      <c r="A328" s="54" t="s">
        <v>820</v>
      </c>
      <c r="B328" s="54"/>
      <c r="C328" s="2">
        <f>SUM(C329:C331)</f>
        <v>7798598.4000000004</v>
      </c>
      <c r="D328" s="2">
        <f t="shared" ref="D328:U328" si="146">SUM(D329:D331)</f>
        <v>0</v>
      </c>
      <c r="E328" s="2">
        <f t="shared" si="146"/>
        <v>0</v>
      </c>
      <c r="F328" s="2">
        <f t="shared" si="146"/>
        <v>0</v>
      </c>
      <c r="G328" s="2">
        <f t="shared" si="146"/>
        <v>0</v>
      </c>
      <c r="H328" s="2">
        <f t="shared" si="146"/>
        <v>0</v>
      </c>
      <c r="I328" s="2">
        <f t="shared" si="146"/>
        <v>0</v>
      </c>
      <c r="J328" s="2">
        <f t="shared" si="146"/>
        <v>0</v>
      </c>
      <c r="K328" s="14">
        <f t="shared" si="146"/>
        <v>0</v>
      </c>
      <c r="L328" s="2">
        <f t="shared" si="146"/>
        <v>0</v>
      </c>
      <c r="M328" s="2">
        <f t="shared" si="146"/>
        <v>1154.4000000000001</v>
      </c>
      <c r="N328" s="2">
        <f t="shared" si="146"/>
        <v>4862498.4000000004</v>
      </c>
      <c r="O328" s="2">
        <f t="shared" si="146"/>
        <v>0</v>
      </c>
      <c r="P328" s="2">
        <f t="shared" si="146"/>
        <v>0</v>
      </c>
      <c r="Q328" s="2">
        <f t="shared" si="146"/>
        <v>878.7</v>
      </c>
      <c r="R328" s="2">
        <f t="shared" si="146"/>
        <v>2636100</v>
      </c>
      <c r="S328" s="2">
        <f t="shared" si="146"/>
        <v>0</v>
      </c>
      <c r="T328" s="2">
        <f t="shared" si="146"/>
        <v>0</v>
      </c>
      <c r="U328" s="2">
        <f t="shared" si="146"/>
        <v>300000</v>
      </c>
    </row>
    <row r="329" spans="1:258" ht="20.100000000000001" customHeight="1" x14ac:dyDescent="0.25">
      <c r="A329" s="37" t="s">
        <v>1570</v>
      </c>
      <c r="B329" s="8" t="s">
        <v>88</v>
      </c>
      <c r="C329" s="2">
        <f>D329+L329+N329+P329+R329+S329+T329+U329</f>
        <v>3537750</v>
      </c>
      <c r="D329" s="3">
        <f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3">
        <v>795</v>
      </c>
      <c r="N329" s="20">
        <f>M329*4450</f>
        <v>3537750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6">
        <f>N329/M329</f>
        <v>4450</v>
      </c>
    </row>
    <row r="330" spans="1:258" ht="21.95" customHeight="1" x14ac:dyDescent="0.25">
      <c r="A330" s="37" t="s">
        <v>1571</v>
      </c>
      <c r="B330" s="8" t="s">
        <v>89</v>
      </c>
      <c r="C330" s="2">
        <f t="shared" si="122"/>
        <v>300000</v>
      </c>
      <c r="D330" s="3">
        <f t="shared" ref="D330:D331" si="147">SUM(E330:J330)</f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4">
        <v>0</v>
      </c>
      <c r="L330" s="3">
        <v>0</v>
      </c>
      <c r="M330" s="3">
        <v>0</v>
      </c>
      <c r="N330" s="3">
        <f t="shared" ref="N330" si="148">M330*5500</f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300000</v>
      </c>
      <c r="V330" s="6" t="e">
        <f t="shared" ref="V330:V331" si="149">N330/M330</f>
        <v>#DIV/0!</v>
      </c>
    </row>
    <row r="331" spans="1:258" ht="21.95" customHeight="1" x14ac:dyDescent="0.25">
      <c r="A331" s="37" t="s">
        <v>1572</v>
      </c>
      <c r="B331" s="8" t="s">
        <v>90</v>
      </c>
      <c r="C331" s="2">
        <f t="shared" si="122"/>
        <v>3960848.4</v>
      </c>
      <c r="D331" s="3">
        <f t="shared" si="147"/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11">
        <v>0</v>
      </c>
      <c r="L331" s="5">
        <v>0</v>
      </c>
      <c r="M331" s="5">
        <v>359.4</v>
      </c>
      <c r="N331" s="5">
        <f>M331*3686</f>
        <v>1324748.3999999999</v>
      </c>
      <c r="O331" s="5">
        <v>0</v>
      </c>
      <c r="P331" s="5">
        <v>0</v>
      </c>
      <c r="Q331" s="5">
        <v>878.7</v>
      </c>
      <c r="R331" s="3">
        <f>Q331*3000</f>
        <v>2636100</v>
      </c>
      <c r="S331" s="5">
        <v>0</v>
      </c>
      <c r="T331" s="5">
        <v>0</v>
      </c>
      <c r="U331" s="5">
        <v>0</v>
      </c>
      <c r="V331" s="6">
        <f t="shared" si="149"/>
        <v>3686</v>
      </c>
      <c r="IX331" s="25"/>
    </row>
    <row r="332" spans="1:258" ht="45" customHeight="1" x14ac:dyDescent="0.25">
      <c r="A332" s="54" t="s">
        <v>92</v>
      </c>
      <c r="B332" s="54"/>
      <c r="C332" s="2">
        <f>SUM(C333)</f>
        <v>2370660</v>
      </c>
      <c r="D332" s="2">
        <f t="shared" ref="D332:U332" si="150">SUM(D333)</f>
        <v>176260</v>
      </c>
      <c r="E332" s="2">
        <f t="shared" si="150"/>
        <v>176260</v>
      </c>
      <c r="F332" s="2">
        <f t="shared" si="150"/>
        <v>0</v>
      </c>
      <c r="G332" s="2">
        <f t="shared" si="150"/>
        <v>0</v>
      </c>
      <c r="H332" s="2">
        <f t="shared" si="150"/>
        <v>0</v>
      </c>
      <c r="I332" s="2">
        <f t="shared" si="150"/>
        <v>0</v>
      </c>
      <c r="J332" s="2">
        <f t="shared" si="150"/>
        <v>0</v>
      </c>
      <c r="K332" s="14">
        <f t="shared" si="150"/>
        <v>0</v>
      </c>
      <c r="L332" s="2">
        <f t="shared" si="150"/>
        <v>0</v>
      </c>
      <c r="M332" s="2">
        <f t="shared" si="150"/>
        <v>380.8</v>
      </c>
      <c r="N332" s="2">
        <f t="shared" si="150"/>
        <v>2094400</v>
      </c>
      <c r="O332" s="2">
        <f t="shared" si="150"/>
        <v>0</v>
      </c>
      <c r="P332" s="2">
        <f t="shared" si="150"/>
        <v>0</v>
      </c>
      <c r="Q332" s="2">
        <f t="shared" si="150"/>
        <v>0</v>
      </c>
      <c r="R332" s="2">
        <f t="shared" si="150"/>
        <v>0</v>
      </c>
      <c r="S332" s="2">
        <f t="shared" si="150"/>
        <v>0</v>
      </c>
      <c r="T332" s="2">
        <f t="shared" si="150"/>
        <v>0</v>
      </c>
      <c r="U332" s="2">
        <f t="shared" si="150"/>
        <v>100000</v>
      </c>
      <c r="V332" s="18">
        <f>C332</f>
        <v>2370660</v>
      </c>
    </row>
    <row r="333" spans="1:258" ht="21.95" customHeight="1" x14ac:dyDescent="0.25">
      <c r="A333" s="37" t="s">
        <v>1573</v>
      </c>
      <c r="B333" s="1" t="s">
        <v>91</v>
      </c>
      <c r="C333" s="2">
        <f t="shared" si="122"/>
        <v>2370660</v>
      </c>
      <c r="D333" s="3">
        <f t="shared" ref="D333" si="151">SUM(E333:J333)</f>
        <v>176260</v>
      </c>
      <c r="E333" s="3">
        <f>350*503.6</f>
        <v>176260</v>
      </c>
      <c r="F333" s="3">
        <v>0</v>
      </c>
      <c r="G333" s="3">
        <v>0</v>
      </c>
      <c r="H333" s="3">
        <f>400*0</f>
        <v>0</v>
      </c>
      <c r="I333" s="3">
        <v>0</v>
      </c>
      <c r="J333" s="3">
        <f>350*0</f>
        <v>0</v>
      </c>
      <c r="K333" s="4">
        <v>0</v>
      </c>
      <c r="L333" s="3">
        <v>0</v>
      </c>
      <c r="M333" s="5">
        <v>380.8</v>
      </c>
      <c r="N333" s="3">
        <f t="shared" ref="N333" si="152">M333*5500</f>
        <v>2094400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100000</v>
      </c>
      <c r="V333" s="6">
        <f>N333/M333</f>
        <v>5500</v>
      </c>
    </row>
    <row r="334" spans="1:258" ht="45" customHeight="1" x14ac:dyDescent="0.25">
      <c r="A334" s="54" t="s">
        <v>93</v>
      </c>
      <c r="B334" s="54"/>
      <c r="C334" s="2">
        <f>SUM(C335:C339)</f>
        <v>16147084.120000001</v>
      </c>
      <c r="D334" s="2">
        <f t="shared" ref="D334:U334" si="153">SUM(D335:D339)</f>
        <v>1375212.12</v>
      </c>
      <c r="E334" s="2">
        <f t="shared" si="153"/>
        <v>151690</v>
      </c>
      <c r="F334" s="2">
        <f t="shared" si="153"/>
        <v>1093502.1200000001</v>
      </c>
      <c r="G334" s="2">
        <f t="shared" si="153"/>
        <v>130020</v>
      </c>
      <c r="H334" s="2">
        <f t="shared" si="153"/>
        <v>0</v>
      </c>
      <c r="I334" s="2">
        <f t="shared" si="153"/>
        <v>0</v>
      </c>
      <c r="J334" s="2">
        <f t="shared" si="153"/>
        <v>0</v>
      </c>
      <c r="K334" s="14">
        <f t="shared" si="153"/>
        <v>5</v>
      </c>
      <c r="L334" s="2">
        <f t="shared" si="153"/>
        <v>11500000</v>
      </c>
      <c r="M334" s="2">
        <f t="shared" si="153"/>
        <v>752</v>
      </c>
      <c r="N334" s="2">
        <f t="shared" si="153"/>
        <v>2771872</v>
      </c>
      <c r="O334" s="2">
        <f t="shared" si="153"/>
        <v>0</v>
      </c>
      <c r="P334" s="2">
        <f t="shared" si="153"/>
        <v>0</v>
      </c>
      <c r="Q334" s="2">
        <f t="shared" si="153"/>
        <v>0</v>
      </c>
      <c r="R334" s="2">
        <f t="shared" si="153"/>
        <v>0</v>
      </c>
      <c r="S334" s="2">
        <f t="shared" si="153"/>
        <v>0</v>
      </c>
      <c r="T334" s="2">
        <f t="shared" si="153"/>
        <v>0</v>
      </c>
      <c r="U334" s="2">
        <f t="shared" si="153"/>
        <v>500000</v>
      </c>
    </row>
    <row r="335" spans="1:258" s="26" customFormat="1" ht="21.95" customHeight="1" x14ac:dyDescent="0.25">
      <c r="A335" s="37" t="s">
        <v>1574</v>
      </c>
      <c r="B335" s="8" t="s">
        <v>94</v>
      </c>
      <c r="C335" s="2">
        <f t="shared" si="122"/>
        <v>2771872</v>
      </c>
      <c r="D335" s="3">
        <f t="shared" ref="D335:D338" si="154">SUM(E335:J335)</f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4">
        <v>0</v>
      </c>
      <c r="L335" s="3">
        <v>0</v>
      </c>
      <c r="M335" s="5">
        <v>752</v>
      </c>
      <c r="N335" s="3">
        <f>M335*3686</f>
        <v>2771872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6">
        <f t="shared" ref="V335:V338" si="155">N335/M335</f>
        <v>3686</v>
      </c>
    </row>
    <row r="336" spans="1:258" s="6" customFormat="1" ht="21.95" customHeight="1" x14ac:dyDescent="0.25">
      <c r="A336" s="37" t="s">
        <v>1575</v>
      </c>
      <c r="B336" s="8" t="s">
        <v>95</v>
      </c>
      <c r="C336" s="2">
        <f>D336+L336+N336+P336+R336+S336+T336+U336</f>
        <v>381710</v>
      </c>
      <c r="D336" s="3">
        <f>SUM(E336:J336)</f>
        <v>281710</v>
      </c>
      <c r="E336" s="5">
        <f>350*433.4</f>
        <v>151690</v>
      </c>
      <c r="F336" s="5">
        <f>800*0</f>
        <v>0</v>
      </c>
      <c r="G336" s="5">
        <f>300*433.4</f>
        <v>130020</v>
      </c>
      <c r="H336" s="5">
        <f>500*0</f>
        <v>0</v>
      </c>
      <c r="I336" s="5">
        <v>0</v>
      </c>
      <c r="J336" s="5">
        <f>350*0</f>
        <v>0</v>
      </c>
      <c r="K336" s="11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100000</v>
      </c>
      <c r="V336" s="6" t="e">
        <f>N336/M336</f>
        <v>#DIV/0!</v>
      </c>
    </row>
    <row r="337" spans="1:22" s="6" customFormat="1" ht="21.95" customHeight="1" x14ac:dyDescent="0.25">
      <c r="A337" s="37" t="s">
        <v>1576</v>
      </c>
      <c r="B337" s="8" t="s">
        <v>98</v>
      </c>
      <c r="C337" s="2">
        <f t="shared" si="122"/>
        <v>4800000</v>
      </c>
      <c r="D337" s="3">
        <f t="shared" si="154"/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11">
        <v>2</v>
      </c>
      <c r="L337" s="5">
        <v>4600000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200000</v>
      </c>
      <c r="V337" s="6" t="e">
        <f t="shared" si="155"/>
        <v>#DIV/0!</v>
      </c>
    </row>
    <row r="338" spans="1:22" ht="21.95" customHeight="1" x14ac:dyDescent="0.25">
      <c r="A338" s="37" t="s">
        <v>1577</v>
      </c>
      <c r="B338" s="8" t="s">
        <v>100</v>
      </c>
      <c r="C338" s="2">
        <f t="shared" si="122"/>
        <v>7100000</v>
      </c>
      <c r="D338" s="3">
        <f t="shared" si="154"/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4">
        <v>3</v>
      </c>
      <c r="L338" s="3">
        <v>6900000</v>
      </c>
      <c r="M338" s="5">
        <v>0</v>
      </c>
      <c r="N338" s="5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200000</v>
      </c>
      <c r="V338" s="6" t="e">
        <f t="shared" si="155"/>
        <v>#DIV/0!</v>
      </c>
    </row>
    <row r="339" spans="1:22" ht="21.95" customHeight="1" x14ac:dyDescent="0.25">
      <c r="A339" s="37" t="s">
        <v>1578</v>
      </c>
      <c r="B339" s="8" t="s">
        <v>1211</v>
      </c>
      <c r="C339" s="2">
        <f>D339+L339+N339+P339+R339+S339+T339+U339</f>
        <v>1093502.1200000001</v>
      </c>
      <c r="D339" s="3">
        <f>SUM(E339:J339)</f>
        <v>1093502.1200000001</v>
      </c>
      <c r="E339" s="3">
        <v>0</v>
      </c>
      <c r="F339" s="3">
        <v>1093502.1200000001</v>
      </c>
      <c r="G339" s="3">
        <v>0</v>
      </c>
      <c r="H339" s="3">
        <v>0</v>
      </c>
      <c r="I339" s="3">
        <v>0</v>
      </c>
      <c r="J339" s="3">
        <v>0</v>
      </c>
      <c r="K339" s="4">
        <v>0</v>
      </c>
      <c r="L339" s="3">
        <v>0</v>
      </c>
      <c r="M339" s="5">
        <v>0</v>
      </c>
      <c r="N339" s="5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6" t="e">
        <f>N339/M339</f>
        <v>#DIV/0!</v>
      </c>
    </row>
    <row r="340" spans="1:22" ht="50.25" customHeight="1" x14ac:dyDescent="0.25">
      <c r="A340" s="54" t="s">
        <v>102</v>
      </c>
      <c r="B340" s="54"/>
      <c r="C340" s="2">
        <f>SUM(C341:C347)</f>
        <v>27876884.75</v>
      </c>
      <c r="D340" s="2">
        <f t="shared" ref="D340:U340" si="156">SUM(D341:D347)</f>
        <v>2151660</v>
      </c>
      <c r="E340" s="2">
        <f t="shared" si="156"/>
        <v>320460</v>
      </c>
      <c r="F340" s="2">
        <f t="shared" si="156"/>
        <v>961380</v>
      </c>
      <c r="G340" s="2">
        <f t="shared" si="156"/>
        <v>274680</v>
      </c>
      <c r="H340" s="2">
        <f t="shared" si="156"/>
        <v>366240</v>
      </c>
      <c r="I340" s="2">
        <f t="shared" si="156"/>
        <v>228900</v>
      </c>
      <c r="J340" s="2">
        <f t="shared" si="156"/>
        <v>0</v>
      </c>
      <c r="K340" s="14">
        <f t="shared" si="156"/>
        <v>0</v>
      </c>
      <c r="L340" s="2">
        <f t="shared" si="156"/>
        <v>0</v>
      </c>
      <c r="M340" s="2">
        <f t="shared" si="156"/>
        <v>4493.3999999999996</v>
      </c>
      <c r="N340" s="2">
        <f t="shared" si="156"/>
        <v>22945050</v>
      </c>
      <c r="O340" s="2">
        <f t="shared" si="156"/>
        <v>0</v>
      </c>
      <c r="P340" s="2">
        <f t="shared" si="156"/>
        <v>0</v>
      </c>
      <c r="Q340" s="2">
        <f t="shared" si="156"/>
        <v>942</v>
      </c>
      <c r="R340" s="2">
        <f t="shared" si="156"/>
        <v>2780174.75</v>
      </c>
      <c r="S340" s="2">
        <f t="shared" si="156"/>
        <v>0</v>
      </c>
      <c r="T340" s="2">
        <f t="shared" si="156"/>
        <v>0</v>
      </c>
      <c r="U340" s="2">
        <f t="shared" si="156"/>
        <v>0</v>
      </c>
    </row>
    <row r="341" spans="1:22" s="17" customFormat="1" ht="21.95" customHeight="1" x14ac:dyDescent="0.25">
      <c r="A341" s="37" t="s">
        <v>1579</v>
      </c>
      <c r="B341" s="8" t="s">
        <v>103</v>
      </c>
      <c r="C341" s="2">
        <f t="shared" si="122"/>
        <v>3696000</v>
      </c>
      <c r="D341" s="3">
        <f t="shared" ref="D341:D347" si="157">SUM(E341:J341)</f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4">
        <v>0</v>
      </c>
      <c r="L341" s="3">
        <v>0</v>
      </c>
      <c r="M341" s="5">
        <v>672</v>
      </c>
      <c r="N341" s="3">
        <f t="shared" ref="N341:N342" si="158">M341*5500</f>
        <v>3696000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6">
        <f t="shared" ref="V341:V347" si="159">N341/M341</f>
        <v>5500</v>
      </c>
    </row>
    <row r="342" spans="1:22" ht="21.95" customHeight="1" x14ac:dyDescent="0.25">
      <c r="A342" s="37" t="s">
        <v>1580</v>
      </c>
      <c r="B342" s="8" t="s">
        <v>105</v>
      </c>
      <c r="C342" s="2">
        <f t="shared" si="122"/>
        <v>3696000</v>
      </c>
      <c r="D342" s="3">
        <f t="shared" si="157"/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4">
        <v>0</v>
      </c>
      <c r="L342" s="3">
        <v>0</v>
      </c>
      <c r="M342" s="5">
        <v>672</v>
      </c>
      <c r="N342" s="3">
        <f t="shared" si="158"/>
        <v>3696000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6">
        <f t="shared" si="159"/>
        <v>5500</v>
      </c>
    </row>
    <row r="343" spans="1:22" ht="21.95" customHeight="1" x14ac:dyDescent="0.25">
      <c r="A343" s="37" t="s">
        <v>1581</v>
      </c>
      <c r="B343" s="8" t="s">
        <v>1209</v>
      </c>
      <c r="C343" s="2">
        <f t="shared" si="122"/>
        <v>3593850</v>
      </c>
      <c r="D343" s="3">
        <f t="shared" si="157"/>
        <v>0</v>
      </c>
      <c r="E343" s="3">
        <f>350*0</f>
        <v>0</v>
      </c>
      <c r="F343" s="3">
        <f>800*0</f>
        <v>0</v>
      </c>
      <c r="G343" s="3">
        <f>350*0</f>
        <v>0</v>
      </c>
      <c r="H343" s="3">
        <f>400*0</f>
        <v>0</v>
      </c>
      <c r="I343" s="3">
        <f>250*0</f>
        <v>0</v>
      </c>
      <c r="J343" s="3">
        <v>0</v>
      </c>
      <c r="K343" s="11">
        <v>0</v>
      </c>
      <c r="L343" s="5">
        <v>0</v>
      </c>
      <c r="M343" s="5">
        <v>975</v>
      </c>
      <c r="N343" s="5">
        <f>M343*3686</f>
        <v>3593850</v>
      </c>
      <c r="O343" s="5">
        <v>0</v>
      </c>
      <c r="P343" s="5">
        <v>0</v>
      </c>
      <c r="Q343" s="5">
        <v>0</v>
      </c>
      <c r="R343" s="5">
        <f>Q343*3000</f>
        <v>0</v>
      </c>
      <c r="S343" s="5">
        <v>0</v>
      </c>
      <c r="T343" s="5">
        <v>0</v>
      </c>
      <c r="U343" s="5">
        <v>0</v>
      </c>
      <c r="V343" s="6">
        <f t="shared" si="159"/>
        <v>3686</v>
      </c>
    </row>
    <row r="344" spans="1:22" ht="21" customHeight="1" x14ac:dyDescent="0.25">
      <c r="A344" s="37" t="s">
        <v>1582</v>
      </c>
      <c r="B344" s="8" t="s">
        <v>108</v>
      </c>
      <c r="C344" s="2">
        <f t="shared" si="122"/>
        <v>4931834.75</v>
      </c>
      <c r="D344" s="3">
        <f t="shared" si="157"/>
        <v>2151660</v>
      </c>
      <c r="E344" s="3">
        <f>350*915.6</f>
        <v>320460</v>
      </c>
      <c r="F344" s="3">
        <f>1050*915.6</f>
        <v>961380</v>
      </c>
      <c r="G344" s="3">
        <f>300*915.6</f>
        <v>274680</v>
      </c>
      <c r="H344" s="3">
        <f>400*915.6</f>
        <v>366240</v>
      </c>
      <c r="I344" s="3">
        <f>250*915.6</f>
        <v>228900</v>
      </c>
      <c r="J344" s="3">
        <v>0</v>
      </c>
      <c r="K344" s="4">
        <v>0</v>
      </c>
      <c r="L344" s="3">
        <v>0</v>
      </c>
      <c r="M344" s="5">
        <v>0</v>
      </c>
      <c r="N344" s="5">
        <v>0</v>
      </c>
      <c r="O344" s="3">
        <v>0</v>
      </c>
      <c r="P344" s="3">
        <v>0</v>
      </c>
      <c r="Q344" s="3">
        <v>942</v>
      </c>
      <c r="R344" s="3">
        <v>2780174.75</v>
      </c>
      <c r="S344" s="3">
        <v>0</v>
      </c>
      <c r="T344" s="3">
        <v>0</v>
      </c>
      <c r="U344" s="3">
        <v>0</v>
      </c>
      <c r="V344" s="6" t="e">
        <f t="shared" si="159"/>
        <v>#DIV/0!</v>
      </c>
    </row>
    <row r="345" spans="1:22" ht="21.95" customHeight="1" x14ac:dyDescent="0.25">
      <c r="A345" s="37" t="s">
        <v>1583</v>
      </c>
      <c r="B345" s="8" t="s">
        <v>113</v>
      </c>
      <c r="C345" s="2">
        <f t="shared" si="122"/>
        <v>3696000</v>
      </c>
      <c r="D345" s="3">
        <f t="shared" si="157"/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5">
        <v>672</v>
      </c>
      <c r="N345" s="3">
        <f t="shared" ref="N345:N347" si="160">M345*5500</f>
        <v>3696000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6">
        <f t="shared" si="159"/>
        <v>5500</v>
      </c>
    </row>
    <row r="346" spans="1:22" ht="21.95" customHeight="1" x14ac:dyDescent="0.25">
      <c r="A346" s="37" t="s">
        <v>1584</v>
      </c>
      <c r="B346" s="8" t="s">
        <v>114</v>
      </c>
      <c r="C346" s="2">
        <f t="shared" si="122"/>
        <v>4567200</v>
      </c>
      <c r="D346" s="3">
        <f t="shared" si="157"/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4">
        <v>0</v>
      </c>
      <c r="L346" s="3">
        <v>0</v>
      </c>
      <c r="M346" s="5">
        <v>830.4</v>
      </c>
      <c r="N346" s="3">
        <f t="shared" si="160"/>
        <v>4567200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6">
        <f t="shared" si="159"/>
        <v>5500</v>
      </c>
    </row>
    <row r="347" spans="1:22" ht="21.95" customHeight="1" x14ac:dyDescent="0.25">
      <c r="A347" s="37" t="s">
        <v>1585</v>
      </c>
      <c r="B347" s="8" t="s">
        <v>115</v>
      </c>
      <c r="C347" s="2">
        <f t="shared" si="122"/>
        <v>3696000</v>
      </c>
      <c r="D347" s="3">
        <f t="shared" si="157"/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4">
        <v>0</v>
      </c>
      <c r="L347" s="3">
        <v>0</v>
      </c>
      <c r="M347" s="5">
        <v>672</v>
      </c>
      <c r="N347" s="3">
        <f t="shared" si="160"/>
        <v>3696000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6">
        <f t="shared" si="159"/>
        <v>5500</v>
      </c>
    </row>
    <row r="348" spans="1:22" ht="45" customHeight="1" x14ac:dyDescent="0.25">
      <c r="A348" s="54" t="s">
        <v>116</v>
      </c>
      <c r="B348" s="54"/>
      <c r="C348" s="2">
        <f>SUM(C349)</f>
        <v>1540000</v>
      </c>
      <c r="D348" s="2">
        <f t="shared" ref="D348:U348" si="161">SUM(D349)</f>
        <v>0</v>
      </c>
      <c r="E348" s="2">
        <f t="shared" si="161"/>
        <v>0</v>
      </c>
      <c r="F348" s="2">
        <f t="shared" si="161"/>
        <v>0</v>
      </c>
      <c r="G348" s="2">
        <f t="shared" si="161"/>
        <v>0</v>
      </c>
      <c r="H348" s="2">
        <f t="shared" si="161"/>
        <v>0</v>
      </c>
      <c r="I348" s="2">
        <f t="shared" si="161"/>
        <v>0</v>
      </c>
      <c r="J348" s="2">
        <f t="shared" si="161"/>
        <v>0</v>
      </c>
      <c r="K348" s="14">
        <f t="shared" si="161"/>
        <v>0</v>
      </c>
      <c r="L348" s="2">
        <f t="shared" si="161"/>
        <v>0</v>
      </c>
      <c r="M348" s="2">
        <f t="shared" si="161"/>
        <v>280</v>
      </c>
      <c r="N348" s="2">
        <f t="shared" si="161"/>
        <v>1540000</v>
      </c>
      <c r="O348" s="2">
        <f t="shared" si="161"/>
        <v>0</v>
      </c>
      <c r="P348" s="2">
        <f t="shared" si="161"/>
        <v>0</v>
      </c>
      <c r="Q348" s="2">
        <f t="shared" si="161"/>
        <v>0</v>
      </c>
      <c r="R348" s="2">
        <f t="shared" si="161"/>
        <v>0</v>
      </c>
      <c r="S348" s="2">
        <f t="shared" si="161"/>
        <v>0</v>
      </c>
      <c r="T348" s="2">
        <f t="shared" si="161"/>
        <v>0</v>
      </c>
      <c r="U348" s="2">
        <f t="shared" si="161"/>
        <v>0</v>
      </c>
      <c r="V348" s="18"/>
    </row>
    <row r="349" spans="1:22" ht="21.95" customHeight="1" x14ac:dyDescent="0.25">
      <c r="A349" s="37" t="s">
        <v>1586</v>
      </c>
      <c r="B349" s="8" t="s">
        <v>118</v>
      </c>
      <c r="C349" s="2">
        <f t="shared" si="122"/>
        <v>1540000</v>
      </c>
      <c r="D349" s="3">
        <f t="shared" ref="D349" si="162">SUM(E349:J349)</f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4">
        <v>0</v>
      </c>
      <c r="L349" s="3">
        <v>0</v>
      </c>
      <c r="M349" s="5">
        <v>280</v>
      </c>
      <c r="N349" s="3">
        <f t="shared" ref="N349" si="163">M349*5500</f>
        <v>1540000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6">
        <f>N349/M349</f>
        <v>5500</v>
      </c>
    </row>
    <row r="350" spans="1:22" ht="45" customHeight="1" x14ac:dyDescent="0.25">
      <c r="A350" s="54" t="s">
        <v>1195</v>
      </c>
      <c r="B350" s="54"/>
      <c r="C350" s="2">
        <f>SUM(C351)</f>
        <v>100000</v>
      </c>
      <c r="D350" s="2">
        <f t="shared" ref="D350:U350" si="164">SUM(D351)</f>
        <v>0</v>
      </c>
      <c r="E350" s="2">
        <f t="shared" si="164"/>
        <v>0</v>
      </c>
      <c r="F350" s="2">
        <f t="shared" si="164"/>
        <v>0</v>
      </c>
      <c r="G350" s="2">
        <f t="shared" si="164"/>
        <v>0</v>
      </c>
      <c r="H350" s="2">
        <f t="shared" si="164"/>
        <v>0</v>
      </c>
      <c r="I350" s="2">
        <f t="shared" si="164"/>
        <v>0</v>
      </c>
      <c r="J350" s="2">
        <f t="shared" si="164"/>
        <v>0</v>
      </c>
      <c r="K350" s="14">
        <f t="shared" si="164"/>
        <v>0</v>
      </c>
      <c r="L350" s="2">
        <f t="shared" si="164"/>
        <v>0</v>
      </c>
      <c r="M350" s="2">
        <f t="shared" si="164"/>
        <v>0</v>
      </c>
      <c r="N350" s="2">
        <f t="shared" si="164"/>
        <v>0</v>
      </c>
      <c r="O350" s="2">
        <f t="shared" si="164"/>
        <v>0</v>
      </c>
      <c r="P350" s="2">
        <f t="shared" si="164"/>
        <v>0</v>
      </c>
      <c r="Q350" s="2">
        <f t="shared" si="164"/>
        <v>0</v>
      </c>
      <c r="R350" s="2">
        <f t="shared" si="164"/>
        <v>0</v>
      </c>
      <c r="S350" s="2">
        <f t="shared" si="164"/>
        <v>0</v>
      </c>
      <c r="T350" s="2">
        <f t="shared" si="164"/>
        <v>0</v>
      </c>
      <c r="U350" s="2">
        <f t="shared" si="164"/>
        <v>100000</v>
      </c>
      <c r="V350" s="18"/>
    </row>
    <row r="351" spans="1:22" ht="21.95" customHeight="1" x14ac:dyDescent="0.25">
      <c r="A351" s="37" t="s">
        <v>1587</v>
      </c>
      <c r="B351" s="8" t="s">
        <v>1196</v>
      </c>
      <c r="C351" s="2">
        <f>D351+L351+N351+P351+R351+S351+T351+U351</f>
        <v>100000</v>
      </c>
      <c r="D351" s="3">
        <f t="shared" ref="D351" si="165">SUM(E351:J351)</f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4">
        <v>0</v>
      </c>
      <c r="L351" s="3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100000</v>
      </c>
      <c r="V351" s="6" t="e">
        <f t="shared" ref="V351" si="166">N351/M351</f>
        <v>#DIV/0!</v>
      </c>
    </row>
    <row r="352" spans="1:22" ht="45" customHeight="1" x14ac:dyDescent="0.25">
      <c r="A352" s="54" t="s">
        <v>124</v>
      </c>
      <c r="B352" s="54"/>
      <c r="C352" s="2">
        <f>SUM(C353:C355)</f>
        <v>6687150</v>
      </c>
      <c r="D352" s="2">
        <f t="shared" ref="D352:U352" si="167">SUM(D353:D355)</f>
        <v>0</v>
      </c>
      <c r="E352" s="2">
        <f t="shared" si="167"/>
        <v>0</v>
      </c>
      <c r="F352" s="2">
        <f t="shared" si="167"/>
        <v>0</v>
      </c>
      <c r="G352" s="2">
        <f t="shared" si="167"/>
        <v>0</v>
      </c>
      <c r="H352" s="2">
        <f t="shared" si="167"/>
        <v>0</v>
      </c>
      <c r="I352" s="2">
        <f t="shared" si="167"/>
        <v>0</v>
      </c>
      <c r="J352" s="2">
        <f t="shared" si="167"/>
        <v>0</v>
      </c>
      <c r="K352" s="14">
        <f t="shared" si="167"/>
        <v>0</v>
      </c>
      <c r="L352" s="2">
        <f t="shared" si="167"/>
        <v>0</v>
      </c>
      <c r="M352" s="2">
        <f t="shared" si="167"/>
        <v>967.05</v>
      </c>
      <c r="N352" s="2">
        <f t="shared" si="167"/>
        <v>5837150</v>
      </c>
      <c r="O352" s="2">
        <f t="shared" si="167"/>
        <v>0</v>
      </c>
      <c r="P352" s="2">
        <f t="shared" si="167"/>
        <v>0</v>
      </c>
      <c r="Q352" s="2">
        <f t="shared" si="167"/>
        <v>0</v>
      </c>
      <c r="R352" s="2">
        <f t="shared" si="167"/>
        <v>0</v>
      </c>
      <c r="S352" s="2">
        <f t="shared" si="167"/>
        <v>0</v>
      </c>
      <c r="T352" s="2">
        <f t="shared" si="167"/>
        <v>0</v>
      </c>
      <c r="U352" s="2">
        <f t="shared" si="167"/>
        <v>850000</v>
      </c>
    </row>
    <row r="353" spans="1:22" ht="21.95" customHeight="1" x14ac:dyDescent="0.25">
      <c r="A353" s="37" t="s">
        <v>1588</v>
      </c>
      <c r="B353" s="1" t="s">
        <v>121</v>
      </c>
      <c r="C353" s="2">
        <f t="shared" si="122"/>
        <v>808500</v>
      </c>
      <c r="D353" s="3">
        <f t="shared" ref="D353:D355" si="168"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4">
        <v>0</v>
      </c>
      <c r="L353" s="3">
        <v>0</v>
      </c>
      <c r="M353" s="3">
        <v>147</v>
      </c>
      <c r="N353" s="3">
        <f t="shared" ref="N353:N355" si="169">M353*5500</f>
        <v>808500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6">
        <f t="shared" ref="V353:V355" si="170">N353/M353</f>
        <v>5500</v>
      </c>
    </row>
    <row r="354" spans="1:22" ht="21.95" customHeight="1" x14ac:dyDescent="0.25">
      <c r="A354" s="37" t="s">
        <v>1589</v>
      </c>
      <c r="B354" s="1" t="s">
        <v>122</v>
      </c>
      <c r="C354" s="2">
        <f>D354+L354+N354+P354+R354+S354+T354+U354</f>
        <v>3960250</v>
      </c>
      <c r="D354" s="3">
        <f>SUM(E354:J354)</f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11">
        <v>0</v>
      </c>
      <c r="L354" s="5">
        <v>0</v>
      </c>
      <c r="M354" s="5">
        <v>471.25</v>
      </c>
      <c r="N354" s="5">
        <f>M354*6600</f>
        <v>3110250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850000</v>
      </c>
      <c r="V354" s="6">
        <f>N354/M354</f>
        <v>6600</v>
      </c>
    </row>
    <row r="355" spans="1:22" ht="21.95" customHeight="1" x14ac:dyDescent="0.25">
      <c r="A355" s="37" t="s">
        <v>1590</v>
      </c>
      <c r="B355" s="1" t="s">
        <v>123</v>
      </c>
      <c r="C355" s="2">
        <f t="shared" si="122"/>
        <v>1918400</v>
      </c>
      <c r="D355" s="3">
        <f t="shared" si="168"/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11">
        <v>0</v>
      </c>
      <c r="L355" s="5">
        <v>0</v>
      </c>
      <c r="M355" s="5">
        <v>348.8</v>
      </c>
      <c r="N355" s="3">
        <f t="shared" si="169"/>
        <v>1918400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6">
        <f t="shared" si="170"/>
        <v>5500</v>
      </c>
    </row>
    <row r="356" spans="1:22" ht="45" customHeight="1" x14ac:dyDescent="0.25">
      <c r="A356" s="54" t="s">
        <v>127</v>
      </c>
      <c r="B356" s="54"/>
      <c r="C356" s="2">
        <f>SUM(C357)</f>
        <v>2728025</v>
      </c>
      <c r="D356" s="2">
        <f t="shared" ref="D356:U356" si="171">SUM(D357)</f>
        <v>123025</v>
      </c>
      <c r="E356" s="2">
        <f t="shared" si="171"/>
        <v>123025</v>
      </c>
      <c r="F356" s="2">
        <f t="shared" si="171"/>
        <v>0</v>
      </c>
      <c r="G356" s="2">
        <f t="shared" si="171"/>
        <v>0</v>
      </c>
      <c r="H356" s="2">
        <f t="shared" si="171"/>
        <v>0</v>
      </c>
      <c r="I356" s="2">
        <f t="shared" si="171"/>
        <v>0</v>
      </c>
      <c r="J356" s="2">
        <f t="shared" si="171"/>
        <v>0</v>
      </c>
      <c r="K356" s="14">
        <f t="shared" si="171"/>
        <v>0</v>
      </c>
      <c r="L356" s="2">
        <f t="shared" si="171"/>
        <v>0</v>
      </c>
      <c r="M356" s="2">
        <f t="shared" si="171"/>
        <v>282</v>
      </c>
      <c r="N356" s="2">
        <f t="shared" si="171"/>
        <v>1551000</v>
      </c>
      <c r="O356" s="2">
        <f t="shared" si="171"/>
        <v>0</v>
      </c>
      <c r="P356" s="2">
        <f t="shared" si="171"/>
        <v>0</v>
      </c>
      <c r="Q356" s="2">
        <f t="shared" si="171"/>
        <v>318</v>
      </c>
      <c r="R356" s="2">
        <f t="shared" si="171"/>
        <v>954000</v>
      </c>
      <c r="S356" s="2">
        <f t="shared" si="171"/>
        <v>0</v>
      </c>
      <c r="T356" s="2">
        <f t="shared" si="171"/>
        <v>0</v>
      </c>
      <c r="U356" s="2">
        <f t="shared" si="171"/>
        <v>100000</v>
      </c>
      <c r="V356" s="18"/>
    </row>
    <row r="357" spans="1:22" ht="21.95" customHeight="1" x14ac:dyDescent="0.25">
      <c r="A357" s="36" t="s">
        <v>1591</v>
      </c>
      <c r="B357" s="8" t="s">
        <v>125</v>
      </c>
      <c r="C357" s="2">
        <f t="shared" si="122"/>
        <v>2728025</v>
      </c>
      <c r="D357" s="3">
        <f t="shared" ref="D357" si="172">SUM(E357:J357)</f>
        <v>123025</v>
      </c>
      <c r="E357" s="3">
        <f>350*351.5</f>
        <v>123025</v>
      </c>
      <c r="F357" s="3">
        <f>800*0</f>
        <v>0</v>
      </c>
      <c r="G357" s="3">
        <f>350*0</f>
        <v>0</v>
      </c>
      <c r="H357" s="3">
        <f>400*0</f>
        <v>0</v>
      </c>
      <c r="I357" s="3">
        <f>250*0</f>
        <v>0</v>
      </c>
      <c r="J357" s="3">
        <v>0</v>
      </c>
      <c r="K357" s="11">
        <v>0</v>
      </c>
      <c r="L357" s="5">
        <v>0</v>
      </c>
      <c r="M357" s="5">
        <v>282</v>
      </c>
      <c r="N357" s="3">
        <f t="shared" ref="N357" si="173">M357*5500</f>
        <v>1551000</v>
      </c>
      <c r="O357" s="5">
        <v>0</v>
      </c>
      <c r="P357" s="5">
        <v>0</v>
      </c>
      <c r="Q357" s="5">
        <v>318</v>
      </c>
      <c r="R357" s="3">
        <f>Q357*3000</f>
        <v>954000</v>
      </c>
      <c r="S357" s="5">
        <v>0</v>
      </c>
      <c r="T357" s="5">
        <v>0</v>
      </c>
      <c r="U357" s="5">
        <v>100000</v>
      </c>
      <c r="V357" s="6">
        <f t="shared" ref="V357" si="174">N357/M357</f>
        <v>5500</v>
      </c>
    </row>
    <row r="358" spans="1:22" ht="45" customHeight="1" x14ac:dyDescent="0.25">
      <c r="A358" s="54" t="s">
        <v>131</v>
      </c>
      <c r="B358" s="54"/>
      <c r="C358" s="2">
        <f>SUM(C359:C360)</f>
        <v>6356362.3600000003</v>
      </c>
      <c r="D358" s="2">
        <f t="shared" ref="D358:U358" si="175">SUM(D359:D360)</f>
        <v>0</v>
      </c>
      <c r="E358" s="2">
        <f t="shared" si="175"/>
        <v>0</v>
      </c>
      <c r="F358" s="2">
        <f t="shared" si="175"/>
        <v>0</v>
      </c>
      <c r="G358" s="2">
        <f t="shared" si="175"/>
        <v>0</v>
      </c>
      <c r="H358" s="2">
        <f t="shared" si="175"/>
        <v>0</v>
      </c>
      <c r="I358" s="2">
        <f t="shared" si="175"/>
        <v>0</v>
      </c>
      <c r="J358" s="2">
        <f t="shared" si="175"/>
        <v>0</v>
      </c>
      <c r="K358" s="14">
        <f t="shared" si="175"/>
        <v>0</v>
      </c>
      <c r="L358" s="2">
        <f t="shared" si="175"/>
        <v>0</v>
      </c>
      <c r="M358" s="2">
        <f t="shared" si="175"/>
        <v>1732.06</v>
      </c>
      <c r="N358" s="2">
        <f t="shared" si="175"/>
        <v>6356362.3600000003</v>
      </c>
      <c r="O358" s="2">
        <f t="shared" si="175"/>
        <v>0</v>
      </c>
      <c r="P358" s="2">
        <f t="shared" si="175"/>
        <v>0</v>
      </c>
      <c r="Q358" s="2">
        <f t="shared" si="175"/>
        <v>0</v>
      </c>
      <c r="R358" s="2">
        <f t="shared" si="175"/>
        <v>0</v>
      </c>
      <c r="S358" s="2">
        <f t="shared" si="175"/>
        <v>0</v>
      </c>
      <c r="T358" s="2">
        <f t="shared" si="175"/>
        <v>0</v>
      </c>
      <c r="U358" s="2">
        <f t="shared" si="175"/>
        <v>0</v>
      </c>
    </row>
    <row r="359" spans="1:22" ht="21.95" customHeight="1" x14ac:dyDescent="0.25">
      <c r="A359" s="37" t="s">
        <v>1592</v>
      </c>
      <c r="B359" s="8" t="s">
        <v>1201</v>
      </c>
      <c r="C359" s="2">
        <f t="shared" ref="C359:C420" si="176">D359+L359+N359+P359+R359+S359+T359+U359</f>
        <v>4543533.3600000003</v>
      </c>
      <c r="D359" s="3">
        <f t="shared" ref="D359:D360" si="177">SUM(E359:J359)</f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1388.6</v>
      </c>
      <c r="N359" s="3">
        <v>4543533.3600000003</v>
      </c>
      <c r="O359" s="3">
        <v>0</v>
      </c>
      <c r="P359" s="3">
        <v>0</v>
      </c>
      <c r="Q359" s="3">
        <v>0</v>
      </c>
      <c r="R359" s="5">
        <v>0</v>
      </c>
      <c r="S359" s="3">
        <v>0</v>
      </c>
      <c r="T359" s="3">
        <v>0</v>
      </c>
      <c r="U359" s="3">
        <v>0</v>
      </c>
      <c r="V359" s="6">
        <f t="shared" ref="V359:V360" si="178">N359/M359</f>
        <v>3272.0246003168663</v>
      </c>
    </row>
    <row r="360" spans="1:22" ht="21.95" customHeight="1" x14ac:dyDescent="0.25">
      <c r="A360" s="37" t="s">
        <v>1593</v>
      </c>
      <c r="B360" s="8" t="s">
        <v>128</v>
      </c>
      <c r="C360" s="2">
        <f t="shared" si="176"/>
        <v>1812829</v>
      </c>
      <c r="D360" s="3">
        <f t="shared" si="177"/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4">
        <v>0</v>
      </c>
      <c r="L360" s="3">
        <v>0</v>
      </c>
      <c r="M360" s="3">
        <v>343.46</v>
      </c>
      <c r="N360" s="3">
        <v>1812829</v>
      </c>
      <c r="O360" s="3">
        <v>0</v>
      </c>
      <c r="P360" s="3">
        <v>0</v>
      </c>
      <c r="Q360" s="3">
        <v>0</v>
      </c>
      <c r="R360" s="5">
        <v>0</v>
      </c>
      <c r="S360" s="3">
        <v>0</v>
      </c>
      <c r="T360" s="3">
        <v>0</v>
      </c>
      <c r="U360" s="3">
        <v>0</v>
      </c>
      <c r="V360" s="6">
        <f t="shared" si="178"/>
        <v>5278.1371921038844</v>
      </c>
    </row>
    <row r="361" spans="1:22" ht="45" customHeight="1" x14ac:dyDescent="0.25">
      <c r="A361" s="54" t="s">
        <v>1205</v>
      </c>
      <c r="B361" s="54"/>
      <c r="C361" s="2">
        <f>SUM(C362)</f>
        <v>1450900</v>
      </c>
      <c r="D361" s="2">
        <f t="shared" ref="D361:U361" si="179">SUM(D362)</f>
        <v>0</v>
      </c>
      <c r="E361" s="2">
        <f t="shared" si="179"/>
        <v>0</v>
      </c>
      <c r="F361" s="2">
        <f t="shared" si="179"/>
        <v>0</v>
      </c>
      <c r="G361" s="2">
        <f t="shared" si="179"/>
        <v>0</v>
      </c>
      <c r="H361" s="2">
        <f t="shared" si="179"/>
        <v>0</v>
      </c>
      <c r="I361" s="2">
        <f t="shared" si="179"/>
        <v>0</v>
      </c>
      <c r="J361" s="2">
        <f t="shared" si="179"/>
        <v>0</v>
      </c>
      <c r="K361" s="14">
        <f t="shared" si="179"/>
        <v>0</v>
      </c>
      <c r="L361" s="2">
        <f t="shared" si="179"/>
        <v>0</v>
      </c>
      <c r="M361" s="2">
        <f t="shared" si="179"/>
        <v>263.8</v>
      </c>
      <c r="N361" s="2">
        <f t="shared" si="179"/>
        <v>1450900</v>
      </c>
      <c r="O361" s="2">
        <f t="shared" si="179"/>
        <v>0</v>
      </c>
      <c r="P361" s="2">
        <f t="shared" si="179"/>
        <v>0</v>
      </c>
      <c r="Q361" s="2">
        <f t="shared" si="179"/>
        <v>0</v>
      </c>
      <c r="R361" s="2">
        <f t="shared" si="179"/>
        <v>0</v>
      </c>
      <c r="S361" s="2">
        <f t="shared" si="179"/>
        <v>0</v>
      </c>
      <c r="T361" s="2">
        <f t="shared" si="179"/>
        <v>0</v>
      </c>
      <c r="U361" s="2">
        <f t="shared" si="179"/>
        <v>0</v>
      </c>
      <c r="V361" s="18">
        <f>C361</f>
        <v>1450900</v>
      </c>
    </row>
    <row r="362" spans="1:22" ht="21.95" customHeight="1" x14ac:dyDescent="0.25">
      <c r="A362" s="37" t="s">
        <v>1594</v>
      </c>
      <c r="B362" s="8" t="s">
        <v>129</v>
      </c>
      <c r="C362" s="2">
        <f t="shared" si="176"/>
        <v>1450900</v>
      </c>
      <c r="D362" s="3">
        <f t="shared" ref="D362" si="180">SUM(E362:J362)</f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4">
        <v>0</v>
      </c>
      <c r="L362" s="3">
        <v>0</v>
      </c>
      <c r="M362" s="3">
        <v>263.8</v>
      </c>
      <c r="N362" s="3">
        <f t="shared" ref="N362" si="181">M362*5500</f>
        <v>1450900</v>
      </c>
      <c r="O362" s="3">
        <v>0</v>
      </c>
      <c r="P362" s="3">
        <v>0</v>
      </c>
      <c r="Q362" s="3">
        <v>0</v>
      </c>
      <c r="R362" s="5">
        <v>0</v>
      </c>
      <c r="S362" s="3">
        <v>0</v>
      </c>
      <c r="T362" s="3">
        <v>0</v>
      </c>
      <c r="U362" s="3">
        <v>0</v>
      </c>
      <c r="V362" s="6">
        <f t="shared" ref="V362" si="182">N362/M362</f>
        <v>5500</v>
      </c>
    </row>
    <row r="363" spans="1:22" ht="45" customHeight="1" x14ac:dyDescent="0.25">
      <c r="A363" s="63" t="s">
        <v>132</v>
      </c>
      <c r="B363" s="64"/>
      <c r="C363" s="2">
        <f>SUM(C364)</f>
        <v>1742600</v>
      </c>
      <c r="D363" s="2">
        <f t="shared" ref="D363:U363" si="183">SUM(D364)</f>
        <v>0</v>
      </c>
      <c r="E363" s="2">
        <f t="shared" si="183"/>
        <v>0</v>
      </c>
      <c r="F363" s="2">
        <f t="shared" si="183"/>
        <v>0</v>
      </c>
      <c r="G363" s="2">
        <f t="shared" si="183"/>
        <v>0</v>
      </c>
      <c r="H363" s="2">
        <f t="shared" si="183"/>
        <v>0</v>
      </c>
      <c r="I363" s="2">
        <f t="shared" si="183"/>
        <v>0</v>
      </c>
      <c r="J363" s="2">
        <f t="shared" si="183"/>
        <v>0</v>
      </c>
      <c r="K363" s="14">
        <f t="shared" si="183"/>
        <v>0</v>
      </c>
      <c r="L363" s="2">
        <f t="shared" si="183"/>
        <v>0</v>
      </c>
      <c r="M363" s="2">
        <f t="shared" si="183"/>
        <v>0</v>
      </c>
      <c r="N363" s="2">
        <f t="shared" si="183"/>
        <v>0</v>
      </c>
      <c r="O363" s="2">
        <f t="shared" si="183"/>
        <v>0</v>
      </c>
      <c r="P363" s="2">
        <f t="shared" si="183"/>
        <v>0</v>
      </c>
      <c r="Q363" s="2">
        <f t="shared" si="183"/>
        <v>496</v>
      </c>
      <c r="R363" s="2">
        <f t="shared" si="183"/>
        <v>1587200</v>
      </c>
      <c r="S363" s="2">
        <f t="shared" si="183"/>
        <v>155400</v>
      </c>
      <c r="T363" s="2">
        <f t="shared" si="183"/>
        <v>0</v>
      </c>
      <c r="U363" s="2">
        <f t="shared" si="183"/>
        <v>0</v>
      </c>
      <c r="V363" s="18" t="e">
        <f>C363+#REF!</f>
        <v>#REF!</v>
      </c>
    </row>
    <row r="364" spans="1:22" ht="21" customHeight="1" x14ac:dyDescent="0.25">
      <c r="A364" s="37" t="s">
        <v>1595</v>
      </c>
      <c r="B364" s="8" t="s">
        <v>1061</v>
      </c>
      <c r="C364" s="2">
        <f t="shared" ref="C364" si="184">D364+L364+N364+P364+R364+S364+T364+U364</f>
        <v>1742600</v>
      </c>
      <c r="D364" s="3">
        <f>SUM(E364:J364)</f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4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496</v>
      </c>
      <c r="R364" s="3">
        <f>Q364*3200</f>
        <v>1587200</v>
      </c>
      <c r="S364" s="3">
        <v>155400</v>
      </c>
      <c r="T364" s="3">
        <v>0</v>
      </c>
      <c r="U364" s="3">
        <v>0</v>
      </c>
      <c r="V364" s="6" t="e">
        <f>N364/M364</f>
        <v>#DIV/0!</v>
      </c>
    </row>
    <row r="365" spans="1:22" ht="45" customHeight="1" x14ac:dyDescent="0.25">
      <c r="A365" s="54" t="s">
        <v>133</v>
      </c>
      <c r="B365" s="54"/>
      <c r="C365" s="2">
        <f>SUM(C366:C368)</f>
        <v>3593850</v>
      </c>
      <c r="D365" s="2">
        <f t="shared" ref="D365:U365" si="185">SUM(D366:D368)</f>
        <v>0</v>
      </c>
      <c r="E365" s="2">
        <f t="shared" si="185"/>
        <v>0</v>
      </c>
      <c r="F365" s="2">
        <f t="shared" si="185"/>
        <v>0</v>
      </c>
      <c r="G365" s="2">
        <f t="shared" si="185"/>
        <v>0</v>
      </c>
      <c r="H365" s="2">
        <f t="shared" si="185"/>
        <v>0</v>
      </c>
      <c r="I365" s="2">
        <f t="shared" si="185"/>
        <v>0</v>
      </c>
      <c r="J365" s="2">
        <f t="shared" si="185"/>
        <v>0</v>
      </c>
      <c r="K365" s="14">
        <f t="shared" si="185"/>
        <v>0</v>
      </c>
      <c r="L365" s="2">
        <f t="shared" si="185"/>
        <v>0</v>
      </c>
      <c r="M365" s="2">
        <f t="shared" si="185"/>
        <v>975</v>
      </c>
      <c r="N365" s="2">
        <f t="shared" si="185"/>
        <v>3593850</v>
      </c>
      <c r="O365" s="2">
        <f t="shared" si="185"/>
        <v>0</v>
      </c>
      <c r="P365" s="2">
        <f t="shared" si="185"/>
        <v>0</v>
      </c>
      <c r="Q365" s="2">
        <f t="shared" si="185"/>
        <v>0</v>
      </c>
      <c r="R365" s="2">
        <f t="shared" si="185"/>
        <v>0</v>
      </c>
      <c r="S365" s="2">
        <f t="shared" si="185"/>
        <v>0</v>
      </c>
      <c r="T365" s="2">
        <f t="shared" si="185"/>
        <v>0</v>
      </c>
      <c r="U365" s="2">
        <f t="shared" si="185"/>
        <v>0</v>
      </c>
    </row>
    <row r="366" spans="1:22" ht="21.95" customHeight="1" x14ac:dyDescent="0.25">
      <c r="A366" s="36" t="s">
        <v>1596</v>
      </c>
      <c r="B366" s="8" t="s">
        <v>1021</v>
      </c>
      <c r="C366" s="2">
        <f t="shared" si="176"/>
        <v>1197950</v>
      </c>
      <c r="D366" s="3">
        <f t="shared" ref="D366:D368" si="186">SUM(E366:J366)</f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11">
        <v>0</v>
      </c>
      <c r="L366" s="5">
        <v>0</v>
      </c>
      <c r="M366" s="5">
        <v>325</v>
      </c>
      <c r="N366" s="3">
        <f t="shared" ref="N366:N368" si="187">M366*3686</f>
        <v>1197950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6">
        <f t="shared" ref="V366:V367" si="188">N366/M366</f>
        <v>3686</v>
      </c>
    </row>
    <row r="367" spans="1:22" ht="21.95" customHeight="1" x14ac:dyDescent="0.25">
      <c r="A367" s="36" t="s">
        <v>1597</v>
      </c>
      <c r="B367" s="8" t="s">
        <v>137</v>
      </c>
      <c r="C367" s="2">
        <f t="shared" si="176"/>
        <v>1197950</v>
      </c>
      <c r="D367" s="3">
        <f t="shared" si="186"/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4">
        <v>0</v>
      </c>
      <c r="L367" s="3">
        <v>0</v>
      </c>
      <c r="M367" s="3">
        <v>325</v>
      </c>
      <c r="N367" s="3">
        <f t="shared" si="187"/>
        <v>1197950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6">
        <f t="shared" si="188"/>
        <v>3686</v>
      </c>
    </row>
    <row r="368" spans="1:22" ht="21.95" customHeight="1" x14ac:dyDescent="0.25">
      <c r="A368" s="36" t="s">
        <v>1598</v>
      </c>
      <c r="B368" s="8" t="s">
        <v>138</v>
      </c>
      <c r="C368" s="2">
        <f t="shared" si="176"/>
        <v>1197950</v>
      </c>
      <c r="D368" s="3">
        <f t="shared" si="186"/>
        <v>0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4">
        <v>0</v>
      </c>
      <c r="L368" s="3">
        <v>0</v>
      </c>
      <c r="M368" s="3">
        <v>325</v>
      </c>
      <c r="N368" s="3">
        <f t="shared" si="187"/>
        <v>1197950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6">
        <f>N368/M368</f>
        <v>3686</v>
      </c>
    </row>
    <row r="369" spans="1:22" ht="45" customHeight="1" x14ac:dyDescent="0.25">
      <c r="A369" s="54" t="s">
        <v>139</v>
      </c>
      <c r="B369" s="54"/>
      <c r="C369" s="2">
        <f>SUM(C370:C372)</f>
        <v>6798000</v>
      </c>
      <c r="D369" s="2">
        <f t="shared" ref="D369:U369" si="189">SUM(D370:D372)</f>
        <v>0</v>
      </c>
      <c r="E369" s="2">
        <f t="shared" si="189"/>
        <v>0</v>
      </c>
      <c r="F369" s="2">
        <f t="shared" si="189"/>
        <v>0</v>
      </c>
      <c r="G369" s="2">
        <f t="shared" si="189"/>
        <v>0</v>
      </c>
      <c r="H369" s="2">
        <f t="shared" si="189"/>
        <v>0</v>
      </c>
      <c r="I369" s="2">
        <f t="shared" si="189"/>
        <v>0</v>
      </c>
      <c r="J369" s="2">
        <f t="shared" si="189"/>
        <v>0</v>
      </c>
      <c r="K369" s="14">
        <f t="shared" si="189"/>
        <v>0</v>
      </c>
      <c r="L369" s="2">
        <f t="shared" si="189"/>
        <v>0</v>
      </c>
      <c r="M369" s="2">
        <f t="shared" si="189"/>
        <v>1236</v>
      </c>
      <c r="N369" s="2">
        <f t="shared" si="189"/>
        <v>6798000</v>
      </c>
      <c r="O369" s="2">
        <f t="shared" si="189"/>
        <v>0</v>
      </c>
      <c r="P369" s="2">
        <f t="shared" si="189"/>
        <v>0</v>
      </c>
      <c r="Q369" s="2">
        <f t="shared" si="189"/>
        <v>0</v>
      </c>
      <c r="R369" s="2">
        <f t="shared" si="189"/>
        <v>0</v>
      </c>
      <c r="S369" s="2">
        <f t="shared" si="189"/>
        <v>0</v>
      </c>
      <c r="T369" s="2">
        <f t="shared" si="189"/>
        <v>0</v>
      </c>
      <c r="U369" s="2">
        <f t="shared" si="189"/>
        <v>0</v>
      </c>
    </row>
    <row r="370" spans="1:22" ht="32.25" customHeight="1" x14ac:dyDescent="0.25">
      <c r="A370" s="36" t="s">
        <v>1599</v>
      </c>
      <c r="B370" s="8" t="s">
        <v>1062</v>
      </c>
      <c r="C370" s="2">
        <f t="shared" ref="C370" si="190">D370+L370+N370+P370+R370+S370+T370+U370</f>
        <v>2244000</v>
      </c>
      <c r="D370" s="3">
        <f t="shared" ref="D370" si="191">SUM(E370:J370)</f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4">
        <v>0</v>
      </c>
      <c r="L370" s="3">
        <v>0</v>
      </c>
      <c r="M370" s="3">
        <v>408</v>
      </c>
      <c r="N370" s="5">
        <f>M370*5500</f>
        <v>2244000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6">
        <f t="shared" ref="V370" si="192">N370/M370</f>
        <v>5500</v>
      </c>
    </row>
    <row r="371" spans="1:22" ht="21.95" customHeight="1" x14ac:dyDescent="0.25">
      <c r="A371" s="36" t="s">
        <v>1600</v>
      </c>
      <c r="B371" s="8" t="s">
        <v>140</v>
      </c>
      <c r="C371" s="2">
        <f t="shared" si="176"/>
        <v>2244000</v>
      </c>
      <c r="D371" s="3">
        <f t="shared" ref="D371:D372" si="193">SUM(E371:J371)</f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4">
        <v>0</v>
      </c>
      <c r="L371" s="3">
        <v>0</v>
      </c>
      <c r="M371" s="3">
        <v>408</v>
      </c>
      <c r="N371" s="3">
        <f t="shared" ref="N371:N372" si="194">M371*5500</f>
        <v>2244000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6">
        <f t="shared" ref="V371:V372" si="195">N371/M371</f>
        <v>5500</v>
      </c>
    </row>
    <row r="372" spans="1:22" ht="21.95" customHeight="1" x14ac:dyDescent="0.25">
      <c r="A372" s="36" t="s">
        <v>1601</v>
      </c>
      <c r="B372" s="8" t="s">
        <v>1012</v>
      </c>
      <c r="C372" s="2">
        <f t="shared" si="176"/>
        <v>2310000</v>
      </c>
      <c r="D372" s="3">
        <f t="shared" si="193"/>
        <v>0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4">
        <v>0</v>
      </c>
      <c r="L372" s="3">
        <v>0</v>
      </c>
      <c r="M372" s="3">
        <v>420</v>
      </c>
      <c r="N372" s="3">
        <f t="shared" si="194"/>
        <v>2310000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6">
        <f t="shared" si="195"/>
        <v>5500</v>
      </c>
    </row>
    <row r="373" spans="1:22" ht="45" customHeight="1" x14ac:dyDescent="0.25">
      <c r="A373" s="54" t="s">
        <v>148</v>
      </c>
      <c r="B373" s="54"/>
      <c r="C373" s="2">
        <f>SUM(C374:C379)</f>
        <v>17669068.399999999</v>
      </c>
      <c r="D373" s="2">
        <f t="shared" ref="D373:U373" si="196">SUM(D374:D379)</f>
        <v>0</v>
      </c>
      <c r="E373" s="2">
        <f t="shared" si="196"/>
        <v>0</v>
      </c>
      <c r="F373" s="2">
        <f t="shared" si="196"/>
        <v>0</v>
      </c>
      <c r="G373" s="2">
        <f t="shared" si="196"/>
        <v>0</v>
      </c>
      <c r="H373" s="2">
        <f t="shared" si="196"/>
        <v>0</v>
      </c>
      <c r="I373" s="2">
        <f t="shared" si="196"/>
        <v>0</v>
      </c>
      <c r="J373" s="2">
        <f t="shared" si="196"/>
        <v>0</v>
      </c>
      <c r="K373" s="14">
        <f t="shared" si="196"/>
        <v>0</v>
      </c>
      <c r="L373" s="2">
        <f t="shared" si="196"/>
        <v>0</v>
      </c>
      <c r="M373" s="2">
        <f t="shared" si="196"/>
        <v>1854.55</v>
      </c>
      <c r="N373" s="2">
        <f t="shared" si="196"/>
        <v>10049068.4</v>
      </c>
      <c r="O373" s="2">
        <f t="shared" si="196"/>
        <v>0</v>
      </c>
      <c r="P373" s="2">
        <f t="shared" si="196"/>
        <v>0</v>
      </c>
      <c r="Q373" s="2">
        <f t="shared" si="196"/>
        <v>2440</v>
      </c>
      <c r="R373" s="2">
        <f t="shared" si="196"/>
        <v>7320000</v>
      </c>
      <c r="S373" s="2">
        <f t="shared" si="196"/>
        <v>0</v>
      </c>
      <c r="T373" s="2">
        <f t="shared" si="196"/>
        <v>0</v>
      </c>
      <c r="U373" s="2">
        <f t="shared" si="196"/>
        <v>300000</v>
      </c>
    </row>
    <row r="374" spans="1:22" ht="21.95" customHeight="1" x14ac:dyDescent="0.25">
      <c r="A374" s="37" t="s">
        <v>1602</v>
      </c>
      <c r="B374" s="8" t="s">
        <v>149</v>
      </c>
      <c r="C374" s="2">
        <f t="shared" si="176"/>
        <v>2387000</v>
      </c>
      <c r="D374" s="3">
        <f t="shared" ref="D374:D379" si="197">SUM(E374:J374)</f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4">
        <v>0</v>
      </c>
      <c r="L374" s="3">
        <v>0</v>
      </c>
      <c r="M374" s="3">
        <v>434</v>
      </c>
      <c r="N374" s="3">
        <f t="shared" ref="N374:N376" si="198">M374*5500</f>
        <v>2387000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6">
        <f t="shared" ref="V374:V379" si="199">N374/M374</f>
        <v>5500</v>
      </c>
    </row>
    <row r="375" spans="1:22" ht="21.95" customHeight="1" x14ac:dyDescent="0.25">
      <c r="A375" s="37" t="s">
        <v>1603</v>
      </c>
      <c r="B375" s="8" t="s">
        <v>150</v>
      </c>
      <c r="C375" s="2">
        <f t="shared" si="176"/>
        <v>2387000</v>
      </c>
      <c r="D375" s="3">
        <f t="shared" si="197"/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4">
        <v>0</v>
      </c>
      <c r="L375" s="3">
        <v>0</v>
      </c>
      <c r="M375" s="3">
        <v>434</v>
      </c>
      <c r="N375" s="3">
        <f t="shared" si="198"/>
        <v>2387000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6">
        <f t="shared" si="199"/>
        <v>5500</v>
      </c>
    </row>
    <row r="376" spans="1:22" ht="21.95" customHeight="1" x14ac:dyDescent="0.25">
      <c r="A376" s="37" t="s">
        <v>1604</v>
      </c>
      <c r="B376" s="8" t="s">
        <v>151</v>
      </c>
      <c r="C376" s="2">
        <f t="shared" si="176"/>
        <v>2035000</v>
      </c>
      <c r="D376" s="3">
        <f t="shared" si="197"/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4">
        <v>0</v>
      </c>
      <c r="L376" s="3">
        <v>0</v>
      </c>
      <c r="M376" s="3">
        <v>370</v>
      </c>
      <c r="N376" s="3">
        <f t="shared" si="198"/>
        <v>2035000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6">
        <f t="shared" si="199"/>
        <v>5500</v>
      </c>
    </row>
    <row r="377" spans="1:22" ht="21.95" customHeight="1" x14ac:dyDescent="0.25">
      <c r="A377" s="37" t="s">
        <v>1605</v>
      </c>
      <c r="B377" s="8" t="s">
        <v>152</v>
      </c>
      <c r="C377" s="2">
        <f t="shared" si="176"/>
        <v>300000</v>
      </c>
      <c r="D377" s="3">
        <f t="shared" si="197"/>
        <v>0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4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300000</v>
      </c>
      <c r="V377" s="6" t="e">
        <f t="shared" si="199"/>
        <v>#DIV/0!</v>
      </c>
    </row>
    <row r="378" spans="1:22" ht="21.95" customHeight="1" x14ac:dyDescent="0.25">
      <c r="A378" s="37" t="s">
        <v>1606</v>
      </c>
      <c r="B378" s="8" t="s">
        <v>979</v>
      </c>
      <c r="C378" s="2">
        <f t="shared" si="176"/>
        <v>3240068.4</v>
      </c>
      <c r="D378" s="3">
        <f t="shared" si="197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616.54999999999995</v>
      </c>
      <c r="N378" s="3">
        <v>3240068.4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6">
        <f t="shared" si="199"/>
        <v>5255.1591922796206</v>
      </c>
    </row>
    <row r="379" spans="1:22" ht="21.95" customHeight="1" x14ac:dyDescent="0.25">
      <c r="A379" s="37" t="s">
        <v>1607</v>
      </c>
      <c r="B379" s="8" t="s">
        <v>980</v>
      </c>
      <c r="C379" s="2">
        <f t="shared" si="176"/>
        <v>7320000</v>
      </c>
      <c r="D379" s="3">
        <f t="shared" si="197"/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4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2440</v>
      </c>
      <c r="R379" s="3">
        <f>Q379*3000</f>
        <v>7320000</v>
      </c>
      <c r="S379" s="3">
        <v>0</v>
      </c>
      <c r="T379" s="3">
        <v>0</v>
      </c>
      <c r="U379" s="3">
        <v>0</v>
      </c>
      <c r="V379" s="6" t="e">
        <f t="shared" si="199"/>
        <v>#DIV/0!</v>
      </c>
    </row>
    <row r="380" spans="1:22" ht="45" customHeight="1" x14ac:dyDescent="0.25">
      <c r="A380" s="54" t="s">
        <v>1217</v>
      </c>
      <c r="B380" s="54"/>
      <c r="C380" s="2">
        <f>SUM(C381)</f>
        <v>1411160.4</v>
      </c>
      <c r="D380" s="2">
        <f t="shared" ref="D380:U380" si="200">SUM(D381)</f>
        <v>0</v>
      </c>
      <c r="E380" s="2">
        <f t="shared" si="200"/>
        <v>0</v>
      </c>
      <c r="F380" s="2">
        <f t="shared" si="200"/>
        <v>0</v>
      </c>
      <c r="G380" s="2">
        <f t="shared" si="200"/>
        <v>0</v>
      </c>
      <c r="H380" s="2">
        <f t="shared" si="200"/>
        <v>0</v>
      </c>
      <c r="I380" s="2">
        <f t="shared" si="200"/>
        <v>0</v>
      </c>
      <c r="J380" s="2">
        <f t="shared" si="200"/>
        <v>0</v>
      </c>
      <c r="K380" s="14">
        <f t="shared" si="200"/>
        <v>0</v>
      </c>
      <c r="L380" s="2">
        <f t="shared" si="200"/>
        <v>0</v>
      </c>
      <c r="M380" s="2">
        <f t="shared" si="200"/>
        <v>261.86</v>
      </c>
      <c r="N380" s="2">
        <f t="shared" si="200"/>
        <v>1411160.4</v>
      </c>
      <c r="O380" s="2">
        <f t="shared" si="200"/>
        <v>0</v>
      </c>
      <c r="P380" s="2">
        <f t="shared" si="200"/>
        <v>0</v>
      </c>
      <c r="Q380" s="2">
        <f t="shared" si="200"/>
        <v>0</v>
      </c>
      <c r="R380" s="2">
        <f t="shared" si="200"/>
        <v>0</v>
      </c>
      <c r="S380" s="2">
        <f t="shared" si="200"/>
        <v>0</v>
      </c>
      <c r="T380" s="2">
        <f t="shared" si="200"/>
        <v>0</v>
      </c>
      <c r="U380" s="2">
        <f t="shared" si="200"/>
        <v>0</v>
      </c>
    </row>
    <row r="381" spans="1:22" ht="21.95" customHeight="1" x14ac:dyDescent="0.25">
      <c r="A381" s="37" t="s">
        <v>1608</v>
      </c>
      <c r="B381" s="8" t="s">
        <v>159</v>
      </c>
      <c r="C381" s="2">
        <f t="shared" si="176"/>
        <v>1411160.4</v>
      </c>
      <c r="D381" s="3">
        <f t="shared" ref="D381" si="201">SUM(E381:J381)</f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261.86</v>
      </c>
      <c r="N381" s="3">
        <v>1411160.4</v>
      </c>
      <c r="O381" s="3">
        <v>0</v>
      </c>
      <c r="P381" s="3">
        <v>0</v>
      </c>
      <c r="Q381" s="3">
        <v>0</v>
      </c>
      <c r="R381" s="5">
        <v>0</v>
      </c>
      <c r="S381" s="3">
        <v>0</v>
      </c>
      <c r="T381" s="3">
        <v>0</v>
      </c>
      <c r="U381" s="3">
        <v>0</v>
      </c>
      <c r="V381" s="6">
        <f t="shared" ref="V381" si="202">N381/M381</f>
        <v>5388.9880088596956</v>
      </c>
    </row>
    <row r="382" spans="1:22" ht="45" customHeight="1" x14ac:dyDescent="0.25">
      <c r="A382" s="54" t="s">
        <v>163</v>
      </c>
      <c r="B382" s="54"/>
      <c r="C382" s="2">
        <f>SUM(C383:C402)</f>
        <v>151910994.07000002</v>
      </c>
      <c r="D382" s="2">
        <f t="shared" ref="D382:U382" si="203">SUM(D383:D402)</f>
        <v>14982000.949999999</v>
      </c>
      <c r="E382" s="2">
        <f t="shared" si="203"/>
        <v>4988938.2999999989</v>
      </c>
      <c r="F382" s="2">
        <f t="shared" si="203"/>
        <v>6886891.3799999999</v>
      </c>
      <c r="G382" s="2">
        <f t="shared" si="203"/>
        <v>1688600.07</v>
      </c>
      <c r="H382" s="2">
        <f t="shared" si="203"/>
        <v>38518.519999999997</v>
      </c>
      <c r="I382" s="2">
        <f t="shared" si="203"/>
        <v>1415571.08</v>
      </c>
      <c r="J382" s="2">
        <f t="shared" si="203"/>
        <v>0</v>
      </c>
      <c r="K382" s="14">
        <f t="shared" si="203"/>
        <v>4</v>
      </c>
      <c r="L382" s="2">
        <f t="shared" si="203"/>
        <v>8600000</v>
      </c>
      <c r="M382" s="2">
        <f t="shared" si="203"/>
        <v>12056.07</v>
      </c>
      <c r="N382" s="2">
        <f t="shared" si="203"/>
        <v>57364976.740000002</v>
      </c>
      <c r="O382" s="2">
        <f t="shared" si="203"/>
        <v>0</v>
      </c>
      <c r="P382" s="2">
        <f t="shared" si="203"/>
        <v>0</v>
      </c>
      <c r="Q382" s="2">
        <f t="shared" si="203"/>
        <v>21780.950000000004</v>
      </c>
      <c r="R382" s="2">
        <f t="shared" si="203"/>
        <v>63636094.5</v>
      </c>
      <c r="S382" s="2">
        <f t="shared" si="203"/>
        <v>5714519.1100000003</v>
      </c>
      <c r="T382" s="2">
        <f t="shared" si="203"/>
        <v>0</v>
      </c>
      <c r="U382" s="2">
        <f t="shared" si="203"/>
        <v>1613402.77</v>
      </c>
    </row>
    <row r="383" spans="1:22" ht="21.95" customHeight="1" x14ac:dyDescent="0.25">
      <c r="A383" s="37" t="s">
        <v>1609</v>
      </c>
      <c r="B383" s="8" t="s">
        <v>1055</v>
      </c>
      <c r="C383" s="2">
        <f>D383+L383+N383+P383+R383+S383+T383+U383</f>
        <v>4150591.5</v>
      </c>
      <c r="D383" s="3">
        <f>SUM(E383:J383)</f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4">
        <v>0</v>
      </c>
      <c r="L383" s="3">
        <v>0</v>
      </c>
      <c r="M383" s="5">
        <v>1093.7</v>
      </c>
      <c r="N383" s="5">
        <v>4150591.5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6">
        <f>N383/M383</f>
        <v>3795</v>
      </c>
    </row>
    <row r="384" spans="1:22" ht="21.95" customHeight="1" x14ac:dyDescent="0.25">
      <c r="A384" s="37" t="s">
        <v>1610</v>
      </c>
      <c r="B384" s="21" t="s">
        <v>168</v>
      </c>
      <c r="C384" s="2">
        <f t="shared" si="176"/>
        <v>19400625.039999999</v>
      </c>
      <c r="D384" s="3">
        <f t="shared" ref="D384:D402" si="204">SUM(E384:J384)</f>
        <v>1997940</v>
      </c>
      <c r="E384" s="3">
        <v>1997940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4">
        <v>0</v>
      </c>
      <c r="L384" s="3">
        <v>0</v>
      </c>
      <c r="M384" s="3">
        <v>1741.64</v>
      </c>
      <c r="N384" s="3">
        <f>M384*3686</f>
        <v>6419685.04</v>
      </c>
      <c r="O384" s="3">
        <v>0</v>
      </c>
      <c r="P384" s="3">
        <v>0</v>
      </c>
      <c r="Q384" s="5">
        <v>3661</v>
      </c>
      <c r="R384" s="3">
        <f t="shared" ref="R384:R387" si="205">Q384*3000</f>
        <v>10983000</v>
      </c>
      <c r="S384" s="3">
        <v>0</v>
      </c>
      <c r="T384" s="3">
        <v>0</v>
      </c>
      <c r="U384" s="3">
        <v>0</v>
      </c>
      <c r="V384" s="6">
        <f t="shared" ref="V384:V402" si="206">N384/M384</f>
        <v>3686</v>
      </c>
    </row>
    <row r="385" spans="1:22" ht="21.95" customHeight="1" x14ac:dyDescent="0.25">
      <c r="A385" s="37" t="s">
        <v>1611</v>
      </c>
      <c r="B385" s="8" t="s">
        <v>1067</v>
      </c>
      <c r="C385" s="2">
        <f>D385+L385+N385+P385+R385+S385+T385+U385</f>
        <v>20043863.609999999</v>
      </c>
      <c r="D385" s="3">
        <f>SUM(E385:J385)</f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4">
        <v>0</v>
      </c>
      <c r="L385" s="5">
        <v>0</v>
      </c>
      <c r="M385" s="3">
        <v>1528.1</v>
      </c>
      <c r="N385" s="5">
        <v>4584300</v>
      </c>
      <c r="O385" s="3">
        <v>0</v>
      </c>
      <c r="P385" s="3">
        <v>0</v>
      </c>
      <c r="Q385" s="3">
        <v>3740.9</v>
      </c>
      <c r="R385" s="3">
        <v>9745044.5</v>
      </c>
      <c r="S385" s="3">
        <v>5714519.1100000003</v>
      </c>
      <c r="T385" s="3">
        <v>0</v>
      </c>
      <c r="U385" s="3">
        <v>0</v>
      </c>
      <c r="V385" s="6">
        <f>N385/M385</f>
        <v>3000</v>
      </c>
    </row>
    <row r="386" spans="1:22" ht="21.95" customHeight="1" x14ac:dyDescent="0.25">
      <c r="A386" s="37" t="s">
        <v>1612</v>
      </c>
      <c r="B386" s="21" t="s">
        <v>164</v>
      </c>
      <c r="C386" s="2">
        <f t="shared" si="176"/>
        <v>29471200</v>
      </c>
      <c r="D386" s="3">
        <f t="shared" si="204"/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4">
        <v>4</v>
      </c>
      <c r="L386" s="3">
        <v>8600000</v>
      </c>
      <c r="M386" s="3">
        <v>0</v>
      </c>
      <c r="N386" s="3">
        <v>0</v>
      </c>
      <c r="O386" s="3">
        <v>0</v>
      </c>
      <c r="P386" s="3">
        <v>0</v>
      </c>
      <c r="Q386" s="5">
        <v>6890.4</v>
      </c>
      <c r="R386" s="3">
        <f t="shared" si="205"/>
        <v>20671200</v>
      </c>
      <c r="S386" s="3">
        <v>0</v>
      </c>
      <c r="T386" s="3">
        <v>0</v>
      </c>
      <c r="U386" s="3">
        <v>200000</v>
      </c>
      <c r="V386" s="6" t="e">
        <f t="shared" si="206"/>
        <v>#DIV/0!</v>
      </c>
    </row>
    <row r="387" spans="1:22" ht="21.95" customHeight="1" x14ac:dyDescent="0.25">
      <c r="A387" s="37" t="s">
        <v>1613</v>
      </c>
      <c r="B387" s="1" t="s">
        <v>824</v>
      </c>
      <c r="C387" s="2">
        <f t="shared" si="176"/>
        <v>4471266.22</v>
      </c>
      <c r="D387" s="3">
        <f t="shared" si="204"/>
        <v>495900</v>
      </c>
      <c r="E387" s="3">
        <f>350*551</f>
        <v>192850</v>
      </c>
      <c r="F387" s="3">
        <f>800*0</f>
        <v>0</v>
      </c>
      <c r="G387" s="3">
        <f>300*551</f>
        <v>165300</v>
      </c>
      <c r="H387" s="3">
        <f>400*0</f>
        <v>0</v>
      </c>
      <c r="I387" s="3">
        <f>250*551</f>
        <v>137750</v>
      </c>
      <c r="J387" s="3">
        <f t="shared" ref="J387:J398" si="207">350*0</f>
        <v>0</v>
      </c>
      <c r="K387" s="4">
        <v>0</v>
      </c>
      <c r="L387" s="3">
        <v>0</v>
      </c>
      <c r="M387" s="3">
        <v>426.86</v>
      </c>
      <c r="N387" s="3">
        <f t="shared" ref="N387:N394" si="208">M387*5500</f>
        <v>2347730</v>
      </c>
      <c r="O387" s="3">
        <v>0</v>
      </c>
      <c r="P387" s="3">
        <f>O387*410</f>
        <v>0</v>
      </c>
      <c r="Q387" s="3">
        <v>504</v>
      </c>
      <c r="R387" s="3">
        <f t="shared" si="205"/>
        <v>1512000</v>
      </c>
      <c r="S387" s="3">
        <v>0</v>
      </c>
      <c r="T387" s="3">
        <v>0</v>
      </c>
      <c r="U387" s="3">
        <v>115636.22</v>
      </c>
      <c r="V387" s="6">
        <f t="shared" si="206"/>
        <v>5500</v>
      </c>
    </row>
    <row r="388" spans="1:22" ht="21.95" customHeight="1" x14ac:dyDescent="0.25">
      <c r="A388" s="37" t="s">
        <v>1614</v>
      </c>
      <c r="B388" s="1" t="s">
        <v>182</v>
      </c>
      <c r="C388" s="2">
        <f>D388+L388+N388+P388+R388+S388+T388+U388</f>
        <v>2055775.48</v>
      </c>
      <c r="D388" s="3">
        <f t="shared" si="204"/>
        <v>553118.94999999995</v>
      </c>
      <c r="E388" s="3">
        <v>141282.9</v>
      </c>
      <c r="F388" s="3">
        <v>327751.38</v>
      </c>
      <c r="G388" s="3">
        <v>20270.07</v>
      </c>
      <c r="H388" s="3">
        <v>38518.519999999997</v>
      </c>
      <c r="I388" s="3">
        <v>25296.080000000002</v>
      </c>
      <c r="J388" s="3">
        <f t="shared" si="207"/>
        <v>0</v>
      </c>
      <c r="K388" s="4">
        <v>0</v>
      </c>
      <c r="L388" s="3">
        <v>0</v>
      </c>
      <c r="M388" s="3">
        <v>248</v>
      </c>
      <c r="N388" s="3">
        <f>M388*5500</f>
        <v>1364000</v>
      </c>
      <c r="O388" s="3">
        <v>0</v>
      </c>
      <c r="P388" s="3">
        <f>O388*410</f>
        <v>0</v>
      </c>
      <c r="Q388" s="5">
        <v>0</v>
      </c>
      <c r="R388" s="3">
        <v>0</v>
      </c>
      <c r="S388" s="3">
        <f>S91</f>
        <v>0</v>
      </c>
      <c r="T388" s="3">
        <v>0</v>
      </c>
      <c r="U388" s="3">
        <v>138656.53</v>
      </c>
      <c r="V388" s="6">
        <f t="shared" si="206"/>
        <v>5500</v>
      </c>
    </row>
    <row r="389" spans="1:22" ht="21.95" customHeight="1" x14ac:dyDescent="0.25">
      <c r="A389" s="37" t="s">
        <v>1615</v>
      </c>
      <c r="B389" s="1" t="s">
        <v>175</v>
      </c>
      <c r="C389" s="2">
        <f t="shared" si="176"/>
        <v>8125630</v>
      </c>
      <c r="D389" s="3">
        <f t="shared" si="204"/>
        <v>385350</v>
      </c>
      <c r="E389" s="3">
        <f>350*1101</f>
        <v>385350</v>
      </c>
      <c r="F389" s="3">
        <f>800*0</f>
        <v>0</v>
      </c>
      <c r="G389" s="3">
        <v>0</v>
      </c>
      <c r="H389" s="3">
        <f>400*0</f>
        <v>0</v>
      </c>
      <c r="I389" s="3">
        <v>0</v>
      </c>
      <c r="J389" s="3">
        <f t="shared" si="207"/>
        <v>0</v>
      </c>
      <c r="K389" s="4">
        <v>0</v>
      </c>
      <c r="L389" s="3">
        <v>0</v>
      </c>
      <c r="M389" s="3">
        <v>883.2</v>
      </c>
      <c r="N389" s="3">
        <f t="shared" si="208"/>
        <v>4857600</v>
      </c>
      <c r="O389" s="3">
        <v>0</v>
      </c>
      <c r="P389" s="3">
        <f>O389*410</f>
        <v>0</v>
      </c>
      <c r="Q389" s="3">
        <v>927.56</v>
      </c>
      <c r="R389" s="3">
        <f t="shared" ref="R389:R394" si="209">Q389*3000</f>
        <v>2782680</v>
      </c>
      <c r="S389" s="3">
        <v>0</v>
      </c>
      <c r="T389" s="3">
        <v>0</v>
      </c>
      <c r="U389" s="3">
        <v>100000</v>
      </c>
      <c r="V389" s="6">
        <f t="shared" si="206"/>
        <v>5500</v>
      </c>
    </row>
    <row r="390" spans="1:22" ht="21.95" customHeight="1" x14ac:dyDescent="0.25">
      <c r="A390" s="37" t="s">
        <v>1616</v>
      </c>
      <c r="B390" s="1" t="s">
        <v>177</v>
      </c>
      <c r="C390" s="2">
        <f t="shared" si="176"/>
        <v>3696865.6</v>
      </c>
      <c r="D390" s="3">
        <v>220220.4</v>
      </c>
      <c r="E390" s="3">
        <v>256738.8</v>
      </c>
      <c r="F390" s="3">
        <v>0</v>
      </c>
      <c r="G390" s="3">
        <v>0</v>
      </c>
      <c r="H390" s="3">
        <f>500*0</f>
        <v>0</v>
      </c>
      <c r="I390" s="3">
        <v>0</v>
      </c>
      <c r="J390" s="3">
        <f t="shared" si="207"/>
        <v>0</v>
      </c>
      <c r="K390" s="4">
        <v>0</v>
      </c>
      <c r="L390" s="3">
        <v>0</v>
      </c>
      <c r="M390" s="3">
        <v>375.42</v>
      </c>
      <c r="N390" s="3">
        <v>1965745.2</v>
      </c>
      <c r="O390" s="3">
        <v>0</v>
      </c>
      <c r="P390" s="3">
        <v>0</v>
      </c>
      <c r="Q390" s="3">
        <v>580</v>
      </c>
      <c r="R390" s="3">
        <f t="shared" ref="R390" si="210">Q390*2605</f>
        <v>1510900</v>
      </c>
      <c r="S390" s="3">
        <f>S1259</f>
        <v>0</v>
      </c>
      <c r="T390" s="3">
        <v>0</v>
      </c>
      <c r="U390" s="3">
        <v>0</v>
      </c>
      <c r="V390" s="6">
        <f t="shared" si="206"/>
        <v>5236.1227425283678</v>
      </c>
    </row>
    <row r="391" spans="1:22" ht="21.95" customHeight="1" x14ac:dyDescent="0.25">
      <c r="A391" s="37" t="s">
        <v>1617</v>
      </c>
      <c r="B391" s="21" t="s">
        <v>178</v>
      </c>
      <c r="C391" s="2">
        <f t="shared" si="176"/>
        <v>4677229.82</v>
      </c>
      <c r="D391" s="3">
        <f t="shared" si="204"/>
        <v>982800</v>
      </c>
      <c r="E391" s="3">
        <f>350*504</f>
        <v>176400</v>
      </c>
      <c r="F391" s="3">
        <f>1050*504</f>
        <v>529200</v>
      </c>
      <c r="G391" s="3">
        <f>300*504</f>
        <v>151200</v>
      </c>
      <c r="H391" s="3">
        <f t="shared" ref="H391:H397" si="211">400*0</f>
        <v>0</v>
      </c>
      <c r="I391" s="3">
        <f>250*504</f>
        <v>126000</v>
      </c>
      <c r="J391" s="3">
        <f t="shared" si="207"/>
        <v>0</v>
      </c>
      <c r="K391" s="4">
        <v>0</v>
      </c>
      <c r="L391" s="3">
        <v>0</v>
      </c>
      <c r="M391" s="3">
        <v>386</v>
      </c>
      <c r="N391" s="3">
        <f t="shared" si="208"/>
        <v>2123000</v>
      </c>
      <c r="O391" s="3">
        <v>0</v>
      </c>
      <c r="P391" s="3">
        <v>0</v>
      </c>
      <c r="Q391" s="3">
        <v>480</v>
      </c>
      <c r="R391" s="3">
        <f t="shared" si="209"/>
        <v>1440000</v>
      </c>
      <c r="S391" s="3">
        <f>S1301</f>
        <v>0</v>
      </c>
      <c r="T391" s="3">
        <v>0</v>
      </c>
      <c r="U391" s="3">
        <v>131429.82</v>
      </c>
      <c r="V391" s="6">
        <f t="shared" si="206"/>
        <v>5500</v>
      </c>
    </row>
    <row r="392" spans="1:22" ht="21.95" customHeight="1" x14ac:dyDescent="0.25">
      <c r="A392" s="37" t="s">
        <v>1618</v>
      </c>
      <c r="B392" s="21" t="s">
        <v>179</v>
      </c>
      <c r="C392" s="2">
        <f t="shared" si="176"/>
        <v>4584225.3499999996</v>
      </c>
      <c r="D392" s="3">
        <f t="shared" si="204"/>
        <v>951600</v>
      </c>
      <c r="E392" s="3">
        <f>350*488</f>
        <v>170800</v>
      </c>
      <c r="F392" s="3">
        <f>1050*488</f>
        <v>512400</v>
      </c>
      <c r="G392" s="3">
        <f>300*488</f>
        <v>146400</v>
      </c>
      <c r="H392" s="3">
        <f t="shared" si="211"/>
        <v>0</v>
      </c>
      <c r="I392" s="3">
        <f>250*488</f>
        <v>122000</v>
      </c>
      <c r="J392" s="3">
        <f t="shared" si="207"/>
        <v>0</v>
      </c>
      <c r="K392" s="4">
        <v>0</v>
      </c>
      <c r="L392" s="3">
        <v>0</v>
      </c>
      <c r="M392" s="3">
        <v>364</v>
      </c>
      <c r="N392" s="3">
        <f t="shared" si="208"/>
        <v>2002000</v>
      </c>
      <c r="O392" s="3">
        <v>0</v>
      </c>
      <c r="P392" s="3">
        <v>0</v>
      </c>
      <c r="Q392" s="3">
        <v>500</v>
      </c>
      <c r="R392" s="3">
        <f t="shared" si="209"/>
        <v>1500000</v>
      </c>
      <c r="S392" s="3">
        <f>S1302</f>
        <v>0</v>
      </c>
      <c r="T392" s="3">
        <v>0</v>
      </c>
      <c r="U392" s="3">
        <v>130625.35</v>
      </c>
      <c r="V392" s="6">
        <f t="shared" si="206"/>
        <v>5500</v>
      </c>
    </row>
    <row r="393" spans="1:22" ht="21.95" customHeight="1" x14ac:dyDescent="0.25">
      <c r="A393" s="37" t="s">
        <v>1507</v>
      </c>
      <c r="B393" s="21" t="s">
        <v>181</v>
      </c>
      <c r="C393" s="2">
        <f>D393+L393+N393+P393+R393+S393+T393+U393</f>
        <v>977446.81</v>
      </c>
      <c r="D393" s="3">
        <f>SUM(E393:J393)</f>
        <v>858000</v>
      </c>
      <c r="E393" s="3">
        <f>350*440</f>
        <v>154000</v>
      </c>
      <c r="F393" s="3">
        <f>1050*440</f>
        <v>462000</v>
      </c>
      <c r="G393" s="3">
        <f>300*440</f>
        <v>132000</v>
      </c>
      <c r="H393" s="3">
        <f t="shared" si="211"/>
        <v>0</v>
      </c>
      <c r="I393" s="3">
        <f>250*440</f>
        <v>110000</v>
      </c>
      <c r="J393" s="3">
        <f t="shared" si="207"/>
        <v>0</v>
      </c>
      <c r="K393" s="4">
        <v>0</v>
      </c>
      <c r="L393" s="3">
        <v>0</v>
      </c>
      <c r="M393" s="3">
        <v>0</v>
      </c>
      <c r="N393" s="3">
        <f>M393*5300</f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119446.81</v>
      </c>
      <c r="V393" s="6" t="e">
        <f>N393/M393</f>
        <v>#DIV/0!</v>
      </c>
    </row>
    <row r="394" spans="1:22" ht="21.95" customHeight="1" x14ac:dyDescent="0.25">
      <c r="A394" s="37" t="s">
        <v>1619</v>
      </c>
      <c r="B394" s="1" t="s">
        <v>180</v>
      </c>
      <c r="C394" s="2">
        <f t="shared" si="176"/>
        <v>3767620</v>
      </c>
      <c r="D394" s="3">
        <f t="shared" si="204"/>
        <v>929540</v>
      </c>
      <c r="E394" s="3">
        <v>123780</v>
      </c>
      <c r="F394" s="3">
        <f>1050*503.6</f>
        <v>528780</v>
      </c>
      <c r="G394" s="3">
        <f>300*503.6</f>
        <v>151080</v>
      </c>
      <c r="H394" s="3">
        <f t="shared" si="211"/>
        <v>0</v>
      </c>
      <c r="I394" s="3">
        <f>250*503.6</f>
        <v>125900</v>
      </c>
      <c r="J394" s="3">
        <f t="shared" si="207"/>
        <v>0</v>
      </c>
      <c r="K394" s="4">
        <v>0</v>
      </c>
      <c r="L394" s="3">
        <v>0</v>
      </c>
      <c r="M394" s="3">
        <v>278.38</v>
      </c>
      <c r="N394" s="3">
        <f t="shared" si="208"/>
        <v>1531090</v>
      </c>
      <c r="O394" s="3">
        <v>0</v>
      </c>
      <c r="P394" s="3">
        <v>0</v>
      </c>
      <c r="Q394" s="3">
        <v>402.33</v>
      </c>
      <c r="R394" s="3">
        <f t="shared" si="209"/>
        <v>1206990</v>
      </c>
      <c r="S394" s="3">
        <v>0</v>
      </c>
      <c r="T394" s="3">
        <v>0</v>
      </c>
      <c r="U394" s="3">
        <v>100000</v>
      </c>
      <c r="V394" s="6">
        <f t="shared" si="206"/>
        <v>5500</v>
      </c>
    </row>
    <row r="395" spans="1:22" ht="21.95" customHeight="1" x14ac:dyDescent="0.25">
      <c r="A395" s="37" t="s">
        <v>1620</v>
      </c>
      <c r="B395" s="21" t="s">
        <v>185</v>
      </c>
      <c r="C395" s="2">
        <f t="shared" si="176"/>
        <v>13846530</v>
      </c>
      <c r="D395" s="3">
        <f t="shared" si="204"/>
        <v>3762330</v>
      </c>
      <c r="E395" s="3">
        <f>350*1929.4</f>
        <v>675290</v>
      </c>
      <c r="F395" s="3">
        <f>1050*1929.4</f>
        <v>2025870</v>
      </c>
      <c r="G395" s="3">
        <f>300*1929.4</f>
        <v>578820</v>
      </c>
      <c r="H395" s="3">
        <f t="shared" si="211"/>
        <v>0</v>
      </c>
      <c r="I395" s="3">
        <f>250*1929.4</f>
        <v>482350</v>
      </c>
      <c r="J395" s="3">
        <f t="shared" si="207"/>
        <v>0</v>
      </c>
      <c r="K395" s="4">
        <v>0</v>
      </c>
      <c r="L395" s="3">
        <v>0</v>
      </c>
      <c r="M395" s="5">
        <v>1083.4000000000001</v>
      </c>
      <c r="N395" s="5">
        <f>M395*5500</f>
        <v>5958700.0000000009</v>
      </c>
      <c r="O395" s="3">
        <v>0</v>
      </c>
      <c r="P395" s="3">
        <v>0</v>
      </c>
      <c r="Q395" s="3">
        <v>1308.5</v>
      </c>
      <c r="R395" s="3">
        <f t="shared" ref="R395:R402" si="212">Q395*3000</f>
        <v>3925500</v>
      </c>
      <c r="S395" s="3">
        <v>0</v>
      </c>
      <c r="T395" s="3">
        <v>0</v>
      </c>
      <c r="U395" s="3">
        <v>200000</v>
      </c>
      <c r="V395" s="6">
        <f t="shared" si="206"/>
        <v>5500</v>
      </c>
    </row>
    <row r="396" spans="1:22" ht="21.95" customHeight="1" x14ac:dyDescent="0.25">
      <c r="A396" s="37" t="s">
        <v>1621</v>
      </c>
      <c r="B396" s="1" t="s">
        <v>183</v>
      </c>
      <c r="C396" s="2">
        <f t="shared" si="176"/>
        <v>5015130</v>
      </c>
      <c r="D396" s="3">
        <f t="shared" si="204"/>
        <v>919380</v>
      </c>
      <c r="E396" s="3">
        <f>350*656.7</f>
        <v>229845.00000000003</v>
      </c>
      <c r="F396" s="3">
        <f>1050*656.7</f>
        <v>689535</v>
      </c>
      <c r="G396" s="3">
        <v>0</v>
      </c>
      <c r="H396" s="3">
        <f t="shared" si="211"/>
        <v>0</v>
      </c>
      <c r="I396" s="3">
        <v>0</v>
      </c>
      <c r="J396" s="3">
        <f t="shared" si="207"/>
        <v>0</v>
      </c>
      <c r="K396" s="4">
        <v>0</v>
      </c>
      <c r="L396" s="3">
        <v>0</v>
      </c>
      <c r="M396" s="3">
        <v>368.3</v>
      </c>
      <c r="N396" s="3">
        <f t="shared" ref="N396:N402" si="213">M396*5500</f>
        <v>2025650</v>
      </c>
      <c r="O396" s="3">
        <v>0</v>
      </c>
      <c r="P396" s="3">
        <v>0</v>
      </c>
      <c r="Q396" s="5">
        <v>656.7</v>
      </c>
      <c r="R396" s="3">
        <f t="shared" si="212"/>
        <v>1970100.0000000002</v>
      </c>
      <c r="S396" s="3">
        <f>S1131</f>
        <v>0</v>
      </c>
      <c r="T396" s="3">
        <v>0</v>
      </c>
      <c r="U396" s="3">
        <v>100000</v>
      </c>
      <c r="V396" s="6">
        <f t="shared" si="206"/>
        <v>5500</v>
      </c>
    </row>
    <row r="397" spans="1:22" ht="21.95" customHeight="1" x14ac:dyDescent="0.25">
      <c r="A397" s="37" t="s">
        <v>1622</v>
      </c>
      <c r="B397" s="1" t="s">
        <v>184</v>
      </c>
      <c r="C397" s="2">
        <f t="shared" si="176"/>
        <v>4973398.2300000004</v>
      </c>
      <c r="D397" s="3">
        <f t="shared" si="204"/>
        <v>786414</v>
      </c>
      <c r="E397" s="3">
        <v>177414</v>
      </c>
      <c r="F397" s="3">
        <f>1050*580</f>
        <v>609000</v>
      </c>
      <c r="G397" s="3">
        <v>0</v>
      </c>
      <c r="H397" s="3">
        <f t="shared" si="211"/>
        <v>0</v>
      </c>
      <c r="I397" s="3">
        <v>0</v>
      </c>
      <c r="J397" s="3">
        <f t="shared" si="207"/>
        <v>0</v>
      </c>
      <c r="K397" s="4">
        <v>0</v>
      </c>
      <c r="L397" s="3">
        <v>0</v>
      </c>
      <c r="M397" s="3">
        <v>428</v>
      </c>
      <c r="N397" s="3">
        <f t="shared" si="213"/>
        <v>2354000</v>
      </c>
      <c r="O397" s="3">
        <v>0</v>
      </c>
      <c r="P397" s="3">
        <v>0</v>
      </c>
      <c r="Q397" s="3">
        <v>586.5</v>
      </c>
      <c r="R397" s="3">
        <f t="shared" si="212"/>
        <v>1759500</v>
      </c>
      <c r="S397" s="3">
        <v>0</v>
      </c>
      <c r="T397" s="3">
        <v>0</v>
      </c>
      <c r="U397" s="3">
        <v>73484.23</v>
      </c>
      <c r="V397" s="6">
        <f t="shared" si="206"/>
        <v>5500</v>
      </c>
    </row>
    <row r="398" spans="1:22" ht="21.95" customHeight="1" x14ac:dyDescent="0.25">
      <c r="A398" s="37" t="s">
        <v>1988</v>
      </c>
      <c r="B398" s="1" t="s">
        <v>186</v>
      </c>
      <c r="C398" s="2">
        <f>D398+L398+N398+P398+R398+S398+T398+U398</f>
        <v>4967607.5999999996</v>
      </c>
      <c r="D398" s="3">
        <f>SUM(E398:J398)</f>
        <v>1453007.6</v>
      </c>
      <c r="E398" s="3">
        <v>184047.6</v>
      </c>
      <c r="F398" s="3">
        <f>1050*793.1</f>
        <v>832755</v>
      </c>
      <c r="G398" s="3">
        <f>300*793.1</f>
        <v>237930</v>
      </c>
      <c r="H398" s="3">
        <v>0</v>
      </c>
      <c r="I398" s="3">
        <f>250*793.1</f>
        <v>198275</v>
      </c>
      <c r="J398" s="3">
        <f t="shared" si="207"/>
        <v>0</v>
      </c>
      <c r="K398" s="4">
        <v>0</v>
      </c>
      <c r="L398" s="3">
        <v>0</v>
      </c>
      <c r="M398" s="3">
        <v>346.8</v>
      </c>
      <c r="N398" s="3">
        <f t="shared" ref="N398" si="214">M398*5500</f>
        <v>1907400</v>
      </c>
      <c r="O398" s="3">
        <v>0</v>
      </c>
      <c r="P398" s="3">
        <f>O398*410</f>
        <v>0</v>
      </c>
      <c r="Q398" s="3">
        <v>502.4</v>
      </c>
      <c r="R398" s="3">
        <f>Q398*3000</f>
        <v>1507200</v>
      </c>
      <c r="S398" s="3">
        <v>0</v>
      </c>
      <c r="T398" s="3">
        <v>0</v>
      </c>
      <c r="U398" s="3">
        <v>100000</v>
      </c>
      <c r="V398" s="6">
        <f>N398/M398</f>
        <v>5500</v>
      </c>
    </row>
    <row r="399" spans="1:22" ht="21.95" customHeight="1" x14ac:dyDescent="0.25">
      <c r="A399" s="37" t="s">
        <v>1623</v>
      </c>
      <c r="B399" s="21" t="s">
        <v>187</v>
      </c>
      <c r="C399" s="2">
        <f t="shared" si="176"/>
        <v>5364165</v>
      </c>
      <c r="D399" s="3">
        <f t="shared" si="204"/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4">
        <v>0</v>
      </c>
      <c r="L399" s="3">
        <v>0</v>
      </c>
      <c r="M399" s="3">
        <v>614.07000000000005</v>
      </c>
      <c r="N399" s="3">
        <f t="shared" si="213"/>
        <v>3377385.0000000005</v>
      </c>
      <c r="O399" s="3">
        <v>0</v>
      </c>
      <c r="P399" s="3">
        <f>O399*410</f>
        <v>0</v>
      </c>
      <c r="Q399" s="3">
        <v>662.26</v>
      </c>
      <c r="R399" s="3">
        <f t="shared" si="212"/>
        <v>1986780</v>
      </c>
      <c r="S399" s="3">
        <f>S904</f>
        <v>0</v>
      </c>
      <c r="T399" s="3">
        <v>0</v>
      </c>
      <c r="U399" s="3">
        <v>0</v>
      </c>
      <c r="V399" s="6">
        <f t="shared" si="206"/>
        <v>5500</v>
      </c>
    </row>
    <row r="400" spans="1:22" ht="21.95" customHeight="1" x14ac:dyDescent="0.25">
      <c r="A400" s="37" t="s">
        <v>1624</v>
      </c>
      <c r="B400" s="21" t="s">
        <v>188</v>
      </c>
      <c r="C400" s="2">
        <f t="shared" si="176"/>
        <v>3449223.81</v>
      </c>
      <c r="D400" s="3">
        <f t="shared" si="204"/>
        <v>686400</v>
      </c>
      <c r="E400" s="3">
        <f>350*352</f>
        <v>123200</v>
      </c>
      <c r="F400" s="3">
        <f>1050*352</f>
        <v>369600</v>
      </c>
      <c r="G400" s="3">
        <f>300*352</f>
        <v>105600</v>
      </c>
      <c r="H400" s="3">
        <f>400*0</f>
        <v>0</v>
      </c>
      <c r="I400" s="3">
        <f>250*352</f>
        <v>88000</v>
      </c>
      <c r="J400" s="3">
        <f>350*0</f>
        <v>0</v>
      </c>
      <c r="K400" s="4">
        <v>0</v>
      </c>
      <c r="L400" s="3">
        <v>0</v>
      </c>
      <c r="M400" s="3">
        <v>277</v>
      </c>
      <c r="N400" s="3">
        <f t="shared" si="213"/>
        <v>1523500</v>
      </c>
      <c r="O400" s="3">
        <v>0</v>
      </c>
      <c r="P400" s="3">
        <f>O400*410</f>
        <v>0</v>
      </c>
      <c r="Q400" s="3">
        <v>378.4</v>
      </c>
      <c r="R400" s="3">
        <f t="shared" si="212"/>
        <v>1135200</v>
      </c>
      <c r="S400" s="3">
        <f>S907</f>
        <v>0</v>
      </c>
      <c r="T400" s="3">
        <v>0</v>
      </c>
      <c r="U400" s="3">
        <v>104123.81</v>
      </c>
      <c r="V400" s="6">
        <f t="shared" si="206"/>
        <v>5500</v>
      </c>
    </row>
    <row r="401" spans="1:22" ht="21.95" customHeight="1" x14ac:dyDescent="0.25">
      <c r="A401" s="37" t="s">
        <v>1625</v>
      </c>
      <c r="B401" s="1" t="s">
        <v>189</v>
      </c>
      <c r="C401" s="2">
        <f t="shared" si="176"/>
        <v>4749800</v>
      </c>
      <c r="D401" s="3">
        <f t="shared" si="204"/>
        <v>0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4">
        <v>0</v>
      </c>
      <c r="L401" s="3">
        <v>0</v>
      </c>
      <c r="M401" s="3">
        <v>863.6</v>
      </c>
      <c r="N401" s="3">
        <f t="shared" si="213"/>
        <v>4749800</v>
      </c>
      <c r="O401" s="3">
        <v>0</v>
      </c>
      <c r="P401" s="3">
        <v>0</v>
      </c>
      <c r="Q401" s="3">
        <v>0</v>
      </c>
      <c r="R401" s="3">
        <f t="shared" si="212"/>
        <v>0</v>
      </c>
      <c r="S401" s="3">
        <v>0</v>
      </c>
      <c r="T401" s="3">
        <v>0</v>
      </c>
      <c r="U401" s="3">
        <v>0</v>
      </c>
      <c r="V401" s="6">
        <f t="shared" si="206"/>
        <v>5500</v>
      </c>
    </row>
    <row r="402" spans="1:22" ht="21.95" customHeight="1" x14ac:dyDescent="0.25">
      <c r="A402" s="37" t="s">
        <v>1626</v>
      </c>
      <c r="B402" s="1" t="s">
        <v>190</v>
      </c>
      <c r="C402" s="2">
        <f t="shared" si="176"/>
        <v>4122800</v>
      </c>
      <c r="D402" s="3">
        <f t="shared" si="204"/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4">
        <v>0</v>
      </c>
      <c r="L402" s="3">
        <v>0</v>
      </c>
      <c r="M402" s="3">
        <v>749.6</v>
      </c>
      <c r="N402" s="3">
        <f t="shared" si="213"/>
        <v>4122800</v>
      </c>
      <c r="O402" s="3">
        <v>0</v>
      </c>
      <c r="P402" s="3">
        <v>0</v>
      </c>
      <c r="Q402" s="3">
        <v>0</v>
      </c>
      <c r="R402" s="3">
        <f t="shared" si="212"/>
        <v>0</v>
      </c>
      <c r="S402" s="3">
        <v>0</v>
      </c>
      <c r="T402" s="3">
        <v>0</v>
      </c>
      <c r="U402" s="3">
        <v>0</v>
      </c>
      <c r="V402" s="6">
        <f t="shared" si="206"/>
        <v>5500</v>
      </c>
    </row>
    <row r="403" spans="1:22" ht="45" customHeight="1" x14ac:dyDescent="0.25">
      <c r="A403" s="54" t="s">
        <v>221</v>
      </c>
      <c r="B403" s="54"/>
      <c r="C403" s="2">
        <f>SUM(C404)</f>
        <v>4043700.5</v>
      </c>
      <c r="D403" s="2">
        <f t="shared" ref="D403:U403" si="215">SUM(D404)</f>
        <v>189220.5</v>
      </c>
      <c r="E403" s="2">
        <f t="shared" si="215"/>
        <v>189220.5</v>
      </c>
      <c r="F403" s="2">
        <f t="shared" si="215"/>
        <v>0</v>
      </c>
      <c r="G403" s="2">
        <f t="shared" si="215"/>
        <v>0</v>
      </c>
      <c r="H403" s="2">
        <f t="shared" si="215"/>
        <v>0</v>
      </c>
      <c r="I403" s="2">
        <f t="shared" si="215"/>
        <v>0</v>
      </c>
      <c r="J403" s="2">
        <f t="shared" si="215"/>
        <v>0</v>
      </c>
      <c r="K403" s="14">
        <f t="shared" si="215"/>
        <v>0</v>
      </c>
      <c r="L403" s="2">
        <f t="shared" si="215"/>
        <v>0</v>
      </c>
      <c r="M403" s="2">
        <f t="shared" si="215"/>
        <v>395.68</v>
      </c>
      <c r="N403" s="2">
        <f t="shared" si="215"/>
        <v>2176240</v>
      </c>
      <c r="O403" s="2">
        <f t="shared" si="215"/>
        <v>0</v>
      </c>
      <c r="P403" s="2">
        <f t="shared" si="215"/>
        <v>0</v>
      </c>
      <c r="Q403" s="2">
        <f t="shared" si="215"/>
        <v>526.08000000000004</v>
      </c>
      <c r="R403" s="2">
        <f t="shared" si="215"/>
        <v>1578240.0000000002</v>
      </c>
      <c r="S403" s="2">
        <f t="shared" si="215"/>
        <v>0</v>
      </c>
      <c r="T403" s="2">
        <f t="shared" si="215"/>
        <v>0</v>
      </c>
      <c r="U403" s="2">
        <f t="shared" si="215"/>
        <v>100000</v>
      </c>
    </row>
    <row r="404" spans="1:22" ht="21.95" customHeight="1" x14ac:dyDescent="0.25">
      <c r="A404" s="37" t="s">
        <v>1627</v>
      </c>
      <c r="B404" s="8" t="s">
        <v>223</v>
      </c>
      <c r="C404" s="2">
        <f t="shared" si="176"/>
        <v>4043700.5</v>
      </c>
      <c r="D404" s="3">
        <f t="shared" ref="D404" si="216">SUM(E404:J404)</f>
        <v>189220.5</v>
      </c>
      <c r="E404" s="3">
        <f>350*540.63</f>
        <v>189220.5</v>
      </c>
      <c r="F404" s="3">
        <f>1050*0</f>
        <v>0</v>
      </c>
      <c r="G404" s="3">
        <f>300*0</f>
        <v>0</v>
      </c>
      <c r="H404" s="3">
        <f>400*0</f>
        <v>0</v>
      </c>
      <c r="I404" s="3">
        <f>250*0</f>
        <v>0</v>
      </c>
      <c r="J404" s="3">
        <f>350*0</f>
        <v>0</v>
      </c>
      <c r="K404" s="4">
        <v>0</v>
      </c>
      <c r="L404" s="3">
        <v>0</v>
      </c>
      <c r="M404" s="3">
        <v>395.68</v>
      </c>
      <c r="N404" s="3">
        <f t="shared" ref="N404" si="217">M404*5500</f>
        <v>2176240</v>
      </c>
      <c r="O404" s="3">
        <v>0</v>
      </c>
      <c r="P404" s="3">
        <v>0</v>
      </c>
      <c r="Q404" s="3">
        <v>526.08000000000004</v>
      </c>
      <c r="R404" s="3">
        <f>Q404*3000</f>
        <v>1578240.0000000002</v>
      </c>
      <c r="S404" s="3">
        <v>0</v>
      </c>
      <c r="T404" s="3">
        <v>0</v>
      </c>
      <c r="U404" s="3">
        <v>100000</v>
      </c>
      <c r="V404" s="6">
        <f t="shared" ref="V404" si="218">N404/M404</f>
        <v>5500</v>
      </c>
    </row>
    <row r="405" spans="1:22" ht="45" customHeight="1" x14ac:dyDescent="0.25">
      <c r="A405" s="54" t="s">
        <v>220</v>
      </c>
      <c r="B405" s="54"/>
      <c r="C405" s="2">
        <f>SUM(C406:C414)</f>
        <v>24566129.57</v>
      </c>
      <c r="D405" s="2">
        <f t="shared" ref="D405:U405" si="219">SUM(D406:D414)</f>
        <v>8577163.5</v>
      </c>
      <c r="E405" s="2">
        <f t="shared" si="219"/>
        <v>1366725.5</v>
      </c>
      <c r="F405" s="2">
        <f t="shared" si="219"/>
        <v>4100176.5</v>
      </c>
      <c r="G405" s="2">
        <f t="shared" si="219"/>
        <v>1171479</v>
      </c>
      <c r="H405" s="2">
        <f t="shared" si="219"/>
        <v>1053300</v>
      </c>
      <c r="I405" s="2">
        <f t="shared" si="219"/>
        <v>885482.5</v>
      </c>
      <c r="J405" s="2">
        <f t="shared" si="219"/>
        <v>0</v>
      </c>
      <c r="K405" s="14">
        <f t="shared" si="219"/>
        <v>0</v>
      </c>
      <c r="L405" s="2">
        <f t="shared" si="219"/>
        <v>0</v>
      </c>
      <c r="M405" s="2">
        <f t="shared" si="219"/>
        <v>1701.74</v>
      </c>
      <c r="N405" s="2">
        <f t="shared" si="219"/>
        <v>9292558</v>
      </c>
      <c r="O405" s="2">
        <f t="shared" si="219"/>
        <v>0</v>
      </c>
      <c r="P405" s="2">
        <f t="shared" si="219"/>
        <v>0</v>
      </c>
      <c r="Q405" s="2">
        <f t="shared" si="219"/>
        <v>1777.84</v>
      </c>
      <c r="R405" s="2">
        <f t="shared" si="219"/>
        <v>5235712.8</v>
      </c>
      <c r="S405" s="2">
        <f t="shared" si="219"/>
        <v>0</v>
      </c>
      <c r="T405" s="2">
        <f t="shared" si="219"/>
        <v>0</v>
      </c>
      <c r="U405" s="2">
        <f t="shared" si="219"/>
        <v>1460695.27</v>
      </c>
    </row>
    <row r="406" spans="1:22" ht="21.95" customHeight="1" x14ac:dyDescent="0.25">
      <c r="A406" s="37" t="s">
        <v>1628</v>
      </c>
      <c r="B406" s="8" t="s">
        <v>211</v>
      </c>
      <c r="C406" s="2">
        <f t="shared" si="176"/>
        <v>310000</v>
      </c>
      <c r="D406" s="3">
        <f t="shared" ref="D406:D414" si="220">SUM(E406:J406)</f>
        <v>0</v>
      </c>
      <c r="E406" s="3">
        <v>0</v>
      </c>
      <c r="F406" s="3">
        <v>0</v>
      </c>
      <c r="G406" s="3">
        <v>0</v>
      </c>
      <c r="H406" s="3">
        <f>400*0</f>
        <v>0</v>
      </c>
      <c r="I406" s="3">
        <f>250*0</f>
        <v>0</v>
      </c>
      <c r="J406" s="3">
        <f t="shared" ref="J406:J411" si="221">350*0</f>
        <v>0</v>
      </c>
      <c r="K406" s="4">
        <v>0</v>
      </c>
      <c r="L406" s="3">
        <v>0</v>
      </c>
      <c r="M406" s="5">
        <v>0</v>
      </c>
      <c r="N406" s="3">
        <f t="shared" ref="N406:N411" si="222">M406*5500</f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310000</v>
      </c>
      <c r="V406" s="6" t="e">
        <f t="shared" ref="V406:V414" si="223">N406/M406</f>
        <v>#DIV/0!</v>
      </c>
    </row>
    <row r="407" spans="1:22" ht="21.95" customHeight="1" x14ac:dyDescent="0.25">
      <c r="A407" s="37" t="s">
        <v>1629</v>
      </c>
      <c r="B407" s="8" t="s">
        <v>212</v>
      </c>
      <c r="C407" s="2">
        <f t="shared" si="176"/>
        <v>300000</v>
      </c>
      <c r="D407" s="3">
        <f t="shared" si="220"/>
        <v>0</v>
      </c>
      <c r="E407" s="3">
        <v>0</v>
      </c>
      <c r="F407" s="3">
        <v>0</v>
      </c>
      <c r="G407" s="3">
        <v>0</v>
      </c>
      <c r="H407" s="3">
        <f>400*0</f>
        <v>0</v>
      </c>
      <c r="I407" s="3">
        <f>250*0</f>
        <v>0</v>
      </c>
      <c r="J407" s="3">
        <f t="shared" si="221"/>
        <v>0</v>
      </c>
      <c r="K407" s="4">
        <v>0</v>
      </c>
      <c r="L407" s="3">
        <v>0</v>
      </c>
      <c r="M407" s="5">
        <v>0</v>
      </c>
      <c r="N407" s="3">
        <v>0</v>
      </c>
      <c r="O407" s="3">
        <v>0</v>
      </c>
      <c r="P407" s="3">
        <v>0</v>
      </c>
      <c r="Q407" s="3">
        <v>0</v>
      </c>
      <c r="R407" s="3">
        <f t="shared" ref="R407:R414" si="224">Q407*3000</f>
        <v>0</v>
      </c>
      <c r="S407" s="3">
        <v>0</v>
      </c>
      <c r="T407" s="3">
        <v>0</v>
      </c>
      <c r="U407" s="3">
        <v>300000</v>
      </c>
      <c r="V407" s="6" t="e">
        <f t="shared" si="223"/>
        <v>#DIV/0!</v>
      </c>
    </row>
    <row r="408" spans="1:22" ht="21.95" customHeight="1" x14ac:dyDescent="0.25">
      <c r="A408" s="37" t="s">
        <v>1630</v>
      </c>
      <c r="B408" s="8" t="s">
        <v>213</v>
      </c>
      <c r="C408" s="2">
        <f t="shared" si="176"/>
        <v>300000</v>
      </c>
      <c r="D408" s="3">
        <f t="shared" si="220"/>
        <v>0</v>
      </c>
      <c r="E408" s="3">
        <v>0</v>
      </c>
      <c r="F408" s="3">
        <v>0</v>
      </c>
      <c r="G408" s="3">
        <v>0</v>
      </c>
      <c r="H408" s="3">
        <f>400*0</f>
        <v>0</v>
      </c>
      <c r="I408" s="3">
        <f>250*0</f>
        <v>0</v>
      </c>
      <c r="J408" s="3">
        <f t="shared" si="221"/>
        <v>0</v>
      </c>
      <c r="K408" s="11">
        <v>0</v>
      </c>
      <c r="L408" s="5">
        <v>0</v>
      </c>
      <c r="M408" s="5">
        <v>0</v>
      </c>
      <c r="N408" s="3">
        <v>0</v>
      </c>
      <c r="O408" s="5">
        <v>0</v>
      </c>
      <c r="P408" s="5">
        <v>0</v>
      </c>
      <c r="Q408" s="5">
        <v>0</v>
      </c>
      <c r="R408" s="3">
        <f t="shared" si="224"/>
        <v>0</v>
      </c>
      <c r="S408" s="5">
        <v>0</v>
      </c>
      <c r="T408" s="3">
        <v>0</v>
      </c>
      <c r="U408" s="5">
        <v>300000</v>
      </c>
      <c r="V408" s="6" t="e">
        <f t="shared" si="223"/>
        <v>#DIV/0!</v>
      </c>
    </row>
    <row r="409" spans="1:22" ht="21.95" customHeight="1" x14ac:dyDescent="0.25">
      <c r="A409" s="37" t="s">
        <v>1631</v>
      </c>
      <c r="B409" s="8" t="s">
        <v>214</v>
      </c>
      <c r="C409" s="2">
        <f t="shared" si="176"/>
        <v>4183820</v>
      </c>
      <c r="D409" s="3">
        <f t="shared" si="220"/>
        <v>617100</v>
      </c>
      <c r="E409" s="3">
        <f>350*363</f>
        <v>127050</v>
      </c>
      <c r="F409" s="3">
        <f>1050*363</f>
        <v>381150</v>
      </c>
      <c r="G409" s="3">
        <f>300*363</f>
        <v>108900</v>
      </c>
      <c r="H409" s="3">
        <f>400*0</f>
        <v>0</v>
      </c>
      <c r="I409" s="3">
        <f>250*0</f>
        <v>0</v>
      </c>
      <c r="J409" s="3">
        <f t="shared" si="221"/>
        <v>0</v>
      </c>
      <c r="K409" s="4">
        <v>0</v>
      </c>
      <c r="L409" s="3">
        <v>0</v>
      </c>
      <c r="M409" s="3">
        <v>472.36</v>
      </c>
      <c r="N409" s="3">
        <f t="shared" si="222"/>
        <v>2597980</v>
      </c>
      <c r="O409" s="3">
        <v>0</v>
      </c>
      <c r="P409" s="3">
        <v>0</v>
      </c>
      <c r="Q409" s="3">
        <v>289.58</v>
      </c>
      <c r="R409" s="3">
        <f t="shared" si="224"/>
        <v>868740</v>
      </c>
      <c r="S409" s="3">
        <v>0</v>
      </c>
      <c r="T409" s="3">
        <v>0</v>
      </c>
      <c r="U409" s="3">
        <v>100000</v>
      </c>
      <c r="V409" s="6">
        <f t="shared" si="223"/>
        <v>5500</v>
      </c>
    </row>
    <row r="410" spans="1:22" ht="21.95" customHeight="1" x14ac:dyDescent="0.25">
      <c r="A410" s="37" t="s">
        <v>1632</v>
      </c>
      <c r="B410" s="8" t="s">
        <v>215</v>
      </c>
      <c r="C410" s="2">
        <f t="shared" si="176"/>
        <v>5153106</v>
      </c>
      <c r="D410" s="3">
        <f t="shared" si="220"/>
        <v>998166</v>
      </c>
      <c r="E410" s="3">
        <f>350*511.88</f>
        <v>179158</v>
      </c>
      <c r="F410" s="3">
        <f>1050*511.88</f>
        <v>537474</v>
      </c>
      <c r="G410" s="3">
        <f>300*511.88</f>
        <v>153564</v>
      </c>
      <c r="H410" s="3">
        <v>0</v>
      </c>
      <c r="I410" s="3">
        <f>250*511.88</f>
        <v>127970</v>
      </c>
      <c r="J410" s="3">
        <f t="shared" si="221"/>
        <v>0</v>
      </c>
      <c r="K410" s="4">
        <v>0</v>
      </c>
      <c r="L410" s="3">
        <v>0</v>
      </c>
      <c r="M410" s="3">
        <v>487.88</v>
      </c>
      <c r="N410" s="3">
        <f t="shared" si="222"/>
        <v>2683340</v>
      </c>
      <c r="O410" s="3">
        <v>0</v>
      </c>
      <c r="P410" s="3">
        <v>0</v>
      </c>
      <c r="Q410" s="3">
        <v>457.2</v>
      </c>
      <c r="R410" s="3">
        <f t="shared" si="224"/>
        <v>1371600</v>
      </c>
      <c r="S410" s="3">
        <v>0</v>
      </c>
      <c r="T410" s="3">
        <v>0</v>
      </c>
      <c r="U410" s="3">
        <v>100000</v>
      </c>
      <c r="V410" s="6">
        <f t="shared" si="223"/>
        <v>5500</v>
      </c>
    </row>
    <row r="411" spans="1:22" ht="21.95" customHeight="1" x14ac:dyDescent="0.25">
      <c r="A411" s="37" t="s">
        <v>1633</v>
      </c>
      <c r="B411" s="8" t="s">
        <v>216</v>
      </c>
      <c r="C411" s="2">
        <f t="shared" si="176"/>
        <v>4351010</v>
      </c>
      <c r="D411" s="3">
        <f t="shared" si="220"/>
        <v>773760</v>
      </c>
      <c r="E411" s="3">
        <f>350*396.8</f>
        <v>138880</v>
      </c>
      <c r="F411" s="3">
        <f>1050*396.8</f>
        <v>416640</v>
      </c>
      <c r="G411" s="3">
        <f>300*396.8</f>
        <v>119040</v>
      </c>
      <c r="H411" s="3">
        <v>0</v>
      </c>
      <c r="I411" s="3">
        <f>250*396.8</f>
        <v>99200</v>
      </c>
      <c r="J411" s="3">
        <f t="shared" si="221"/>
        <v>0</v>
      </c>
      <c r="K411" s="4">
        <v>0</v>
      </c>
      <c r="L411" s="3">
        <v>0</v>
      </c>
      <c r="M411" s="3">
        <v>371.5</v>
      </c>
      <c r="N411" s="3">
        <f t="shared" si="222"/>
        <v>2043250</v>
      </c>
      <c r="O411" s="3">
        <v>0</v>
      </c>
      <c r="P411" s="3">
        <v>0</v>
      </c>
      <c r="Q411" s="3">
        <v>478</v>
      </c>
      <c r="R411" s="3">
        <f t="shared" si="224"/>
        <v>1434000</v>
      </c>
      <c r="S411" s="3">
        <v>0</v>
      </c>
      <c r="T411" s="3">
        <v>0</v>
      </c>
      <c r="U411" s="3">
        <v>100000</v>
      </c>
      <c r="V411" s="6">
        <f t="shared" si="223"/>
        <v>5500</v>
      </c>
    </row>
    <row r="412" spans="1:22" ht="21.95" customHeight="1" x14ac:dyDescent="0.25">
      <c r="A412" s="37" t="s">
        <v>1634</v>
      </c>
      <c r="B412" s="8" t="s">
        <v>1076</v>
      </c>
      <c r="C412" s="2">
        <f t="shared" si="176"/>
        <v>3529360.8</v>
      </c>
      <c r="D412" s="3">
        <f t="shared" si="220"/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4">
        <v>0</v>
      </c>
      <c r="L412" s="3">
        <v>0</v>
      </c>
      <c r="M412" s="3">
        <v>370</v>
      </c>
      <c r="N412" s="3">
        <v>1967988</v>
      </c>
      <c r="O412" s="3">
        <v>0</v>
      </c>
      <c r="P412" s="3">
        <v>0</v>
      </c>
      <c r="Q412" s="3">
        <v>553.05999999999995</v>
      </c>
      <c r="R412" s="3">
        <v>1561372.8</v>
      </c>
      <c r="S412" s="3">
        <v>0</v>
      </c>
      <c r="T412" s="3">
        <v>0</v>
      </c>
      <c r="U412" s="3">
        <v>0</v>
      </c>
      <c r="V412" s="6">
        <f t="shared" si="223"/>
        <v>5318.8864864864863</v>
      </c>
    </row>
    <row r="413" spans="1:22" ht="21.95" customHeight="1" x14ac:dyDescent="0.25">
      <c r="A413" s="37" t="s">
        <v>1635</v>
      </c>
      <c r="B413" s="8" t="s">
        <v>1192</v>
      </c>
      <c r="C413" s="2">
        <f t="shared" si="176"/>
        <v>3200647.32</v>
      </c>
      <c r="D413" s="3">
        <f t="shared" si="220"/>
        <v>3075586</v>
      </c>
      <c r="E413" s="3">
        <f>350*1308.76</f>
        <v>458066</v>
      </c>
      <c r="F413" s="3">
        <f>1050*1308.76</f>
        <v>1374198</v>
      </c>
      <c r="G413" s="3">
        <f>300*1308.76</f>
        <v>392628</v>
      </c>
      <c r="H413" s="3">
        <f>400*1308.76</f>
        <v>523504</v>
      </c>
      <c r="I413" s="3">
        <f>250*1308.76</f>
        <v>327190</v>
      </c>
      <c r="J413" s="3">
        <v>0</v>
      </c>
      <c r="K413" s="4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f t="shared" si="224"/>
        <v>0</v>
      </c>
      <c r="S413" s="3">
        <v>0</v>
      </c>
      <c r="T413" s="3">
        <v>0</v>
      </c>
      <c r="U413" s="3">
        <v>125061.32</v>
      </c>
      <c r="V413" s="6" t="e">
        <f t="shared" si="223"/>
        <v>#DIV/0!</v>
      </c>
    </row>
    <row r="414" spans="1:22" ht="21.95" customHeight="1" x14ac:dyDescent="0.25">
      <c r="A414" s="37" t="s">
        <v>1636</v>
      </c>
      <c r="B414" s="8" t="s">
        <v>1193</v>
      </c>
      <c r="C414" s="2">
        <f t="shared" si="176"/>
        <v>3238185.45</v>
      </c>
      <c r="D414" s="3">
        <f t="shared" si="220"/>
        <v>3112551.5</v>
      </c>
      <c r="E414" s="3">
        <f>350*1324.49</f>
        <v>463571.5</v>
      </c>
      <c r="F414" s="3">
        <f>1050*1324.49</f>
        <v>1390714.5</v>
      </c>
      <c r="G414" s="3">
        <f>300*1324.49</f>
        <v>397347</v>
      </c>
      <c r="H414" s="3">
        <f>400*1324.49</f>
        <v>529796</v>
      </c>
      <c r="I414" s="3">
        <f>250*1324.49</f>
        <v>331122.5</v>
      </c>
      <c r="J414" s="3">
        <v>0</v>
      </c>
      <c r="K414" s="4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f t="shared" si="224"/>
        <v>0</v>
      </c>
      <c r="S414" s="3">
        <v>0</v>
      </c>
      <c r="T414" s="3">
        <v>0</v>
      </c>
      <c r="U414" s="3">
        <v>125633.95</v>
      </c>
      <c r="V414" s="6" t="e">
        <f t="shared" si="223"/>
        <v>#DIV/0!</v>
      </c>
    </row>
    <row r="415" spans="1:22" ht="45" customHeight="1" x14ac:dyDescent="0.25">
      <c r="A415" s="54" t="s">
        <v>224</v>
      </c>
      <c r="B415" s="54"/>
      <c r="C415" s="2">
        <f>SUM(C416:C422)</f>
        <v>30972099.800000001</v>
      </c>
      <c r="D415" s="2">
        <f t="shared" ref="D415:U415" si="225">SUM(D416:D422)</f>
        <v>3682320</v>
      </c>
      <c r="E415" s="2">
        <f t="shared" si="225"/>
        <v>768880</v>
      </c>
      <c r="F415" s="2">
        <f t="shared" si="225"/>
        <v>1454460</v>
      </c>
      <c r="G415" s="2">
        <f t="shared" si="225"/>
        <v>558600</v>
      </c>
      <c r="H415" s="2">
        <f t="shared" si="225"/>
        <v>554080</v>
      </c>
      <c r="I415" s="2">
        <f t="shared" si="225"/>
        <v>346300</v>
      </c>
      <c r="J415" s="2">
        <f t="shared" si="225"/>
        <v>0</v>
      </c>
      <c r="K415" s="14">
        <f t="shared" si="225"/>
        <v>0</v>
      </c>
      <c r="L415" s="2">
        <f t="shared" si="225"/>
        <v>0</v>
      </c>
      <c r="M415" s="2">
        <f t="shared" si="225"/>
        <v>2928.22</v>
      </c>
      <c r="N415" s="2">
        <f t="shared" si="225"/>
        <v>15108779.800000001</v>
      </c>
      <c r="O415" s="2">
        <f t="shared" si="225"/>
        <v>0</v>
      </c>
      <c r="P415" s="2">
        <f t="shared" si="225"/>
        <v>0</v>
      </c>
      <c r="Q415" s="2">
        <f t="shared" si="225"/>
        <v>3927</v>
      </c>
      <c r="R415" s="2">
        <f t="shared" si="225"/>
        <v>11781000</v>
      </c>
      <c r="S415" s="2">
        <f t="shared" si="225"/>
        <v>0</v>
      </c>
      <c r="T415" s="2">
        <f t="shared" si="225"/>
        <v>0</v>
      </c>
      <c r="U415" s="2">
        <f t="shared" si="225"/>
        <v>400000</v>
      </c>
    </row>
    <row r="416" spans="1:22" ht="21.95" customHeight="1" x14ac:dyDescent="0.25">
      <c r="A416" s="37" t="s">
        <v>1637</v>
      </c>
      <c r="B416" s="8" t="s">
        <v>225</v>
      </c>
      <c r="C416" s="2">
        <f t="shared" si="176"/>
        <v>6535410</v>
      </c>
      <c r="D416" s="3">
        <f t="shared" ref="D416:D422" si="226">SUM(E416:J416)</f>
        <v>1627610</v>
      </c>
      <c r="E416" s="3">
        <f>350*692.6</f>
        <v>242410</v>
      </c>
      <c r="F416" s="3">
        <f>1050*692.6</f>
        <v>727230</v>
      </c>
      <c r="G416" s="3">
        <f>300*692.6</f>
        <v>207780</v>
      </c>
      <c r="H416" s="3">
        <f>400*692.6</f>
        <v>277040</v>
      </c>
      <c r="I416" s="3">
        <f>250*692.6</f>
        <v>173150</v>
      </c>
      <c r="J416" s="3">
        <f>350*0</f>
        <v>0</v>
      </c>
      <c r="K416" s="4">
        <v>0</v>
      </c>
      <c r="L416" s="3">
        <v>0</v>
      </c>
      <c r="M416" s="3">
        <v>525.6</v>
      </c>
      <c r="N416" s="3">
        <f>M416*5500</f>
        <v>2890800</v>
      </c>
      <c r="O416" s="3">
        <v>0</v>
      </c>
      <c r="P416" s="3">
        <v>0</v>
      </c>
      <c r="Q416" s="3">
        <v>639</v>
      </c>
      <c r="R416" s="3">
        <f t="shared" ref="R416:R422" si="227">Q416*3000</f>
        <v>1917000</v>
      </c>
      <c r="S416" s="3">
        <v>0</v>
      </c>
      <c r="T416" s="3">
        <v>0</v>
      </c>
      <c r="U416" s="3">
        <v>100000</v>
      </c>
      <c r="V416" s="6">
        <f t="shared" ref="V416:V422" si="228">N416/M416</f>
        <v>5500</v>
      </c>
    </row>
    <row r="417" spans="1:22" ht="21.95" customHeight="1" x14ac:dyDescent="0.25">
      <c r="A417" s="37" t="s">
        <v>1638</v>
      </c>
      <c r="B417" s="8" t="s">
        <v>226</v>
      </c>
      <c r="C417" s="2">
        <f t="shared" si="176"/>
        <v>6523310</v>
      </c>
      <c r="D417" s="3">
        <f t="shared" si="226"/>
        <v>1627610</v>
      </c>
      <c r="E417" s="3">
        <f>350*692.6</f>
        <v>242410</v>
      </c>
      <c r="F417" s="3">
        <f>1050*692.6</f>
        <v>727230</v>
      </c>
      <c r="G417" s="3">
        <f>300*692.6</f>
        <v>207780</v>
      </c>
      <c r="H417" s="3">
        <f>400*692.6</f>
        <v>277040</v>
      </c>
      <c r="I417" s="3">
        <f>250*692.6</f>
        <v>173150</v>
      </c>
      <c r="J417" s="3">
        <f>350*0</f>
        <v>0</v>
      </c>
      <c r="K417" s="4">
        <v>0</v>
      </c>
      <c r="L417" s="3">
        <v>0</v>
      </c>
      <c r="M417" s="3">
        <v>523.4</v>
      </c>
      <c r="N417" s="3">
        <f>M417*5500</f>
        <v>2878700</v>
      </c>
      <c r="O417" s="3">
        <v>0</v>
      </c>
      <c r="P417" s="3">
        <v>0</v>
      </c>
      <c r="Q417" s="3">
        <v>639</v>
      </c>
      <c r="R417" s="3">
        <f t="shared" si="227"/>
        <v>1917000</v>
      </c>
      <c r="S417" s="3">
        <v>0</v>
      </c>
      <c r="T417" s="3">
        <v>0</v>
      </c>
      <c r="U417" s="3">
        <v>100000</v>
      </c>
      <c r="V417" s="6">
        <f t="shared" si="228"/>
        <v>5500</v>
      </c>
    </row>
    <row r="418" spans="1:22" ht="21.95" customHeight="1" x14ac:dyDescent="0.25">
      <c r="A418" s="37" t="s">
        <v>1639</v>
      </c>
      <c r="B418" s="8" t="s">
        <v>230</v>
      </c>
      <c r="C418" s="2">
        <f t="shared" si="176"/>
        <v>4471140</v>
      </c>
      <c r="D418" s="3">
        <f t="shared" si="226"/>
        <v>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4">
        <v>0</v>
      </c>
      <c r="L418" s="3">
        <v>0</v>
      </c>
      <c r="M418" s="3">
        <v>459.48</v>
      </c>
      <c r="N418" s="3">
        <f t="shared" ref="N418" si="229">M418*5500</f>
        <v>2527140</v>
      </c>
      <c r="O418" s="3">
        <v>0</v>
      </c>
      <c r="P418" s="3">
        <v>0</v>
      </c>
      <c r="Q418" s="3">
        <v>648</v>
      </c>
      <c r="R418" s="3">
        <f t="shared" si="227"/>
        <v>1944000</v>
      </c>
      <c r="S418" s="3">
        <v>0</v>
      </c>
      <c r="T418" s="3">
        <v>0</v>
      </c>
      <c r="U418" s="3">
        <v>0</v>
      </c>
      <c r="V418" s="6">
        <f t="shared" si="228"/>
        <v>5500</v>
      </c>
    </row>
    <row r="419" spans="1:22" ht="21.95" customHeight="1" x14ac:dyDescent="0.25">
      <c r="A419" s="37" t="s">
        <v>1640</v>
      </c>
      <c r="B419" s="8" t="s">
        <v>233</v>
      </c>
      <c r="C419" s="2">
        <f t="shared" si="176"/>
        <v>3865620</v>
      </c>
      <c r="D419" s="3">
        <f t="shared" si="226"/>
        <v>309920</v>
      </c>
      <c r="E419" s="3">
        <f>350*476.8</f>
        <v>166880</v>
      </c>
      <c r="F419" s="3">
        <v>0</v>
      </c>
      <c r="G419" s="3">
        <f>300*476.8</f>
        <v>143040</v>
      </c>
      <c r="H419" s="3">
        <v>0</v>
      </c>
      <c r="I419" s="3">
        <v>0</v>
      </c>
      <c r="J419" s="3">
        <f>350*0</f>
        <v>0</v>
      </c>
      <c r="K419" s="4">
        <v>0</v>
      </c>
      <c r="L419" s="3">
        <v>0</v>
      </c>
      <c r="M419" s="3">
        <v>365.4</v>
      </c>
      <c r="N419" s="3">
        <f t="shared" ref="N419" si="230">M419*5500</f>
        <v>2009699.9999999998</v>
      </c>
      <c r="O419" s="3">
        <v>0</v>
      </c>
      <c r="P419" s="3">
        <v>0</v>
      </c>
      <c r="Q419" s="3">
        <v>482</v>
      </c>
      <c r="R419" s="3">
        <f t="shared" si="227"/>
        <v>1446000</v>
      </c>
      <c r="S419" s="3">
        <v>0</v>
      </c>
      <c r="T419" s="3">
        <v>0</v>
      </c>
      <c r="U419" s="3">
        <v>100000</v>
      </c>
      <c r="V419" s="6">
        <f t="shared" si="228"/>
        <v>5500</v>
      </c>
    </row>
    <row r="420" spans="1:22" ht="21.95" customHeight="1" x14ac:dyDescent="0.25">
      <c r="A420" s="37" t="s">
        <v>1641</v>
      </c>
      <c r="B420" s="8" t="s">
        <v>236</v>
      </c>
      <c r="C420" s="2">
        <f t="shared" si="176"/>
        <v>3096980</v>
      </c>
      <c r="D420" s="3">
        <f t="shared" si="226"/>
        <v>117180</v>
      </c>
      <c r="E420" s="3">
        <f>350*334.8</f>
        <v>117180</v>
      </c>
      <c r="F420" s="3">
        <f>800*0</f>
        <v>0</v>
      </c>
      <c r="G420" s="3">
        <v>0</v>
      </c>
      <c r="H420" s="3">
        <f>400*0</f>
        <v>0</v>
      </c>
      <c r="I420" s="3">
        <v>0</v>
      </c>
      <c r="J420" s="3">
        <v>0</v>
      </c>
      <c r="K420" s="4">
        <v>0</v>
      </c>
      <c r="L420" s="3">
        <v>0</v>
      </c>
      <c r="M420" s="3">
        <v>301.60000000000002</v>
      </c>
      <c r="N420" s="3">
        <f t="shared" ref="N420" si="231">M420*5500</f>
        <v>1658800.0000000002</v>
      </c>
      <c r="O420" s="3">
        <v>0</v>
      </c>
      <c r="P420" s="3">
        <v>0</v>
      </c>
      <c r="Q420" s="3">
        <v>407</v>
      </c>
      <c r="R420" s="3">
        <f t="shared" si="227"/>
        <v>1221000</v>
      </c>
      <c r="S420" s="3">
        <v>0</v>
      </c>
      <c r="T420" s="3">
        <v>0</v>
      </c>
      <c r="U420" s="3">
        <v>100000</v>
      </c>
      <c r="V420" s="6">
        <f t="shared" si="228"/>
        <v>5500</v>
      </c>
    </row>
    <row r="421" spans="1:22" ht="21.95" customHeight="1" x14ac:dyDescent="0.25">
      <c r="A421" s="37" t="s">
        <v>1642</v>
      </c>
      <c r="B421" s="8" t="s">
        <v>1019</v>
      </c>
      <c r="C421" s="2">
        <f t="shared" ref="C421:C492" si="232">D421+L421+N421+P421+R421+S421+T421+U421</f>
        <v>4190719.8</v>
      </c>
      <c r="D421" s="3">
        <f t="shared" si="226"/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549.29999999999995</v>
      </c>
      <c r="N421" s="3">
        <f>M421*3686</f>
        <v>2024719.7999999998</v>
      </c>
      <c r="O421" s="3">
        <v>0</v>
      </c>
      <c r="P421" s="3">
        <v>0</v>
      </c>
      <c r="Q421" s="3">
        <v>722</v>
      </c>
      <c r="R421" s="3">
        <f t="shared" si="227"/>
        <v>2166000</v>
      </c>
      <c r="S421" s="3">
        <v>0</v>
      </c>
      <c r="T421" s="3">
        <v>0</v>
      </c>
      <c r="U421" s="3">
        <v>0</v>
      </c>
      <c r="V421" s="6">
        <f t="shared" si="228"/>
        <v>3686</v>
      </c>
    </row>
    <row r="422" spans="1:22" ht="21.95" customHeight="1" x14ac:dyDescent="0.25">
      <c r="A422" s="37" t="s">
        <v>1643</v>
      </c>
      <c r="B422" s="8" t="s">
        <v>238</v>
      </c>
      <c r="C422" s="2">
        <f t="shared" si="232"/>
        <v>2288920</v>
      </c>
      <c r="D422" s="3">
        <f t="shared" si="226"/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4">
        <v>0</v>
      </c>
      <c r="L422" s="3">
        <v>0</v>
      </c>
      <c r="M422" s="3">
        <v>203.44</v>
      </c>
      <c r="N422" s="3">
        <f t="shared" ref="N422" si="233">M422*5500</f>
        <v>1118920</v>
      </c>
      <c r="O422" s="3">
        <v>0</v>
      </c>
      <c r="P422" s="3">
        <v>0</v>
      </c>
      <c r="Q422" s="3">
        <v>390</v>
      </c>
      <c r="R422" s="3">
        <f t="shared" si="227"/>
        <v>1170000</v>
      </c>
      <c r="S422" s="3">
        <v>0</v>
      </c>
      <c r="T422" s="3">
        <v>0</v>
      </c>
      <c r="U422" s="3">
        <v>0</v>
      </c>
      <c r="V422" s="6">
        <f t="shared" si="228"/>
        <v>5500</v>
      </c>
    </row>
    <row r="423" spans="1:22" ht="45" customHeight="1" x14ac:dyDescent="0.25">
      <c r="A423" s="54" t="s">
        <v>1218</v>
      </c>
      <c r="B423" s="54"/>
      <c r="C423" s="2">
        <f>SUM(C424)</f>
        <v>3521699.6</v>
      </c>
      <c r="D423" s="2">
        <f t="shared" ref="D423:U423" si="234">SUM(D424)</f>
        <v>0</v>
      </c>
      <c r="E423" s="2">
        <f t="shared" si="234"/>
        <v>0</v>
      </c>
      <c r="F423" s="2">
        <f t="shared" si="234"/>
        <v>0</v>
      </c>
      <c r="G423" s="2">
        <f t="shared" si="234"/>
        <v>0</v>
      </c>
      <c r="H423" s="2">
        <f t="shared" si="234"/>
        <v>0</v>
      </c>
      <c r="I423" s="2">
        <f t="shared" si="234"/>
        <v>0</v>
      </c>
      <c r="J423" s="2">
        <f t="shared" si="234"/>
        <v>0</v>
      </c>
      <c r="K423" s="14">
        <f t="shared" si="234"/>
        <v>0</v>
      </c>
      <c r="L423" s="2">
        <f t="shared" si="234"/>
        <v>0</v>
      </c>
      <c r="M423" s="2">
        <f t="shared" si="234"/>
        <v>385.6</v>
      </c>
      <c r="N423" s="2">
        <f t="shared" si="234"/>
        <v>2039699.6</v>
      </c>
      <c r="O423" s="2">
        <f t="shared" si="234"/>
        <v>0</v>
      </c>
      <c r="P423" s="2">
        <f t="shared" si="234"/>
        <v>0</v>
      </c>
      <c r="Q423" s="2">
        <f t="shared" si="234"/>
        <v>494</v>
      </c>
      <c r="R423" s="2">
        <f t="shared" si="234"/>
        <v>1482000</v>
      </c>
      <c r="S423" s="2">
        <f t="shared" si="234"/>
        <v>0</v>
      </c>
      <c r="T423" s="2">
        <f t="shared" si="234"/>
        <v>0</v>
      </c>
      <c r="U423" s="2">
        <f t="shared" si="234"/>
        <v>0</v>
      </c>
      <c r="V423" s="18">
        <f>C423</f>
        <v>3521699.6</v>
      </c>
    </row>
    <row r="424" spans="1:22" ht="21.95" customHeight="1" x14ac:dyDescent="0.25">
      <c r="A424" s="37" t="s">
        <v>1644</v>
      </c>
      <c r="B424" s="8" t="s">
        <v>1020</v>
      </c>
      <c r="C424" s="2">
        <f t="shared" si="232"/>
        <v>3521699.6</v>
      </c>
      <c r="D424" s="3">
        <f t="shared" ref="D424" si="235">SUM(E424:J424)</f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4">
        <v>0</v>
      </c>
      <c r="L424" s="3">
        <v>0</v>
      </c>
      <c r="M424" s="3">
        <v>385.6</v>
      </c>
      <c r="N424" s="3">
        <v>2039699.6</v>
      </c>
      <c r="O424" s="3">
        <v>0</v>
      </c>
      <c r="P424" s="3">
        <v>0</v>
      </c>
      <c r="Q424" s="3">
        <v>494</v>
      </c>
      <c r="R424" s="3">
        <f>Q424*3000</f>
        <v>1482000</v>
      </c>
      <c r="S424" s="3">
        <v>0</v>
      </c>
      <c r="T424" s="3">
        <v>0</v>
      </c>
      <c r="U424" s="3">
        <v>0</v>
      </c>
      <c r="V424" s="6">
        <f t="shared" ref="V424" si="236">N424/M424</f>
        <v>5289.677385892116</v>
      </c>
    </row>
    <row r="425" spans="1:22" ht="45" customHeight="1" x14ac:dyDescent="0.25">
      <c r="A425" s="54" t="s">
        <v>241</v>
      </c>
      <c r="B425" s="54"/>
      <c r="C425" s="2">
        <f>SUM(C426)</f>
        <v>4060210</v>
      </c>
      <c r="D425" s="2">
        <f t="shared" ref="D425:U425" si="237">SUM(D426)</f>
        <v>1002510</v>
      </c>
      <c r="E425" s="2">
        <f t="shared" si="237"/>
        <v>389865.00000000006</v>
      </c>
      <c r="F425" s="2">
        <f t="shared" si="237"/>
        <v>0</v>
      </c>
      <c r="G425" s="2">
        <f t="shared" si="237"/>
        <v>334170</v>
      </c>
      <c r="H425" s="2">
        <f t="shared" si="237"/>
        <v>0</v>
      </c>
      <c r="I425" s="2">
        <f t="shared" si="237"/>
        <v>278475</v>
      </c>
      <c r="J425" s="2">
        <f t="shared" si="237"/>
        <v>0</v>
      </c>
      <c r="K425" s="14">
        <f t="shared" si="237"/>
        <v>0</v>
      </c>
      <c r="L425" s="2">
        <f t="shared" si="237"/>
        <v>0</v>
      </c>
      <c r="M425" s="2">
        <f t="shared" si="237"/>
        <v>0</v>
      </c>
      <c r="N425" s="2">
        <f t="shared" si="237"/>
        <v>0</v>
      </c>
      <c r="O425" s="2">
        <f t="shared" si="237"/>
        <v>0</v>
      </c>
      <c r="P425" s="2">
        <f t="shared" si="237"/>
        <v>0</v>
      </c>
      <c r="Q425" s="2">
        <f t="shared" si="237"/>
        <v>985.9</v>
      </c>
      <c r="R425" s="2">
        <f t="shared" si="237"/>
        <v>2957700</v>
      </c>
      <c r="S425" s="2">
        <f t="shared" si="237"/>
        <v>0</v>
      </c>
      <c r="T425" s="2">
        <f t="shared" si="237"/>
        <v>0</v>
      </c>
      <c r="U425" s="2">
        <f t="shared" si="237"/>
        <v>100000</v>
      </c>
      <c r="V425" s="18">
        <f>C425</f>
        <v>4060210</v>
      </c>
    </row>
    <row r="426" spans="1:22" ht="21.95" customHeight="1" x14ac:dyDescent="0.25">
      <c r="A426" s="37" t="s">
        <v>1645</v>
      </c>
      <c r="B426" s="8" t="s">
        <v>239</v>
      </c>
      <c r="C426" s="2">
        <f t="shared" si="232"/>
        <v>4060210</v>
      </c>
      <c r="D426" s="3">
        <f t="shared" ref="D426" si="238">SUM(E426:J426)</f>
        <v>1002510</v>
      </c>
      <c r="E426" s="3">
        <f>350*1113.9</f>
        <v>389865.00000000006</v>
      </c>
      <c r="F426" s="3">
        <v>0</v>
      </c>
      <c r="G426" s="3">
        <f>300*1113.9</f>
        <v>334170</v>
      </c>
      <c r="H426" s="3">
        <v>0</v>
      </c>
      <c r="I426" s="3">
        <f>250*1113.9</f>
        <v>278475</v>
      </c>
      <c r="J426" s="3">
        <f>350*0</f>
        <v>0</v>
      </c>
      <c r="K426" s="4">
        <v>0</v>
      </c>
      <c r="L426" s="3">
        <v>0</v>
      </c>
      <c r="M426" s="3">
        <v>0</v>
      </c>
      <c r="N426" s="3">
        <f t="shared" ref="N426" si="239">M426*5500</f>
        <v>0</v>
      </c>
      <c r="O426" s="3">
        <v>0</v>
      </c>
      <c r="P426" s="3">
        <v>0</v>
      </c>
      <c r="Q426" s="3">
        <v>985.9</v>
      </c>
      <c r="R426" s="3">
        <f>Q426*3000</f>
        <v>2957700</v>
      </c>
      <c r="S426" s="3">
        <v>0</v>
      </c>
      <c r="T426" s="3">
        <v>0</v>
      </c>
      <c r="U426" s="3">
        <v>100000</v>
      </c>
      <c r="V426" s="6" t="e">
        <f t="shared" ref="V426" si="240">N426/M426</f>
        <v>#DIV/0!</v>
      </c>
    </row>
    <row r="427" spans="1:22" ht="45" customHeight="1" x14ac:dyDescent="0.25">
      <c r="A427" s="54" t="s">
        <v>266</v>
      </c>
      <c r="B427" s="54"/>
      <c r="C427" s="2">
        <f>SUM(C428:C445)</f>
        <v>127449054.82000001</v>
      </c>
      <c r="D427" s="2">
        <f t="shared" ref="D427:U427" si="241">SUM(D428:D445)</f>
        <v>30791247.280000001</v>
      </c>
      <c r="E427" s="2">
        <f t="shared" si="241"/>
        <v>5590109.25</v>
      </c>
      <c r="F427" s="2">
        <f t="shared" si="241"/>
        <v>16572353.83</v>
      </c>
      <c r="G427" s="2">
        <f t="shared" si="241"/>
        <v>4553704.4800000004</v>
      </c>
      <c r="H427" s="2">
        <f t="shared" si="241"/>
        <v>0</v>
      </c>
      <c r="I427" s="2">
        <f t="shared" si="241"/>
        <v>4075079.72</v>
      </c>
      <c r="J427" s="2">
        <f t="shared" si="241"/>
        <v>0</v>
      </c>
      <c r="K427" s="14">
        <f t="shared" si="241"/>
        <v>0</v>
      </c>
      <c r="L427" s="2">
        <f t="shared" si="241"/>
        <v>0</v>
      </c>
      <c r="M427" s="2">
        <f t="shared" si="241"/>
        <v>10473.23</v>
      </c>
      <c r="N427" s="2">
        <f t="shared" si="241"/>
        <v>49744519.410000004</v>
      </c>
      <c r="O427" s="2">
        <f t="shared" si="241"/>
        <v>1100.4000000000001</v>
      </c>
      <c r="P427" s="2">
        <f t="shared" si="241"/>
        <v>1299672</v>
      </c>
      <c r="Q427" s="2">
        <f t="shared" si="241"/>
        <v>14310.2</v>
      </c>
      <c r="R427" s="2">
        <f t="shared" si="241"/>
        <v>42884047.189999998</v>
      </c>
      <c r="S427" s="2">
        <f t="shared" si="241"/>
        <v>0</v>
      </c>
      <c r="T427" s="2">
        <f t="shared" si="241"/>
        <v>0</v>
      </c>
      <c r="U427" s="2">
        <f t="shared" si="241"/>
        <v>2729568.9400000004</v>
      </c>
    </row>
    <row r="428" spans="1:22" ht="24.95" customHeight="1" x14ac:dyDescent="0.25">
      <c r="A428" s="37" t="s">
        <v>1646</v>
      </c>
      <c r="B428" s="8" t="s">
        <v>1204</v>
      </c>
      <c r="C428" s="2">
        <f t="shared" si="232"/>
        <v>462448.03</v>
      </c>
      <c r="D428" s="3">
        <f t="shared" ref="D428:D445" si="242">SUM(E428:J428)</f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11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3">
        <f t="shared" ref="R428:R445" si="243">Q428*3000</f>
        <v>0</v>
      </c>
      <c r="S428" s="5">
        <v>0</v>
      </c>
      <c r="T428" s="5">
        <v>0</v>
      </c>
      <c r="U428" s="5">
        <v>462448.03</v>
      </c>
      <c r="V428" s="6" t="e">
        <f t="shared" ref="V428:V445" si="244">N428/M428</f>
        <v>#DIV/0!</v>
      </c>
    </row>
    <row r="429" spans="1:22" ht="21.95" customHeight="1" x14ac:dyDescent="0.25">
      <c r="A429" s="37" t="s">
        <v>1647</v>
      </c>
      <c r="B429" s="22" t="s">
        <v>244</v>
      </c>
      <c r="C429" s="2">
        <f t="shared" si="232"/>
        <v>10653912.359999999</v>
      </c>
      <c r="D429" s="3">
        <f t="shared" ref="D429" si="245">SUM(E429:J429)</f>
        <v>2592104.37</v>
      </c>
      <c r="E429" s="3">
        <v>490134.02</v>
      </c>
      <c r="F429" s="3">
        <v>1333139.81</v>
      </c>
      <c r="G429" s="3">
        <v>290053.45</v>
      </c>
      <c r="H429" s="3">
        <f>500*0</f>
        <v>0</v>
      </c>
      <c r="I429" s="3">
        <v>478777.09</v>
      </c>
      <c r="J429" s="3">
        <f>350*0</f>
        <v>0</v>
      </c>
      <c r="K429" s="4">
        <v>0</v>
      </c>
      <c r="L429" s="3">
        <v>0</v>
      </c>
      <c r="M429" s="3">
        <v>853.48</v>
      </c>
      <c r="N429" s="3">
        <v>4390154.92</v>
      </c>
      <c r="O429" s="3">
        <v>49.2</v>
      </c>
      <c r="P429" s="3">
        <v>50016</v>
      </c>
      <c r="Q429" s="3">
        <v>1215</v>
      </c>
      <c r="R429" s="3">
        <v>3621637.07</v>
      </c>
      <c r="S429" s="3">
        <v>0</v>
      </c>
      <c r="T429" s="3">
        <v>0</v>
      </c>
      <c r="U429" s="3">
        <v>0</v>
      </c>
      <c r="V429" s="6">
        <f t="shared" si="244"/>
        <v>5143.8287013169611</v>
      </c>
    </row>
    <row r="430" spans="1:22" ht="21.95" customHeight="1" x14ac:dyDescent="0.25">
      <c r="A430" s="37" t="s">
        <v>1648</v>
      </c>
      <c r="B430" s="8" t="s">
        <v>246</v>
      </c>
      <c r="C430" s="2">
        <f t="shared" si="232"/>
        <v>10848884</v>
      </c>
      <c r="D430" s="3">
        <f t="shared" ref="D430" si="246">SUM(E430:J430)</f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994</v>
      </c>
      <c r="N430" s="3">
        <f>M430*3686</f>
        <v>3663884</v>
      </c>
      <c r="O430" s="3">
        <v>0</v>
      </c>
      <c r="P430" s="3">
        <v>0</v>
      </c>
      <c r="Q430" s="3">
        <v>2395</v>
      </c>
      <c r="R430" s="3">
        <f>Q430*3000</f>
        <v>7185000</v>
      </c>
      <c r="S430" s="3">
        <v>0</v>
      </c>
      <c r="T430" s="3">
        <v>0</v>
      </c>
      <c r="U430" s="3">
        <v>0</v>
      </c>
      <c r="V430" s="6">
        <f t="shared" si="244"/>
        <v>3686</v>
      </c>
    </row>
    <row r="431" spans="1:22" ht="24.95" customHeight="1" x14ac:dyDescent="0.25">
      <c r="A431" s="37" t="s">
        <v>1649</v>
      </c>
      <c r="B431" s="22" t="s">
        <v>247</v>
      </c>
      <c r="C431" s="2">
        <f t="shared" si="232"/>
        <v>5828000</v>
      </c>
      <c r="D431" s="3">
        <f t="shared" si="242"/>
        <v>1833000</v>
      </c>
      <c r="E431" s="3">
        <f>350*940</f>
        <v>329000</v>
      </c>
      <c r="F431" s="3">
        <f>1050*940</f>
        <v>987000</v>
      </c>
      <c r="G431" s="3">
        <f>300*940</f>
        <v>282000</v>
      </c>
      <c r="H431" s="3">
        <f t="shared" ref="H431:H441" si="247">400*0</f>
        <v>0</v>
      </c>
      <c r="I431" s="3">
        <f>250*940</f>
        <v>235000</v>
      </c>
      <c r="J431" s="3">
        <f t="shared" ref="J431:J441" si="248">350*0</f>
        <v>0</v>
      </c>
      <c r="K431" s="4">
        <v>0</v>
      </c>
      <c r="L431" s="3">
        <v>0</v>
      </c>
      <c r="M431" s="3">
        <v>690</v>
      </c>
      <c r="N431" s="3">
        <f t="shared" ref="N431:N432" si="249">M431*5500</f>
        <v>3795000</v>
      </c>
      <c r="O431" s="3">
        <v>0</v>
      </c>
      <c r="P431" s="3">
        <v>0</v>
      </c>
      <c r="Q431" s="3">
        <v>0</v>
      </c>
      <c r="R431" s="3">
        <f t="shared" si="243"/>
        <v>0</v>
      </c>
      <c r="S431" s="3">
        <v>0</v>
      </c>
      <c r="T431" s="3">
        <v>0</v>
      </c>
      <c r="U431" s="3">
        <v>200000</v>
      </c>
      <c r="V431" s="6">
        <f t="shared" si="244"/>
        <v>5500</v>
      </c>
    </row>
    <row r="432" spans="1:22" ht="24.95" customHeight="1" x14ac:dyDescent="0.25">
      <c r="A432" s="37" t="s">
        <v>1650</v>
      </c>
      <c r="B432" s="22" t="s">
        <v>245</v>
      </c>
      <c r="C432" s="2">
        <f t="shared" si="232"/>
        <v>6731350</v>
      </c>
      <c r="D432" s="3">
        <f t="shared" si="242"/>
        <v>1476150</v>
      </c>
      <c r="E432" s="3">
        <f>350*757</f>
        <v>264950</v>
      </c>
      <c r="F432" s="3">
        <f>1050*757</f>
        <v>794850</v>
      </c>
      <c r="G432" s="3">
        <f>300*757</f>
        <v>227100</v>
      </c>
      <c r="H432" s="3">
        <f t="shared" si="247"/>
        <v>0</v>
      </c>
      <c r="I432" s="3">
        <f>250*757</f>
        <v>189250</v>
      </c>
      <c r="J432" s="3">
        <f t="shared" si="248"/>
        <v>0</v>
      </c>
      <c r="K432" s="4">
        <v>0</v>
      </c>
      <c r="L432" s="3">
        <v>0</v>
      </c>
      <c r="M432" s="3">
        <v>544.4</v>
      </c>
      <c r="N432" s="3">
        <f t="shared" si="249"/>
        <v>2994200</v>
      </c>
      <c r="O432" s="3">
        <v>0</v>
      </c>
      <c r="P432" s="3">
        <v>0</v>
      </c>
      <c r="Q432" s="3">
        <v>707</v>
      </c>
      <c r="R432" s="3">
        <f t="shared" si="243"/>
        <v>2121000</v>
      </c>
      <c r="S432" s="3">
        <v>0</v>
      </c>
      <c r="T432" s="3">
        <v>0</v>
      </c>
      <c r="U432" s="3">
        <v>140000</v>
      </c>
      <c r="V432" s="6">
        <f t="shared" si="244"/>
        <v>5500</v>
      </c>
    </row>
    <row r="433" spans="1:22" ht="21.95" customHeight="1" x14ac:dyDescent="0.25">
      <c r="A433" s="37" t="s">
        <v>1651</v>
      </c>
      <c r="B433" s="22" t="s">
        <v>248</v>
      </c>
      <c r="C433" s="2">
        <f t="shared" si="232"/>
        <v>8247146.9500000002</v>
      </c>
      <c r="D433" s="3">
        <f t="shared" ref="D433" si="250">SUM(E433:J433)</f>
        <v>2264532.91</v>
      </c>
      <c r="E433" s="3">
        <v>445045.23</v>
      </c>
      <c r="F433" s="3">
        <v>1274424.02</v>
      </c>
      <c r="G433" s="3">
        <v>273711.03000000003</v>
      </c>
      <c r="H433" s="3">
        <f>500*0</f>
        <v>0</v>
      </c>
      <c r="I433" s="3">
        <v>271352.63</v>
      </c>
      <c r="J433" s="3">
        <f>350*0</f>
        <v>0</v>
      </c>
      <c r="K433" s="4">
        <v>0</v>
      </c>
      <c r="L433" s="3">
        <v>0</v>
      </c>
      <c r="M433" s="3">
        <v>741.45</v>
      </c>
      <c r="N433" s="3">
        <v>2349427.92</v>
      </c>
      <c r="O433" s="3">
        <v>41.8</v>
      </c>
      <c r="P433" s="3">
        <v>38376</v>
      </c>
      <c r="Q433" s="3">
        <v>1206</v>
      </c>
      <c r="R433" s="3">
        <v>3594810.12</v>
      </c>
      <c r="S433" s="3">
        <v>0</v>
      </c>
      <c r="T433" s="3">
        <v>0</v>
      </c>
      <c r="U433" s="3">
        <v>0</v>
      </c>
      <c r="V433" s="6">
        <f t="shared" si="244"/>
        <v>3168.6936678130687</v>
      </c>
    </row>
    <row r="434" spans="1:22" ht="24.95" customHeight="1" x14ac:dyDescent="0.25">
      <c r="A434" s="37" t="s">
        <v>827</v>
      </c>
      <c r="B434" s="22" t="s">
        <v>250</v>
      </c>
      <c r="C434" s="2">
        <f t="shared" si="232"/>
        <v>8040625.9000000004</v>
      </c>
      <c r="D434" s="3">
        <f t="shared" si="242"/>
        <v>3623100</v>
      </c>
      <c r="E434" s="3">
        <f>350*1858</f>
        <v>650300</v>
      </c>
      <c r="F434" s="3">
        <f>1050*1858</f>
        <v>1950900</v>
      </c>
      <c r="G434" s="3">
        <f>300*1858</f>
        <v>557400</v>
      </c>
      <c r="H434" s="3">
        <f t="shared" si="247"/>
        <v>0</v>
      </c>
      <c r="I434" s="3">
        <f>250*1858</f>
        <v>464500</v>
      </c>
      <c r="J434" s="3">
        <f t="shared" si="248"/>
        <v>0</v>
      </c>
      <c r="K434" s="4">
        <v>0</v>
      </c>
      <c r="L434" s="3">
        <v>0</v>
      </c>
      <c r="M434" s="3">
        <v>0</v>
      </c>
      <c r="N434" s="3">
        <v>0</v>
      </c>
      <c r="O434" s="3">
        <v>72.400000000000006</v>
      </c>
      <c r="P434" s="3">
        <f>O434*1200</f>
        <v>86880</v>
      </c>
      <c r="Q434" s="3">
        <v>1386</v>
      </c>
      <c r="R434" s="3">
        <f t="shared" si="243"/>
        <v>4158000</v>
      </c>
      <c r="S434" s="3">
        <v>0</v>
      </c>
      <c r="T434" s="3">
        <v>0</v>
      </c>
      <c r="U434" s="3">
        <v>172645.9</v>
      </c>
      <c r="V434" s="6" t="e">
        <f t="shared" si="244"/>
        <v>#DIV/0!</v>
      </c>
    </row>
    <row r="435" spans="1:22" ht="24.95" customHeight="1" x14ac:dyDescent="0.25">
      <c r="A435" s="37" t="s">
        <v>1652</v>
      </c>
      <c r="B435" s="22" t="s">
        <v>251</v>
      </c>
      <c r="C435" s="2">
        <f t="shared" si="232"/>
        <v>5740079.5999999996</v>
      </c>
      <c r="D435" s="3">
        <f t="shared" si="242"/>
        <v>1534650</v>
      </c>
      <c r="E435" s="3">
        <f>350*787</f>
        <v>275450</v>
      </c>
      <c r="F435" s="3">
        <f>1050*787</f>
        <v>826350</v>
      </c>
      <c r="G435" s="3">
        <f>300*787</f>
        <v>236100</v>
      </c>
      <c r="H435" s="3">
        <f t="shared" si="247"/>
        <v>0</v>
      </c>
      <c r="I435" s="3">
        <f>250*787</f>
        <v>196750</v>
      </c>
      <c r="J435" s="3">
        <f t="shared" si="248"/>
        <v>0</v>
      </c>
      <c r="K435" s="4">
        <v>0</v>
      </c>
      <c r="L435" s="3">
        <v>0</v>
      </c>
      <c r="M435" s="3">
        <v>563.6</v>
      </c>
      <c r="N435" s="3">
        <f>M435*3686</f>
        <v>2077429.6</v>
      </c>
      <c r="O435" s="3">
        <v>0</v>
      </c>
      <c r="P435" s="3">
        <v>0</v>
      </c>
      <c r="Q435" s="3">
        <v>676</v>
      </c>
      <c r="R435" s="3">
        <f t="shared" si="243"/>
        <v>2028000</v>
      </c>
      <c r="S435" s="3">
        <v>0</v>
      </c>
      <c r="T435" s="3">
        <v>0</v>
      </c>
      <c r="U435" s="3">
        <v>100000</v>
      </c>
      <c r="V435" s="6">
        <f t="shared" si="244"/>
        <v>3686</v>
      </c>
    </row>
    <row r="436" spans="1:22" ht="24.95" customHeight="1" x14ac:dyDescent="0.25">
      <c r="A436" s="37" t="s">
        <v>1653</v>
      </c>
      <c r="B436" s="22" t="s">
        <v>252</v>
      </c>
      <c r="C436" s="2">
        <f t="shared" si="232"/>
        <v>13238752.640000001</v>
      </c>
      <c r="D436" s="3">
        <f t="shared" si="242"/>
        <v>3720990</v>
      </c>
      <c r="E436" s="3">
        <f>350*1908.2</f>
        <v>667870</v>
      </c>
      <c r="F436" s="3">
        <f>1050*1908.2</f>
        <v>2003610</v>
      </c>
      <c r="G436" s="3">
        <f>300*1908.2</f>
        <v>572460</v>
      </c>
      <c r="H436" s="3">
        <f t="shared" si="247"/>
        <v>0</v>
      </c>
      <c r="I436" s="3">
        <f>250*1908.2</f>
        <v>477050</v>
      </c>
      <c r="J436" s="3">
        <f t="shared" si="248"/>
        <v>0</v>
      </c>
      <c r="K436" s="4">
        <v>0</v>
      </c>
      <c r="L436" s="3">
        <v>0</v>
      </c>
      <c r="M436" s="3">
        <v>916</v>
      </c>
      <c r="N436" s="3">
        <f t="shared" ref="N436:N437" si="251">M436*5500</f>
        <v>5038000</v>
      </c>
      <c r="O436" s="3">
        <v>0</v>
      </c>
      <c r="P436" s="3">
        <v>0</v>
      </c>
      <c r="Q436" s="3">
        <v>1434</v>
      </c>
      <c r="R436" s="3">
        <f t="shared" si="243"/>
        <v>4302000</v>
      </c>
      <c r="S436" s="3">
        <v>0</v>
      </c>
      <c r="T436" s="3">
        <v>0</v>
      </c>
      <c r="U436" s="3">
        <v>177762.64</v>
      </c>
      <c r="V436" s="6">
        <f t="shared" si="244"/>
        <v>5500</v>
      </c>
    </row>
    <row r="437" spans="1:22" ht="24.95" customHeight="1" x14ac:dyDescent="0.25">
      <c r="A437" s="37" t="s">
        <v>1654</v>
      </c>
      <c r="B437" s="22" t="s">
        <v>253</v>
      </c>
      <c r="C437" s="2">
        <f t="shared" si="232"/>
        <v>6863250</v>
      </c>
      <c r="D437" s="3">
        <f t="shared" si="242"/>
        <v>1511250</v>
      </c>
      <c r="E437" s="3">
        <f>350*775</f>
        <v>271250</v>
      </c>
      <c r="F437" s="3">
        <f>1050*775</f>
        <v>813750</v>
      </c>
      <c r="G437" s="3">
        <f>300*775</f>
        <v>232500</v>
      </c>
      <c r="H437" s="3">
        <f t="shared" si="247"/>
        <v>0</v>
      </c>
      <c r="I437" s="3">
        <f>250*775</f>
        <v>193750</v>
      </c>
      <c r="J437" s="3">
        <f t="shared" si="248"/>
        <v>0</v>
      </c>
      <c r="K437" s="4">
        <v>0</v>
      </c>
      <c r="L437" s="3">
        <v>0</v>
      </c>
      <c r="M437" s="3">
        <v>572</v>
      </c>
      <c r="N437" s="3">
        <f t="shared" si="251"/>
        <v>3146000</v>
      </c>
      <c r="O437" s="3">
        <v>0</v>
      </c>
      <c r="P437" s="3">
        <v>0</v>
      </c>
      <c r="Q437" s="3">
        <v>702</v>
      </c>
      <c r="R437" s="3">
        <f t="shared" si="243"/>
        <v>2106000</v>
      </c>
      <c r="S437" s="3">
        <v>0</v>
      </c>
      <c r="T437" s="3">
        <v>0</v>
      </c>
      <c r="U437" s="3">
        <v>100000</v>
      </c>
      <c r="V437" s="6">
        <f t="shared" si="244"/>
        <v>5500</v>
      </c>
    </row>
    <row r="438" spans="1:22" ht="24.95" customHeight="1" x14ac:dyDescent="0.25">
      <c r="A438" s="37" t="s">
        <v>1655</v>
      </c>
      <c r="B438" s="22" t="s">
        <v>249</v>
      </c>
      <c r="C438" s="2">
        <f>D438+L438+N438+P438+R438+S438+T438+U438</f>
        <v>3340607.8</v>
      </c>
      <c r="D438" s="3">
        <f>SUM(E438:J438)</f>
        <v>739050</v>
      </c>
      <c r="E438" s="3">
        <f>350*379</f>
        <v>132650</v>
      </c>
      <c r="F438" s="3">
        <f>1050*379</f>
        <v>397950</v>
      </c>
      <c r="G438" s="3">
        <f>300*379</f>
        <v>113700</v>
      </c>
      <c r="H438" s="3">
        <f t="shared" si="247"/>
        <v>0</v>
      </c>
      <c r="I438" s="3">
        <f>250*379</f>
        <v>94750</v>
      </c>
      <c r="J438" s="3">
        <f t="shared" si="248"/>
        <v>0</v>
      </c>
      <c r="K438" s="4">
        <v>0</v>
      </c>
      <c r="L438" s="3">
        <v>0</v>
      </c>
      <c r="M438" s="3">
        <v>282.3</v>
      </c>
      <c r="N438" s="3">
        <f>M438*3686</f>
        <v>1040557.8</v>
      </c>
      <c r="O438" s="3">
        <v>0</v>
      </c>
      <c r="P438" s="3">
        <v>0</v>
      </c>
      <c r="Q438" s="3">
        <v>487</v>
      </c>
      <c r="R438" s="3">
        <f>Q438*3000</f>
        <v>1461000</v>
      </c>
      <c r="S438" s="3">
        <v>0</v>
      </c>
      <c r="T438" s="3">
        <v>0</v>
      </c>
      <c r="U438" s="3">
        <v>100000</v>
      </c>
      <c r="V438" s="6">
        <f>N438/M438</f>
        <v>3686</v>
      </c>
    </row>
    <row r="439" spans="1:22" ht="24.95" customHeight="1" x14ac:dyDescent="0.25">
      <c r="A439" s="37" t="s">
        <v>1656</v>
      </c>
      <c r="B439" s="22" t="s">
        <v>255</v>
      </c>
      <c r="C439" s="2">
        <f t="shared" si="232"/>
        <v>300000</v>
      </c>
      <c r="D439" s="3">
        <f t="shared" si="242"/>
        <v>0</v>
      </c>
      <c r="E439" s="3">
        <v>0</v>
      </c>
      <c r="F439" s="3">
        <v>0</v>
      </c>
      <c r="G439" s="3">
        <v>0</v>
      </c>
      <c r="H439" s="3">
        <f t="shared" si="247"/>
        <v>0</v>
      </c>
      <c r="I439" s="3">
        <v>0</v>
      </c>
      <c r="J439" s="3">
        <f t="shared" si="248"/>
        <v>0</v>
      </c>
      <c r="K439" s="4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f t="shared" si="243"/>
        <v>0</v>
      </c>
      <c r="S439" s="3">
        <v>0</v>
      </c>
      <c r="T439" s="3">
        <v>0</v>
      </c>
      <c r="U439" s="3">
        <v>300000</v>
      </c>
      <c r="V439" s="6" t="e">
        <f t="shared" si="244"/>
        <v>#DIV/0!</v>
      </c>
    </row>
    <row r="440" spans="1:22" ht="24.95" customHeight="1" x14ac:dyDescent="0.25">
      <c r="A440" s="37" t="s">
        <v>1657</v>
      </c>
      <c r="B440" s="22" t="s">
        <v>258</v>
      </c>
      <c r="C440" s="2">
        <f t="shared" si="232"/>
        <v>21923056.010000002</v>
      </c>
      <c r="D440" s="3">
        <f t="shared" si="242"/>
        <v>7084740</v>
      </c>
      <c r="E440" s="3">
        <f>350*3633.2</f>
        <v>1271620</v>
      </c>
      <c r="F440" s="3">
        <f>1050*3633.2</f>
        <v>3814860</v>
      </c>
      <c r="G440" s="3">
        <f>300*3633.2</f>
        <v>1089960</v>
      </c>
      <c r="H440" s="3">
        <f t="shared" si="247"/>
        <v>0</v>
      </c>
      <c r="I440" s="3">
        <f>250*3633.2</f>
        <v>908300</v>
      </c>
      <c r="J440" s="3">
        <f t="shared" si="248"/>
        <v>0</v>
      </c>
      <c r="K440" s="4">
        <v>0</v>
      </c>
      <c r="L440" s="3">
        <v>0</v>
      </c>
      <c r="M440" s="3">
        <v>1212</v>
      </c>
      <c r="N440" s="3">
        <f t="shared" ref="N440:N441" si="252">M440*5500</f>
        <v>6666000</v>
      </c>
      <c r="O440" s="3">
        <v>937</v>
      </c>
      <c r="P440" s="3">
        <f>O440*1200</f>
        <v>1124400</v>
      </c>
      <c r="Q440" s="3">
        <v>2270</v>
      </c>
      <c r="R440" s="3">
        <f t="shared" si="243"/>
        <v>6810000</v>
      </c>
      <c r="S440" s="3">
        <v>0</v>
      </c>
      <c r="T440" s="3">
        <v>0</v>
      </c>
      <c r="U440" s="3">
        <v>237916.01</v>
      </c>
      <c r="V440" s="6">
        <f t="shared" si="244"/>
        <v>5500</v>
      </c>
    </row>
    <row r="441" spans="1:22" ht="24.95" customHeight="1" x14ac:dyDescent="0.25">
      <c r="A441" s="37" t="s">
        <v>1658</v>
      </c>
      <c r="B441" s="22" t="s">
        <v>256</v>
      </c>
      <c r="C441" s="2">
        <f t="shared" si="232"/>
        <v>14720180.09</v>
      </c>
      <c r="D441" s="3">
        <f t="shared" si="242"/>
        <v>4411680</v>
      </c>
      <c r="E441" s="3">
        <f>350*2262.4</f>
        <v>791840</v>
      </c>
      <c r="F441" s="3">
        <f>1050*2262.4</f>
        <v>2375520</v>
      </c>
      <c r="G441" s="3">
        <f>300*2262.4</f>
        <v>678720</v>
      </c>
      <c r="H441" s="3">
        <f t="shared" si="247"/>
        <v>0</v>
      </c>
      <c r="I441" s="3">
        <f>250*2262.4</f>
        <v>565600</v>
      </c>
      <c r="J441" s="3">
        <f t="shared" si="248"/>
        <v>0</v>
      </c>
      <c r="K441" s="4">
        <v>0</v>
      </c>
      <c r="L441" s="3">
        <v>0</v>
      </c>
      <c r="M441" s="3">
        <v>835.2</v>
      </c>
      <c r="N441" s="3">
        <f t="shared" si="252"/>
        <v>4593600</v>
      </c>
      <c r="O441" s="3">
        <v>0</v>
      </c>
      <c r="P441" s="3">
        <v>0</v>
      </c>
      <c r="Q441" s="3">
        <v>1832.2</v>
      </c>
      <c r="R441" s="3">
        <f t="shared" si="243"/>
        <v>5496600</v>
      </c>
      <c r="S441" s="3">
        <v>0</v>
      </c>
      <c r="T441" s="3">
        <v>0</v>
      </c>
      <c r="U441" s="3">
        <v>218300.09</v>
      </c>
      <c r="V441" s="6">
        <f t="shared" si="244"/>
        <v>5500</v>
      </c>
    </row>
    <row r="442" spans="1:22" ht="24.95" customHeight="1" x14ac:dyDescent="0.25">
      <c r="A442" s="37" t="s">
        <v>1659</v>
      </c>
      <c r="B442" s="22" t="s">
        <v>257</v>
      </c>
      <c r="C442" s="2">
        <f t="shared" si="232"/>
        <v>4283400</v>
      </c>
      <c r="D442" s="3">
        <f t="shared" si="242"/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4">
        <v>0</v>
      </c>
      <c r="L442" s="3">
        <v>0</v>
      </c>
      <c r="M442" s="3">
        <v>649</v>
      </c>
      <c r="N442" s="3">
        <f>M442*6600</f>
        <v>4283400</v>
      </c>
      <c r="O442" s="3">
        <v>0</v>
      </c>
      <c r="P442" s="3">
        <v>0</v>
      </c>
      <c r="Q442" s="3">
        <v>0</v>
      </c>
      <c r="R442" s="3">
        <f t="shared" si="243"/>
        <v>0</v>
      </c>
      <c r="S442" s="3">
        <v>0</v>
      </c>
      <c r="T442" s="3">
        <v>0</v>
      </c>
      <c r="U442" s="3">
        <v>0</v>
      </c>
      <c r="V442" s="6">
        <f t="shared" si="244"/>
        <v>6600</v>
      </c>
    </row>
    <row r="443" spans="1:22" ht="24.95" customHeight="1" x14ac:dyDescent="0.25">
      <c r="A443" s="37" t="s">
        <v>1660</v>
      </c>
      <c r="B443" s="22" t="s">
        <v>260</v>
      </c>
      <c r="C443" s="2">
        <f t="shared" si="232"/>
        <v>520496.27</v>
      </c>
      <c r="D443" s="3">
        <f t="shared" si="242"/>
        <v>0</v>
      </c>
      <c r="E443" s="3">
        <v>0</v>
      </c>
      <c r="F443" s="3">
        <v>0</v>
      </c>
      <c r="G443" s="3">
        <v>0</v>
      </c>
      <c r="H443" s="3">
        <f>400*0</f>
        <v>0</v>
      </c>
      <c r="I443" s="3">
        <v>0</v>
      </c>
      <c r="J443" s="3">
        <f t="shared" ref="J443" si="253">350*0</f>
        <v>0</v>
      </c>
      <c r="K443" s="4">
        <v>0</v>
      </c>
      <c r="L443" s="3">
        <v>0</v>
      </c>
      <c r="M443" s="3">
        <v>0</v>
      </c>
      <c r="N443" s="3">
        <f t="shared" ref="N443" si="254">M443*3686</f>
        <v>0</v>
      </c>
      <c r="O443" s="3">
        <v>0</v>
      </c>
      <c r="P443" s="3">
        <v>0</v>
      </c>
      <c r="Q443" s="3">
        <v>0</v>
      </c>
      <c r="R443" s="3">
        <f t="shared" si="243"/>
        <v>0</v>
      </c>
      <c r="S443" s="3">
        <v>0</v>
      </c>
      <c r="T443" s="3">
        <v>0</v>
      </c>
      <c r="U443" s="3">
        <v>520496.27</v>
      </c>
      <c r="V443" s="6" t="e">
        <f t="shared" si="244"/>
        <v>#DIV/0!</v>
      </c>
    </row>
    <row r="444" spans="1:22" ht="24.95" customHeight="1" x14ac:dyDescent="0.25">
      <c r="A444" s="37" t="s">
        <v>1661</v>
      </c>
      <c r="B444" s="22" t="s">
        <v>977</v>
      </c>
      <c r="C444" s="2">
        <f t="shared" si="232"/>
        <v>2856034.53</v>
      </c>
      <c r="D444" s="3">
        <f t="shared" si="242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806.8</v>
      </c>
      <c r="N444" s="3">
        <v>2856034.53</v>
      </c>
      <c r="O444" s="3">
        <v>0</v>
      </c>
      <c r="P444" s="3">
        <v>0</v>
      </c>
      <c r="Q444" s="3">
        <v>0</v>
      </c>
      <c r="R444" s="3">
        <f t="shared" si="243"/>
        <v>0</v>
      </c>
      <c r="S444" s="3">
        <v>0</v>
      </c>
      <c r="T444" s="3">
        <v>0</v>
      </c>
      <c r="U444" s="3">
        <v>0</v>
      </c>
      <c r="V444" s="6">
        <f t="shared" si="244"/>
        <v>3539.9535572632622</v>
      </c>
    </row>
    <row r="445" spans="1:22" ht="24.95" customHeight="1" x14ac:dyDescent="0.25">
      <c r="A445" s="37" t="s">
        <v>1662</v>
      </c>
      <c r="B445" s="22" t="s">
        <v>978</v>
      </c>
      <c r="C445" s="2">
        <f t="shared" si="232"/>
        <v>2850830.64</v>
      </c>
      <c r="D445" s="3">
        <f t="shared" si="242"/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4">
        <v>0</v>
      </c>
      <c r="L445" s="3">
        <v>0</v>
      </c>
      <c r="M445" s="3">
        <v>813</v>
      </c>
      <c r="N445" s="3">
        <v>2850830.64</v>
      </c>
      <c r="O445" s="3">
        <v>0</v>
      </c>
      <c r="P445" s="3">
        <v>0</v>
      </c>
      <c r="Q445" s="3">
        <v>0</v>
      </c>
      <c r="R445" s="3">
        <f t="shared" si="243"/>
        <v>0</v>
      </c>
      <c r="S445" s="3">
        <v>0</v>
      </c>
      <c r="T445" s="3">
        <v>0</v>
      </c>
      <c r="U445" s="3">
        <v>0</v>
      </c>
      <c r="V445" s="6">
        <f t="shared" si="244"/>
        <v>3506.556752767528</v>
      </c>
    </row>
    <row r="446" spans="1:22" ht="45" customHeight="1" x14ac:dyDescent="0.25">
      <c r="A446" s="54" t="s">
        <v>987</v>
      </c>
      <c r="B446" s="54"/>
      <c r="C446" s="2">
        <f>SUM(C447)</f>
        <v>1980000</v>
      </c>
      <c r="D446" s="2">
        <f t="shared" ref="D446:U446" si="255">SUM(D447)</f>
        <v>0</v>
      </c>
      <c r="E446" s="2">
        <f t="shared" si="255"/>
        <v>0</v>
      </c>
      <c r="F446" s="2">
        <f t="shared" si="255"/>
        <v>0</v>
      </c>
      <c r="G446" s="2">
        <f t="shared" si="255"/>
        <v>0</v>
      </c>
      <c r="H446" s="2">
        <f t="shared" si="255"/>
        <v>0</v>
      </c>
      <c r="I446" s="2">
        <f t="shared" si="255"/>
        <v>0</v>
      </c>
      <c r="J446" s="2">
        <f t="shared" si="255"/>
        <v>0</v>
      </c>
      <c r="K446" s="14">
        <f t="shared" si="255"/>
        <v>0</v>
      </c>
      <c r="L446" s="2">
        <f t="shared" si="255"/>
        <v>0</v>
      </c>
      <c r="M446" s="2">
        <f t="shared" si="255"/>
        <v>0</v>
      </c>
      <c r="N446" s="2">
        <f t="shared" si="255"/>
        <v>0</v>
      </c>
      <c r="O446" s="2">
        <f t="shared" si="255"/>
        <v>0</v>
      </c>
      <c r="P446" s="2">
        <f t="shared" si="255"/>
        <v>0</v>
      </c>
      <c r="Q446" s="2">
        <f t="shared" si="255"/>
        <v>660</v>
      </c>
      <c r="R446" s="2">
        <f t="shared" si="255"/>
        <v>1980000</v>
      </c>
      <c r="S446" s="2">
        <f t="shared" si="255"/>
        <v>0</v>
      </c>
      <c r="T446" s="2">
        <f t="shared" si="255"/>
        <v>0</v>
      </c>
      <c r="U446" s="2">
        <f t="shared" si="255"/>
        <v>0</v>
      </c>
    </row>
    <row r="447" spans="1:22" ht="21.95" customHeight="1" x14ac:dyDescent="0.25">
      <c r="A447" s="37" t="s">
        <v>1663</v>
      </c>
      <c r="B447" s="22" t="s">
        <v>988</v>
      </c>
      <c r="C447" s="2">
        <f t="shared" si="232"/>
        <v>1980000</v>
      </c>
      <c r="D447" s="3">
        <f t="shared" ref="D447" si="256">SUM(E447:J447)</f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4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660</v>
      </c>
      <c r="R447" s="3">
        <f>Q447*3000</f>
        <v>1980000</v>
      </c>
      <c r="S447" s="3">
        <v>0</v>
      </c>
      <c r="T447" s="3">
        <v>0</v>
      </c>
      <c r="U447" s="3">
        <v>0</v>
      </c>
      <c r="V447" s="6" t="e">
        <f t="shared" ref="V447" si="257">N447/M447</f>
        <v>#DIV/0!</v>
      </c>
    </row>
    <row r="448" spans="1:22" ht="45" customHeight="1" x14ac:dyDescent="0.25">
      <c r="A448" s="54" t="s">
        <v>267</v>
      </c>
      <c r="B448" s="54"/>
      <c r="C448" s="2">
        <f>SUM(C449)</f>
        <v>4337452.32</v>
      </c>
      <c r="D448" s="2">
        <f t="shared" ref="D448:U448" si="258">SUM(D449)</f>
        <v>1086193.06</v>
      </c>
      <c r="E448" s="2">
        <f t="shared" si="258"/>
        <v>151561.39000000001</v>
      </c>
      <c r="F448" s="2">
        <f t="shared" si="258"/>
        <v>627654.87</v>
      </c>
      <c r="G448" s="2">
        <f t="shared" si="258"/>
        <v>145210.45000000001</v>
      </c>
      <c r="H448" s="2">
        <f t="shared" si="258"/>
        <v>109542.28</v>
      </c>
      <c r="I448" s="2">
        <f t="shared" si="258"/>
        <v>52224.07</v>
      </c>
      <c r="J448" s="2">
        <f t="shared" si="258"/>
        <v>0</v>
      </c>
      <c r="K448" s="14">
        <f t="shared" si="258"/>
        <v>0</v>
      </c>
      <c r="L448" s="2">
        <f t="shared" si="258"/>
        <v>0</v>
      </c>
      <c r="M448" s="2">
        <f t="shared" si="258"/>
        <v>451</v>
      </c>
      <c r="N448" s="2">
        <f t="shared" si="258"/>
        <v>1425880.38</v>
      </c>
      <c r="O448" s="2">
        <f t="shared" si="258"/>
        <v>215</v>
      </c>
      <c r="P448" s="2">
        <f t="shared" si="258"/>
        <v>91634.95</v>
      </c>
      <c r="Q448" s="2">
        <f t="shared" si="258"/>
        <v>684</v>
      </c>
      <c r="R448" s="2">
        <f t="shared" si="258"/>
        <v>1733743.93</v>
      </c>
      <c r="S448" s="2">
        <f t="shared" si="258"/>
        <v>0</v>
      </c>
      <c r="T448" s="2">
        <f t="shared" si="258"/>
        <v>0</v>
      </c>
      <c r="U448" s="2">
        <f t="shared" si="258"/>
        <v>0</v>
      </c>
      <c r="V448" s="18">
        <f>C448</f>
        <v>4337452.32</v>
      </c>
    </row>
    <row r="449" spans="1:22" ht="21.95" customHeight="1" x14ac:dyDescent="0.25">
      <c r="A449" s="37" t="s">
        <v>1664</v>
      </c>
      <c r="B449" s="22" t="s">
        <v>268</v>
      </c>
      <c r="C449" s="2">
        <f t="shared" ref="C449" si="259">D449+L449+N449+P449+R449+S449+T449+U449</f>
        <v>4337452.32</v>
      </c>
      <c r="D449" s="3">
        <f>SUM(E449:J449)</f>
        <v>1086193.06</v>
      </c>
      <c r="E449" s="3">
        <v>151561.39000000001</v>
      </c>
      <c r="F449" s="3">
        <v>627654.87</v>
      </c>
      <c r="G449" s="3">
        <v>145210.45000000001</v>
      </c>
      <c r="H449" s="3">
        <v>109542.28</v>
      </c>
      <c r="I449" s="3">
        <v>52224.07</v>
      </c>
      <c r="J449" s="3">
        <f>350*0</f>
        <v>0</v>
      </c>
      <c r="K449" s="4">
        <v>0</v>
      </c>
      <c r="L449" s="3">
        <v>0</v>
      </c>
      <c r="M449" s="3">
        <v>451</v>
      </c>
      <c r="N449" s="3">
        <v>1425880.38</v>
      </c>
      <c r="O449" s="3">
        <v>215</v>
      </c>
      <c r="P449" s="3">
        <v>91634.95</v>
      </c>
      <c r="Q449" s="3">
        <v>684</v>
      </c>
      <c r="R449" s="3">
        <v>1733743.93</v>
      </c>
      <c r="S449" s="3">
        <v>0</v>
      </c>
      <c r="T449" s="3">
        <v>0</v>
      </c>
      <c r="U449" s="3">
        <v>0</v>
      </c>
      <c r="V449" s="6">
        <f>N449/M449</f>
        <v>3161.5972949002216</v>
      </c>
    </row>
    <row r="450" spans="1:22" ht="45" customHeight="1" x14ac:dyDescent="0.25">
      <c r="A450" s="54" t="s">
        <v>271</v>
      </c>
      <c r="B450" s="54"/>
      <c r="C450" s="2">
        <f>SUM(C451:C452)</f>
        <v>4088364.95</v>
      </c>
      <c r="D450" s="2">
        <f t="shared" ref="D450:U450" si="260">SUM(D451:D452)</f>
        <v>0</v>
      </c>
      <c r="E450" s="2">
        <f t="shared" si="260"/>
        <v>0</v>
      </c>
      <c r="F450" s="2">
        <f t="shared" si="260"/>
        <v>0</v>
      </c>
      <c r="G450" s="2">
        <f t="shared" si="260"/>
        <v>0</v>
      </c>
      <c r="H450" s="2">
        <f t="shared" si="260"/>
        <v>0</v>
      </c>
      <c r="I450" s="2">
        <f t="shared" si="260"/>
        <v>0</v>
      </c>
      <c r="J450" s="2">
        <f t="shared" si="260"/>
        <v>0</v>
      </c>
      <c r="K450" s="14">
        <f t="shared" si="260"/>
        <v>0</v>
      </c>
      <c r="L450" s="2">
        <f t="shared" si="260"/>
        <v>0</v>
      </c>
      <c r="M450" s="2">
        <f t="shared" si="260"/>
        <v>743.4</v>
      </c>
      <c r="N450" s="2">
        <f t="shared" si="260"/>
        <v>4088364.95</v>
      </c>
      <c r="O450" s="2">
        <f t="shared" si="260"/>
        <v>0</v>
      </c>
      <c r="P450" s="2">
        <f t="shared" si="260"/>
        <v>0</v>
      </c>
      <c r="Q450" s="2">
        <f t="shared" si="260"/>
        <v>0</v>
      </c>
      <c r="R450" s="2">
        <f t="shared" si="260"/>
        <v>0</v>
      </c>
      <c r="S450" s="2">
        <f t="shared" si="260"/>
        <v>0</v>
      </c>
      <c r="T450" s="2">
        <f t="shared" si="260"/>
        <v>0</v>
      </c>
      <c r="U450" s="2">
        <f t="shared" si="260"/>
        <v>0</v>
      </c>
      <c r="V450" s="18">
        <f>C450</f>
        <v>4088364.95</v>
      </c>
    </row>
    <row r="451" spans="1:22" ht="21.95" customHeight="1" x14ac:dyDescent="0.25">
      <c r="A451" s="37" t="s">
        <v>1665</v>
      </c>
      <c r="B451" s="22" t="s">
        <v>272</v>
      </c>
      <c r="C451" s="2">
        <f t="shared" si="232"/>
        <v>2048672.19</v>
      </c>
      <c r="D451" s="3">
        <f t="shared" ref="D451:D452" si="261">SUM(E451:J451)</f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4">
        <v>0</v>
      </c>
      <c r="L451" s="3">
        <v>0</v>
      </c>
      <c r="M451" s="3">
        <v>372.5</v>
      </c>
      <c r="N451" s="3">
        <v>2048672.19</v>
      </c>
      <c r="O451" s="3">
        <v>0</v>
      </c>
      <c r="P451" s="3">
        <v>0</v>
      </c>
      <c r="Q451" s="3">
        <v>0</v>
      </c>
      <c r="R451" s="3">
        <f t="shared" ref="R451:R452" si="262">Q451*3000</f>
        <v>0</v>
      </c>
      <c r="S451" s="3">
        <v>0</v>
      </c>
      <c r="T451" s="3">
        <v>0</v>
      </c>
      <c r="U451" s="3">
        <v>0</v>
      </c>
      <c r="V451" s="6">
        <f t="shared" ref="V451:V452" si="263">N451/M451</f>
        <v>5499.7911140939595</v>
      </c>
    </row>
    <row r="452" spans="1:22" ht="21.95" customHeight="1" x14ac:dyDescent="0.25">
      <c r="A452" s="37" t="s">
        <v>1666</v>
      </c>
      <c r="B452" s="22" t="s">
        <v>273</v>
      </c>
      <c r="C452" s="2">
        <f t="shared" si="232"/>
        <v>2039692.76</v>
      </c>
      <c r="D452" s="3">
        <f t="shared" si="261"/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4">
        <v>0</v>
      </c>
      <c r="L452" s="3">
        <v>0</v>
      </c>
      <c r="M452" s="3">
        <v>370.9</v>
      </c>
      <c r="N452" s="3">
        <v>2039692.76</v>
      </c>
      <c r="O452" s="3">
        <v>0</v>
      </c>
      <c r="P452" s="3">
        <v>0</v>
      </c>
      <c r="Q452" s="3">
        <v>0</v>
      </c>
      <c r="R452" s="3">
        <f t="shared" si="262"/>
        <v>0</v>
      </c>
      <c r="S452" s="3">
        <v>0</v>
      </c>
      <c r="T452" s="3">
        <v>0</v>
      </c>
      <c r="U452" s="3">
        <v>0</v>
      </c>
      <c r="V452" s="6">
        <f t="shared" si="263"/>
        <v>5499.3064437853873</v>
      </c>
    </row>
    <row r="453" spans="1:22" ht="45" customHeight="1" x14ac:dyDescent="0.25">
      <c r="A453" s="54" t="s">
        <v>275</v>
      </c>
      <c r="B453" s="54"/>
      <c r="C453" s="2">
        <f>SUM(C454)</f>
        <v>4032050</v>
      </c>
      <c r="D453" s="2">
        <f t="shared" ref="D453:U453" si="264">SUM(D454)</f>
        <v>169050</v>
      </c>
      <c r="E453" s="2">
        <f t="shared" si="264"/>
        <v>169050</v>
      </c>
      <c r="F453" s="2">
        <f t="shared" si="264"/>
        <v>0</v>
      </c>
      <c r="G453" s="2">
        <f t="shared" si="264"/>
        <v>0</v>
      </c>
      <c r="H453" s="2">
        <f t="shared" si="264"/>
        <v>0</v>
      </c>
      <c r="I453" s="2">
        <f t="shared" si="264"/>
        <v>0</v>
      </c>
      <c r="J453" s="2">
        <f t="shared" si="264"/>
        <v>0</v>
      </c>
      <c r="K453" s="14">
        <f t="shared" si="264"/>
        <v>0</v>
      </c>
      <c r="L453" s="2">
        <f t="shared" si="264"/>
        <v>0</v>
      </c>
      <c r="M453" s="2">
        <f t="shared" si="264"/>
        <v>406</v>
      </c>
      <c r="N453" s="2">
        <f t="shared" si="264"/>
        <v>2233000</v>
      </c>
      <c r="O453" s="2">
        <f t="shared" si="264"/>
        <v>0</v>
      </c>
      <c r="P453" s="2">
        <f t="shared" si="264"/>
        <v>0</v>
      </c>
      <c r="Q453" s="2">
        <f t="shared" si="264"/>
        <v>510</v>
      </c>
      <c r="R453" s="2">
        <f t="shared" si="264"/>
        <v>1530000</v>
      </c>
      <c r="S453" s="2">
        <f t="shared" si="264"/>
        <v>0</v>
      </c>
      <c r="T453" s="2">
        <f t="shared" si="264"/>
        <v>0</v>
      </c>
      <c r="U453" s="2">
        <f t="shared" si="264"/>
        <v>100000</v>
      </c>
      <c r="V453" s="18">
        <f>C453</f>
        <v>4032050</v>
      </c>
    </row>
    <row r="454" spans="1:22" ht="21.95" customHeight="1" x14ac:dyDescent="0.25">
      <c r="A454" s="36" t="s">
        <v>1667</v>
      </c>
      <c r="B454" s="22" t="s">
        <v>274</v>
      </c>
      <c r="C454" s="2">
        <f t="shared" si="232"/>
        <v>4032050</v>
      </c>
      <c r="D454" s="3">
        <f t="shared" ref="D454" si="265">SUM(E454:J454)</f>
        <v>169050</v>
      </c>
      <c r="E454" s="3">
        <f>350*483</f>
        <v>169050</v>
      </c>
      <c r="F454" s="3">
        <f>800*0</f>
        <v>0</v>
      </c>
      <c r="G454" s="3">
        <f>300*0</f>
        <v>0</v>
      </c>
      <c r="H454" s="3">
        <f>400*0</f>
        <v>0</v>
      </c>
      <c r="I454" s="3">
        <f>250*0</f>
        <v>0</v>
      </c>
      <c r="J454" s="3">
        <f>350*0</f>
        <v>0</v>
      </c>
      <c r="K454" s="11">
        <v>0</v>
      </c>
      <c r="L454" s="5">
        <v>0</v>
      </c>
      <c r="M454" s="5">
        <v>406</v>
      </c>
      <c r="N454" s="3">
        <f>M454*5500</f>
        <v>2233000</v>
      </c>
      <c r="O454" s="5">
        <v>0</v>
      </c>
      <c r="P454" s="5">
        <v>0</v>
      </c>
      <c r="Q454" s="5">
        <v>510</v>
      </c>
      <c r="R454" s="3">
        <f>Q454*3000</f>
        <v>1530000</v>
      </c>
      <c r="S454" s="5">
        <v>0</v>
      </c>
      <c r="T454" s="5">
        <v>0</v>
      </c>
      <c r="U454" s="5">
        <v>100000</v>
      </c>
      <c r="V454" s="6">
        <f t="shared" ref="V454" si="266">N454/M454</f>
        <v>5500</v>
      </c>
    </row>
    <row r="455" spans="1:22" ht="45" customHeight="1" x14ac:dyDescent="0.25">
      <c r="A455" s="54" t="s">
        <v>1059</v>
      </c>
      <c r="B455" s="54"/>
      <c r="C455" s="2">
        <f>SUM(C456)</f>
        <v>2981000</v>
      </c>
      <c r="D455" s="2">
        <f t="shared" ref="D455:U455" si="267">SUM(D456)</f>
        <v>0</v>
      </c>
      <c r="E455" s="2">
        <f t="shared" si="267"/>
        <v>0</v>
      </c>
      <c r="F455" s="2">
        <f t="shared" si="267"/>
        <v>0</v>
      </c>
      <c r="G455" s="2">
        <f t="shared" si="267"/>
        <v>0</v>
      </c>
      <c r="H455" s="2">
        <f t="shared" si="267"/>
        <v>0</v>
      </c>
      <c r="I455" s="2">
        <f t="shared" si="267"/>
        <v>0</v>
      </c>
      <c r="J455" s="2">
        <f t="shared" si="267"/>
        <v>0</v>
      </c>
      <c r="K455" s="14">
        <f t="shared" si="267"/>
        <v>0</v>
      </c>
      <c r="L455" s="2">
        <f t="shared" si="267"/>
        <v>0</v>
      </c>
      <c r="M455" s="2">
        <f t="shared" si="267"/>
        <v>542</v>
      </c>
      <c r="N455" s="2">
        <f t="shared" si="267"/>
        <v>2981000</v>
      </c>
      <c r="O455" s="2">
        <f t="shared" si="267"/>
        <v>0</v>
      </c>
      <c r="P455" s="2">
        <f t="shared" si="267"/>
        <v>0</v>
      </c>
      <c r="Q455" s="2">
        <f t="shared" si="267"/>
        <v>0</v>
      </c>
      <c r="R455" s="2">
        <f t="shared" si="267"/>
        <v>0</v>
      </c>
      <c r="S455" s="2">
        <f t="shared" si="267"/>
        <v>0</v>
      </c>
      <c r="T455" s="2">
        <f t="shared" si="267"/>
        <v>0</v>
      </c>
      <c r="U455" s="2">
        <f t="shared" si="267"/>
        <v>0</v>
      </c>
      <c r="V455" s="18">
        <f>C455</f>
        <v>2981000</v>
      </c>
    </row>
    <row r="456" spans="1:22" ht="21.95" customHeight="1" x14ac:dyDescent="0.25">
      <c r="A456" s="37" t="s">
        <v>1668</v>
      </c>
      <c r="B456" s="22" t="s">
        <v>1060</v>
      </c>
      <c r="C456" s="2">
        <f t="shared" ref="C456" si="268">D456+L456+N456+P456+R456+S456+T456+U456</f>
        <v>2981000</v>
      </c>
      <c r="D456" s="3">
        <f>SUM(E456:J456)</f>
        <v>0</v>
      </c>
      <c r="E456" s="3">
        <v>0</v>
      </c>
      <c r="F456" s="3">
        <f>670.53*0</f>
        <v>0</v>
      </c>
      <c r="G456" s="3">
        <v>0</v>
      </c>
      <c r="H456" s="3">
        <f>500*0</f>
        <v>0</v>
      </c>
      <c r="I456" s="3">
        <v>0</v>
      </c>
      <c r="J456" s="3">
        <f>350*0</f>
        <v>0</v>
      </c>
      <c r="K456" s="4">
        <v>0</v>
      </c>
      <c r="L456" s="3">
        <v>0</v>
      </c>
      <c r="M456" s="3">
        <v>542</v>
      </c>
      <c r="N456" s="3">
        <f>M456*5500</f>
        <v>2981000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6">
        <f>N456/M456</f>
        <v>5500</v>
      </c>
    </row>
    <row r="457" spans="1:22" ht="45" customHeight="1" x14ac:dyDescent="0.25">
      <c r="A457" s="54" t="s">
        <v>376</v>
      </c>
      <c r="B457" s="54"/>
      <c r="C457" s="2">
        <f>SUM(C458:C694)</f>
        <v>862720785.78999996</v>
      </c>
      <c r="D457" s="2">
        <f t="shared" ref="D457:U457" si="269">SUM(D458:D694)</f>
        <v>248750135.89000002</v>
      </c>
      <c r="E457" s="2">
        <f t="shared" si="269"/>
        <v>43338609.659999996</v>
      </c>
      <c r="F457" s="2">
        <f t="shared" si="269"/>
        <v>118700363.06</v>
      </c>
      <c r="G457" s="2">
        <f t="shared" si="269"/>
        <v>30447241.289999995</v>
      </c>
      <c r="H457" s="2">
        <f t="shared" si="269"/>
        <v>27583670.41</v>
      </c>
      <c r="I457" s="2">
        <f t="shared" si="269"/>
        <v>28680251.470000003</v>
      </c>
      <c r="J457" s="2">
        <f t="shared" si="269"/>
        <v>0</v>
      </c>
      <c r="K457" s="2">
        <f t="shared" si="269"/>
        <v>14</v>
      </c>
      <c r="L457" s="2">
        <f t="shared" si="269"/>
        <v>25817752.440000001</v>
      </c>
      <c r="M457" s="2">
        <f t="shared" si="269"/>
        <v>80499.590000000026</v>
      </c>
      <c r="N457" s="2">
        <f t="shared" si="269"/>
        <v>447931386.39999992</v>
      </c>
      <c r="O457" s="2">
        <f t="shared" si="269"/>
        <v>1168.5999999999999</v>
      </c>
      <c r="P457" s="2">
        <f t="shared" si="269"/>
        <v>1399559.15</v>
      </c>
      <c r="Q457" s="2">
        <f t="shared" si="269"/>
        <v>38324.93</v>
      </c>
      <c r="R457" s="2">
        <f t="shared" si="269"/>
        <v>108771703.79000001</v>
      </c>
      <c r="S457" s="2">
        <f t="shared" si="269"/>
        <v>560283.21</v>
      </c>
      <c r="T457" s="2">
        <f t="shared" si="269"/>
        <v>0</v>
      </c>
      <c r="U457" s="2">
        <f t="shared" si="269"/>
        <v>29489964.909999996</v>
      </c>
    </row>
    <row r="458" spans="1:22" ht="21.95" customHeight="1" x14ac:dyDescent="0.25">
      <c r="A458" s="37" t="s">
        <v>1669</v>
      </c>
      <c r="B458" s="8" t="s">
        <v>483</v>
      </c>
      <c r="C458" s="2">
        <f t="shared" si="232"/>
        <v>6458362.8799999999</v>
      </c>
      <c r="D458" s="3">
        <f t="shared" ref="D458:D529" si="270">SUM(E458:J458)</f>
        <v>2647510</v>
      </c>
      <c r="E458" s="3">
        <f>350*1126.6</f>
        <v>394309.99999999994</v>
      </c>
      <c r="F458" s="3">
        <f>1050*1126.6</f>
        <v>1182930</v>
      </c>
      <c r="G458" s="3">
        <f>300*1126.6</f>
        <v>337980</v>
      </c>
      <c r="H458" s="3">
        <f>400*1126.6</f>
        <v>450639.99999999994</v>
      </c>
      <c r="I458" s="3">
        <f>250*1126.6</f>
        <v>281650</v>
      </c>
      <c r="J458" s="3">
        <f>350*0</f>
        <v>0</v>
      </c>
      <c r="K458" s="11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1205.5</v>
      </c>
      <c r="R458" s="3">
        <f t="shared" ref="R458:R528" si="271">Q458*3000</f>
        <v>3616500</v>
      </c>
      <c r="S458" s="5">
        <v>0</v>
      </c>
      <c r="T458" s="5">
        <v>0</v>
      </c>
      <c r="U458" s="5">
        <v>194352.88</v>
      </c>
      <c r="V458" s="6" t="e">
        <f t="shared" ref="V458:V528" si="272">N458/M458</f>
        <v>#DIV/0!</v>
      </c>
    </row>
    <row r="459" spans="1:22" ht="21.95" customHeight="1" x14ac:dyDescent="0.25">
      <c r="A459" s="37" t="s">
        <v>1670</v>
      </c>
      <c r="B459" s="8" t="s">
        <v>567</v>
      </c>
      <c r="C459" s="2">
        <f t="shared" si="232"/>
        <v>2613520</v>
      </c>
      <c r="D459" s="3">
        <f t="shared" si="270"/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11">
        <v>0</v>
      </c>
      <c r="L459" s="5">
        <v>0</v>
      </c>
      <c r="M459" s="5">
        <v>267.2</v>
      </c>
      <c r="N459" s="3">
        <f>M459*6600</f>
        <v>1763520</v>
      </c>
      <c r="O459" s="5">
        <v>0</v>
      </c>
      <c r="P459" s="5">
        <v>0</v>
      </c>
      <c r="Q459" s="5">
        <v>0</v>
      </c>
      <c r="R459" s="3">
        <f t="shared" si="271"/>
        <v>0</v>
      </c>
      <c r="S459" s="5">
        <v>0</v>
      </c>
      <c r="T459" s="5">
        <v>0</v>
      </c>
      <c r="U459" s="5">
        <v>850000</v>
      </c>
      <c r="V459" s="6">
        <f t="shared" si="272"/>
        <v>6600</v>
      </c>
    </row>
    <row r="460" spans="1:22" ht="21.95" customHeight="1" x14ac:dyDescent="0.25">
      <c r="A460" s="37" t="s">
        <v>1671</v>
      </c>
      <c r="B460" s="8" t="s">
        <v>568</v>
      </c>
      <c r="C460" s="2">
        <f t="shared" si="232"/>
        <v>1413500</v>
      </c>
      <c r="D460" s="3">
        <f t="shared" si="270"/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11">
        <v>0</v>
      </c>
      <c r="L460" s="5">
        <v>0</v>
      </c>
      <c r="M460" s="5">
        <v>257</v>
      </c>
      <c r="N460" s="3">
        <f t="shared" ref="N460:N469" si="273">M460*5500</f>
        <v>1413500</v>
      </c>
      <c r="O460" s="5">
        <v>0</v>
      </c>
      <c r="P460" s="5">
        <v>0</v>
      </c>
      <c r="Q460" s="5">
        <v>0</v>
      </c>
      <c r="R460" s="3">
        <f t="shared" si="271"/>
        <v>0</v>
      </c>
      <c r="S460" s="5">
        <v>0</v>
      </c>
      <c r="T460" s="5">
        <v>0</v>
      </c>
      <c r="U460" s="5">
        <v>0</v>
      </c>
      <c r="V460" s="6">
        <f t="shared" si="272"/>
        <v>5500</v>
      </c>
    </row>
    <row r="461" spans="1:22" ht="21.95" customHeight="1" x14ac:dyDescent="0.25">
      <c r="A461" s="37" t="s">
        <v>1672</v>
      </c>
      <c r="B461" s="23" t="s">
        <v>569</v>
      </c>
      <c r="C461" s="2">
        <f t="shared" si="232"/>
        <v>1421750</v>
      </c>
      <c r="D461" s="3">
        <f t="shared" si="270"/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11">
        <v>0</v>
      </c>
      <c r="L461" s="5">
        <v>0</v>
      </c>
      <c r="M461" s="5">
        <v>258.5</v>
      </c>
      <c r="N461" s="3">
        <f t="shared" si="273"/>
        <v>1421750</v>
      </c>
      <c r="O461" s="5">
        <v>0</v>
      </c>
      <c r="P461" s="5">
        <v>0</v>
      </c>
      <c r="Q461" s="5">
        <v>0</v>
      </c>
      <c r="R461" s="3">
        <f t="shared" si="271"/>
        <v>0</v>
      </c>
      <c r="S461" s="5">
        <v>0</v>
      </c>
      <c r="T461" s="5">
        <v>0</v>
      </c>
      <c r="U461" s="5">
        <v>0</v>
      </c>
      <c r="V461" s="6">
        <f t="shared" si="272"/>
        <v>5500</v>
      </c>
    </row>
    <row r="462" spans="1:22" ht="21.95" customHeight="1" x14ac:dyDescent="0.25">
      <c r="A462" s="37" t="s">
        <v>1673</v>
      </c>
      <c r="B462" s="24" t="s">
        <v>1038</v>
      </c>
      <c r="C462" s="2">
        <f>D462+L462+N462+P462+R462+S462+T462+U462</f>
        <v>4224000</v>
      </c>
      <c r="D462" s="3">
        <f>SUM(E462:J462)</f>
        <v>0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4">
        <v>0</v>
      </c>
      <c r="L462" s="3">
        <v>0</v>
      </c>
      <c r="M462" s="3">
        <v>640</v>
      </c>
      <c r="N462" s="3">
        <f>M462*6600</f>
        <v>4224000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6">
        <f>N462/M462</f>
        <v>6600</v>
      </c>
    </row>
    <row r="463" spans="1:22" ht="21.95" customHeight="1" x14ac:dyDescent="0.25">
      <c r="A463" s="37" t="s">
        <v>1674</v>
      </c>
      <c r="B463" s="24" t="s">
        <v>1039</v>
      </c>
      <c r="C463" s="2">
        <f>D463+L463+N463+P463+R463+S463+T463+U463</f>
        <v>3847800</v>
      </c>
      <c r="D463" s="3">
        <f>SUM(E463:J463)</f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4">
        <v>0</v>
      </c>
      <c r="L463" s="3">
        <v>0</v>
      </c>
      <c r="M463" s="3">
        <v>583</v>
      </c>
      <c r="N463" s="3">
        <f>M463*6600</f>
        <v>3847800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6">
        <f>N463/M463</f>
        <v>6600</v>
      </c>
    </row>
    <row r="464" spans="1:22" ht="21.95" customHeight="1" x14ac:dyDescent="0.25">
      <c r="A464" s="37" t="s">
        <v>1675</v>
      </c>
      <c r="B464" s="24" t="s">
        <v>1040</v>
      </c>
      <c r="C464" s="2">
        <f>D464+L464+N464+P464+R464+S464+T464+U464</f>
        <v>3379200</v>
      </c>
      <c r="D464" s="3">
        <f>SUM(E464:J464)</f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4">
        <v>0</v>
      </c>
      <c r="L464" s="3">
        <v>0</v>
      </c>
      <c r="M464" s="3">
        <v>512</v>
      </c>
      <c r="N464" s="3">
        <f>M464*6600</f>
        <v>3379200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6">
        <f>N464/M464</f>
        <v>6600</v>
      </c>
    </row>
    <row r="465" spans="1:22" ht="21.95" customHeight="1" x14ac:dyDescent="0.25">
      <c r="A465" s="37" t="s">
        <v>1676</v>
      </c>
      <c r="B465" s="8" t="s">
        <v>421</v>
      </c>
      <c r="C465" s="2">
        <f t="shared" si="232"/>
        <v>2860240</v>
      </c>
      <c r="D465" s="3">
        <f t="shared" si="270"/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4">
        <v>0</v>
      </c>
      <c r="L465" s="3">
        <v>0</v>
      </c>
      <c r="M465" s="3">
        <v>336.4</v>
      </c>
      <c r="N465" s="3">
        <f>M465*6600</f>
        <v>2220240</v>
      </c>
      <c r="O465" s="3">
        <v>0</v>
      </c>
      <c r="P465" s="3">
        <v>0</v>
      </c>
      <c r="Q465" s="3">
        <v>200</v>
      </c>
      <c r="R465" s="3">
        <f>Q465*3200</f>
        <v>640000</v>
      </c>
      <c r="S465" s="3">
        <v>0</v>
      </c>
      <c r="T465" s="5">
        <v>0</v>
      </c>
      <c r="U465" s="3">
        <v>0</v>
      </c>
      <c r="V465" s="6">
        <f t="shared" si="272"/>
        <v>6600</v>
      </c>
    </row>
    <row r="466" spans="1:22" ht="21.95" customHeight="1" x14ac:dyDescent="0.25">
      <c r="A466" s="37" t="s">
        <v>1677</v>
      </c>
      <c r="B466" s="23" t="s">
        <v>441</v>
      </c>
      <c r="C466" s="2">
        <f t="shared" si="232"/>
        <v>5026860.1900000004</v>
      </c>
      <c r="D466" s="3">
        <f t="shared" si="270"/>
        <v>774020</v>
      </c>
      <c r="E466" s="3">
        <f>350*595.4</f>
        <v>208390</v>
      </c>
      <c r="F466" s="3">
        <v>0</v>
      </c>
      <c r="G466" s="3">
        <f>300*595.4</f>
        <v>178620</v>
      </c>
      <c r="H466" s="3">
        <f>400*595.4</f>
        <v>238160</v>
      </c>
      <c r="I466" s="3">
        <f>250*595.4</f>
        <v>148850</v>
      </c>
      <c r="J466" s="3">
        <f>350*0</f>
        <v>0</v>
      </c>
      <c r="K466" s="4">
        <v>0</v>
      </c>
      <c r="L466" s="3">
        <v>0</v>
      </c>
      <c r="M466" s="3">
        <v>370.6</v>
      </c>
      <c r="N466" s="3">
        <f t="shared" si="273"/>
        <v>2038300.0000000002</v>
      </c>
      <c r="O466" s="3">
        <v>0</v>
      </c>
      <c r="P466" s="3">
        <v>0</v>
      </c>
      <c r="Q466" s="3">
        <v>701.9</v>
      </c>
      <c r="R466" s="3">
        <f t="shared" si="271"/>
        <v>2105700</v>
      </c>
      <c r="S466" s="3">
        <v>0</v>
      </c>
      <c r="T466" s="5">
        <v>0</v>
      </c>
      <c r="U466" s="3">
        <v>108840.19</v>
      </c>
      <c r="V466" s="6">
        <f t="shared" si="272"/>
        <v>5500</v>
      </c>
    </row>
    <row r="467" spans="1:22" ht="21.75" customHeight="1" x14ac:dyDescent="0.25">
      <c r="A467" s="37" t="s">
        <v>1678</v>
      </c>
      <c r="B467" s="8" t="s">
        <v>487</v>
      </c>
      <c r="C467" s="2">
        <f>D467+L467+N467+P467+R467+S467+T467+U467</f>
        <v>3418300</v>
      </c>
      <c r="D467" s="3">
        <f>SUM(E467:J467)</f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4">
        <v>0</v>
      </c>
      <c r="L467" s="3">
        <v>0</v>
      </c>
      <c r="M467" s="3">
        <v>340.3</v>
      </c>
      <c r="N467" s="3">
        <f>M467*5500</f>
        <v>1871650</v>
      </c>
      <c r="O467" s="3">
        <v>0</v>
      </c>
      <c r="P467" s="3">
        <v>0</v>
      </c>
      <c r="Q467" s="3">
        <v>515.54999999999995</v>
      </c>
      <c r="R467" s="3">
        <f>Q467*3000</f>
        <v>1546649.9999999998</v>
      </c>
      <c r="S467" s="3">
        <v>0</v>
      </c>
      <c r="T467" s="5">
        <v>0</v>
      </c>
      <c r="U467" s="3">
        <v>0</v>
      </c>
      <c r="V467" s="6">
        <f>N467/M467</f>
        <v>5500</v>
      </c>
    </row>
    <row r="468" spans="1:22" ht="21.95" customHeight="1" x14ac:dyDescent="0.25">
      <c r="A468" s="37" t="s">
        <v>1679</v>
      </c>
      <c r="B468" s="8" t="s">
        <v>488</v>
      </c>
      <c r="C468" s="2">
        <f t="shared" si="232"/>
        <v>3649800</v>
      </c>
      <c r="D468" s="3">
        <f t="shared" si="270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4">
        <v>0</v>
      </c>
      <c r="L468" s="3">
        <v>0</v>
      </c>
      <c r="M468" s="3">
        <v>553</v>
      </c>
      <c r="N468" s="3">
        <f>M468*6600</f>
        <v>3649800</v>
      </c>
      <c r="O468" s="3">
        <v>0</v>
      </c>
      <c r="P468" s="3">
        <v>0</v>
      </c>
      <c r="Q468" s="3">
        <v>0</v>
      </c>
      <c r="R468" s="3">
        <f t="shared" si="271"/>
        <v>0</v>
      </c>
      <c r="S468" s="3">
        <v>0</v>
      </c>
      <c r="T468" s="5">
        <v>0</v>
      </c>
      <c r="U468" s="3">
        <v>0</v>
      </c>
      <c r="V468" s="6">
        <f t="shared" si="272"/>
        <v>6600</v>
      </c>
    </row>
    <row r="469" spans="1:22" ht="21.95" customHeight="1" x14ac:dyDescent="0.25">
      <c r="A469" s="37" t="s">
        <v>1680</v>
      </c>
      <c r="B469" s="8" t="s">
        <v>570</v>
      </c>
      <c r="C469" s="2">
        <f t="shared" si="232"/>
        <v>3153700</v>
      </c>
      <c r="D469" s="3">
        <f t="shared" si="270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11">
        <v>0</v>
      </c>
      <c r="L469" s="5">
        <v>0</v>
      </c>
      <c r="M469" s="5">
        <v>573.4</v>
      </c>
      <c r="N469" s="3">
        <f t="shared" si="273"/>
        <v>3153700</v>
      </c>
      <c r="O469" s="5">
        <v>0</v>
      </c>
      <c r="P469" s="5">
        <v>0</v>
      </c>
      <c r="Q469" s="5">
        <v>0</v>
      </c>
      <c r="R469" s="3">
        <f t="shared" si="271"/>
        <v>0</v>
      </c>
      <c r="S469" s="5">
        <v>0</v>
      </c>
      <c r="T469" s="5">
        <v>0</v>
      </c>
      <c r="U469" s="5">
        <v>0</v>
      </c>
      <c r="V469" s="6">
        <f t="shared" si="272"/>
        <v>5500</v>
      </c>
    </row>
    <row r="470" spans="1:22" ht="21.95" customHeight="1" x14ac:dyDescent="0.25">
      <c r="A470" s="37" t="s">
        <v>1681</v>
      </c>
      <c r="B470" s="23" t="s">
        <v>571</v>
      </c>
      <c r="C470" s="2">
        <f t="shared" si="232"/>
        <v>4888286.87</v>
      </c>
      <c r="D470" s="3">
        <f t="shared" si="270"/>
        <v>1965678</v>
      </c>
      <c r="E470" s="3">
        <f>350*1008.04</f>
        <v>352814</v>
      </c>
      <c r="F470" s="3">
        <f>1050*1008.04</f>
        <v>1058442</v>
      </c>
      <c r="G470" s="3">
        <f>300*1008.04</f>
        <v>302412</v>
      </c>
      <c r="H470" s="3">
        <v>0</v>
      </c>
      <c r="I470" s="3">
        <f>250*1008.04</f>
        <v>252010</v>
      </c>
      <c r="J470" s="3">
        <f>350*0</f>
        <v>0</v>
      </c>
      <c r="K470" s="11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934.8</v>
      </c>
      <c r="R470" s="3">
        <f t="shared" si="271"/>
        <v>2804400</v>
      </c>
      <c r="S470" s="5">
        <v>0</v>
      </c>
      <c r="T470" s="5">
        <v>0</v>
      </c>
      <c r="U470" s="5">
        <v>118208.87</v>
      </c>
      <c r="V470" s="6" t="e">
        <f t="shared" si="272"/>
        <v>#DIV/0!</v>
      </c>
    </row>
    <row r="471" spans="1:22" ht="21.95" customHeight="1" x14ac:dyDescent="0.25">
      <c r="A471" s="37" t="s">
        <v>1682</v>
      </c>
      <c r="B471" s="8" t="s">
        <v>470</v>
      </c>
      <c r="C471" s="2">
        <f t="shared" si="232"/>
        <v>3322242.55</v>
      </c>
      <c r="D471" s="3">
        <f t="shared" si="270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4">
        <v>0</v>
      </c>
      <c r="L471" s="3">
        <v>0</v>
      </c>
      <c r="M471" s="3">
        <v>612</v>
      </c>
      <c r="N471" s="3">
        <v>3322242.55</v>
      </c>
      <c r="O471" s="3">
        <v>0</v>
      </c>
      <c r="P471" s="3">
        <v>0</v>
      </c>
      <c r="Q471" s="3">
        <v>0</v>
      </c>
      <c r="R471" s="3">
        <f t="shared" si="271"/>
        <v>0</v>
      </c>
      <c r="S471" s="3">
        <v>0</v>
      </c>
      <c r="T471" s="5">
        <v>0</v>
      </c>
      <c r="U471" s="3">
        <v>0</v>
      </c>
      <c r="V471" s="6">
        <f t="shared" si="272"/>
        <v>5428.5008986928106</v>
      </c>
    </row>
    <row r="472" spans="1:22" ht="21.95" customHeight="1" x14ac:dyDescent="0.25">
      <c r="A472" s="37" t="s">
        <v>1683</v>
      </c>
      <c r="B472" s="8" t="s">
        <v>489</v>
      </c>
      <c r="C472" s="2">
        <f t="shared" si="232"/>
        <v>2799040</v>
      </c>
      <c r="D472" s="3">
        <f t="shared" si="270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4">
        <v>0</v>
      </c>
      <c r="L472" s="3">
        <v>0</v>
      </c>
      <c r="M472" s="3">
        <v>280</v>
      </c>
      <c r="N472" s="3">
        <f t="shared" ref="N472:N477" si="274">M472*5500</f>
        <v>1540000</v>
      </c>
      <c r="O472" s="3">
        <v>0</v>
      </c>
      <c r="P472" s="3">
        <v>0</v>
      </c>
      <c r="Q472" s="3">
        <v>419.68</v>
      </c>
      <c r="R472" s="3">
        <v>1259040</v>
      </c>
      <c r="S472" s="3">
        <v>0</v>
      </c>
      <c r="T472" s="5">
        <v>0</v>
      </c>
      <c r="U472" s="3">
        <v>0</v>
      </c>
      <c r="V472" s="6">
        <f t="shared" si="272"/>
        <v>5500</v>
      </c>
    </row>
    <row r="473" spans="1:22" ht="21.95" customHeight="1" x14ac:dyDescent="0.25">
      <c r="A473" s="37" t="s">
        <v>1684</v>
      </c>
      <c r="B473" s="8" t="s">
        <v>572</v>
      </c>
      <c r="C473" s="2">
        <f t="shared" si="232"/>
        <v>1282497.6000000001</v>
      </c>
      <c r="D473" s="3">
        <f t="shared" si="270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11">
        <v>0</v>
      </c>
      <c r="L473" s="5">
        <v>0</v>
      </c>
      <c r="M473" s="5">
        <v>280</v>
      </c>
      <c r="N473" s="3">
        <v>1282497.6000000001</v>
      </c>
      <c r="O473" s="5">
        <v>0</v>
      </c>
      <c r="P473" s="5">
        <v>0</v>
      </c>
      <c r="Q473" s="5">
        <v>0</v>
      </c>
      <c r="R473" s="3">
        <f t="shared" si="271"/>
        <v>0</v>
      </c>
      <c r="S473" s="5">
        <v>0</v>
      </c>
      <c r="T473" s="5">
        <v>0</v>
      </c>
      <c r="U473" s="5">
        <v>0</v>
      </c>
      <c r="V473" s="6">
        <f t="shared" si="272"/>
        <v>4580.3485714285716</v>
      </c>
    </row>
    <row r="474" spans="1:22" ht="21.95" customHeight="1" x14ac:dyDescent="0.25">
      <c r="A474" s="37" t="s">
        <v>1685</v>
      </c>
      <c r="B474" s="8" t="s">
        <v>573</v>
      </c>
      <c r="C474" s="2">
        <f t="shared" si="232"/>
        <v>1317994.8</v>
      </c>
      <c r="D474" s="3">
        <f t="shared" si="270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1">
        <v>0</v>
      </c>
      <c r="L474" s="5">
        <v>0</v>
      </c>
      <c r="M474" s="5">
        <v>256.68</v>
      </c>
      <c r="N474" s="3">
        <v>1317994.8</v>
      </c>
      <c r="O474" s="5">
        <v>0</v>
      </c>
      <c r="P474" s="5">
        <v>0</v>
      </c>
      <c r="Q474" s="5">
        <v>0</v>
      </c>
      <c r="R474" s="3">
        <f t="shared" si="271"/>
        <v>0</v>
      </c>
      <c r="S474" s="5">
        <v>0</v>
      </c>
      <c r="T474" s="5">
        <v>0</v>
      </c>
      <c r="U474" s="5">
        <v>0</v>
      </c>
      <c r="V474" s="6">
        <f t="shared" si="272"/>
        <v>5134.7779336138383</v>
      </c>
    </row>
    <row r="475" spans="1:22" ht="21.95" customHeight="1" x14ac:dyDescent="0.25">
      <c r="A475" s="37" t="s">
        <v>1686</v>
      </c>
      <c r="B475" s="23" t="s">
        <v>574</v>
      </c>
      <c r="C475" s="2">
        <f t="shared" si="232"/>
        <v>3708649.9999999995</v>
      </c>
      <c r="D475" s="3">
        <f t="shared" si="270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11">
        <v>0</v>
      </c>
      <c r="L475" s="5">
        <v>0</v>
      </c>
      <c r="M475" s="5">
        <v>674.3</v>
      </c>
      <c r="N475" s="3">
        <f t="shared" si="274"/>
        <v>3708649.9999999995</v>
      </c>
      <c r="O475" s="5">
        <v>0</v>
      </c>
      <c r="P475" s="5">
        <v>0</v>
      </c>
      <c r="Q475" s="5">
        <v>0</v>
      </c>
      <c r="R475" s="3">
        <f t="shared" si="271"/>
        <v>0</v>
      </c>
      <c r="S475" s="5">
        <v>0</v>
      </c>
      <c r="T475" s="5">
        <v>0</v>
      </c>
      <c r="U475" s="5">
        <v>0</v>
      </c>
      <c r="V475" s="6">
        <f t="shared" si="272"/>
        <v>5500</v>
      </c>
    </row>
    <row r="476" spans="1:22" ht="21.95" customHeight="1" x14ac:dyDescent="0.25">
      <c r="A476" s="37" t="s">
        <v>1687</v>
      </c>
      <c r="B476" s="23" t="s">
        <v>471</v>
      </c>
      <c r="C476" s="2">
        <f t="shared" si="232"/>
        <v>9383493.9000000004</v>
      </c>
      <c r="D476" s="3">
        <f t="shared" si="270"/>
        <v>2018250</v>
      </c>
      <c r="E476" s="3">
        <f>350*1035</f>
        <v>362250</v>
      </c>
      <c r="F476" s="3">
        <f>1050*1035</f>
        <v>1086750</v>
      </c>
      <c r="G476" s="3">
        <f>300*1035</f>
        <v>310500</v>
      </c>
      <c r="H476" s="3">
        <f>400*0</f>
        <v>0</v>
      </c>
      <c r="I476" s="3">
        <f>250*1035</f>
        <v>258750</v>
      </c>
      <c r="J476" s="3">
        <f>350*0</f>
        <v>0</v>
      </c>
      <c r="K476" s="4">
        <v>0</v>
      </c>
      <c r="L476" s="3">
        <v>0</v>
      </c>
      <c r="M476" s="3">
        <v>764</v>
      </c>
      <c r="N476" s="3">
        <f t="shared" si="274"/>
        <v>4202000</v>
      </c>
      <c r="O476" s="3">
        <v>0</v>
      </c>
      <c r="P476" s="3">
        <v>0</v>
      </c>
      <c r="Q476" s="3">
        <v>1014</v>
      </c>
      <c r="R476" s="3">
        <f t="shared" si="271"/>
        <v>3042000</v>
      </c>
      <c r="S476" s="3">
        <v>0</v>
      </c>
      <c r="T476" s="5">
        <v>0</v>
      </c>
      <c r="U476" s="3">
        <v>121243.9</v>
      </c>
      <c r="V476" s="6">
        <f t="shared" si="272"/>
        <v>5500</v>
      </c>
    </row>
    <row r="477" spans="1:22" ht="21.95" customHeight="1" x14ac:dyDescent="0.25">
      <c r="A477" s="37" t="s">
        <v>1688</v>
      </c>
      <c r="B477" s="8" t="s">
        <v>575</v>
      </c>
      <c r="C477" s="2">
        <f t="shared" si="232"/>
        <v>300000</v>
      </c>
      <c r="D477" s="3">
        <f t="shared" si="270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11">
        <v>0</v>
      </c>
      <c r="L477" s="5">
        <v>0</v>
      </c>
      <c r="M477" s="5">
        <v>0</v>
      </c>
      <c r="N477" s="3">
        <f t="shared" si="274"/>
        <v>0</v>
      </c>
      <c r="O477" s="5">
        <v>0</v>
      </c>
      <c r="P477" s="5">
        <v>0</v>
      </c>
      <c r="Q477" s="5">
        <v>0</v>
      </c>
      <c r="R477" s="3">
        <f t="shared" si="271"/>
        <v>0</v>
      </c>
      <c r="S477" s="5">
        <v>0</v>
      </c>
      <c r="T477" s="5">
        <v>0</v>
      </c>
      <c r="U477" s="5">
        <v>300000</v>
      </c>
      <c r="V477" s="6" t="e">
        <f t="shared" si="272"/>
        <v>#DIV/0!</v>
      </c>
    </row>
    <row r="478" spans="1:22" ht="21.95" customHeight="1" x14ac:dyDescent="0.25">
      <c r="A478" s="37" t="s">
        <v>1689</v>
      </c>
      <c r="B478" s="23" t="s">
        <v>498</v>
      </c>
      <c r="C478" s="2">
        <f>D478+L478+N478+P478+R478+S478+T478+U478</f>
        <v>6758070</v>
      </c>
      <c r="D478" s="3">
        <f>SUM(E478:J478)</f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4">
        <v>0</v>
      </c>
      <c r="L478" s="3">
        <v>0</v>
      </c>
      <c r="M478" s="3">
        <v>1161.9000000000001</v>
      </c>
      <c r="N478" s="3">
        <v>6158070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600000</v>
      </c>
      <c r="V478" s="6">
        <f>N478/M478</f>
        <v>5300</v>
      </c>
    </row>
    <row r="479" spans="1:22" ht="21.95" customHeight="1" x14ac:dyDescent="0.25">
      <c r="A479" s="37" t="s">
        <v>1690</v>
      </c>
      <c r="B479" s="23" t="s">
        <v>500</v>
      </c>
      <c r="C479" s="2">
        <f>D479+L479+N479+P479+R479+S479+T479+U479</f>
        <v>16655539.5</v>
      </c>
      <c r="D479" s="3">
        <f>SUM(E479:J479)</f>
        <v>3664609.5</v>
      </c>
      <c r="E479" s="3">
        <f>350*1980.87</f>
        <v>693304.5</v>
      </c>
      <c r="F479" s="3">
        <f>800*1980.87</f>
        <v>1584696</v>
      </c>
      <c r="G479" s="3">
        <f>300*1980.87</f>
        <v>594261</v>
      </c>
      <c r="H479" s="3">
        <f>500*0</f>
        <v>0</v>
      </c>
      <c r="I479" s="3">
        <f>400*1980.87</f>
        <v>792348</v>
      </c>
      <c r="J479" s="3">
        <f>350*0</f>
        <v>0</v>
      </c>
      <c r="K479" s="4">
        <v>0</v>
      </c>
      <c r="L479" s="3">
        <v>0</v>
      </c>
      <c r="M479" s="3">
        <v>1748.1</v>
      </c>
      <c r="N479" s="3">
        <v>9264930</v>
      </c>
      <c r="O479" s="3">
        <v>0</v>
      </c>
      <c r="P479" s="3">
        <v>0</v>
      </c>
      <c r="Q479" s="3">
        <v>1200</v>
      </c>
      <c r="R479" s="3">
        <f>Q479*2605</f>
        <v>3126000</v>
      </c>
      <c r="S479" s="3">
        <v>0</v>
      </c>
      <c r="T479" s="3">
        <v>0</v>
      </c>
      <c r="U479" s="3">
        <v>600000</v>
      </c>
      <c r="V479" s="6">
        <f>N479/M479</f>
        <v>5300</v>
      </c>
    </row>
    <row r="480" spans="1:22" ht="21.95" customHeight="1" x14ac:dyDescent="0.25">
      <c r="A480" s="37" t="s">
        <v>1691</v>
      </c>
      <c r="B480" s="8" t="s">
        <v>394</v>
      </c>
      <c r="C480" s="2">
        <f>D480+L480+N480+P480+R480+S480+T480+U480</f>
        <v>300000</v>
      </c>
      <c r="D480" s="3">
        <f>SUM(E480:J480)</f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f>350*0</f>
        <v>0</v>
      </c>
      <c r="K480" s="4">
        <v>0</v>
      </c>
      <c r="L480" s="3">
        <v>0</v>
      </c>
      <c r="M480" s="3">
        <v>0</v>
      </c>
      <c r="N480" s="3">
        <f>M480*5500</f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300000</v>
      </c>
      <c r="V480" s="6" t="e">
        <f>N480/M480</f>
        <v>#DIV/0!</v>
      </c>
    </row>
    <row r="481" spans="1:22" ht="21.95" customHeight="1" x14ac:dyDescent="0.25">
      <c r="A481" s="37" t="s">
        <v>1692</v>
      </c>
      <c r="B481" s="8" t="s">
        <v>576</v>
      </c>
      <c r="C481" s="2">
        <f t="shared" si="232"/>
        <v>8631403.75</v>
      </c>
      <c r="D481" s="3">
        <f t="shared" si="270"/>
        <v>4403195</v>
      </c>
      <c r="E481" s="3">
        <f>350*1873.7</f>
        <v>655795</v>
      </c>
      <c r="F481" s="3">
        <f>1050*1873.7</f>
        <v>1967385</v>
      </c>
      <c r="G481" s="3">
        <f>300*1873.7</f>
        <v>562110</v>
      </c>
      <c r="H481" s="3">
        <f>400*1873.7</f>
        <v>749480</v>
      </c>
      <c r="I481" s="3">
        <f>250*1873.7</f>
        <v>468425</v>
      </c>
      <c r="J481" s="3">
        <f>350*0</f>
        <v>0</v>
      </c>
      <c r="K481" s="11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1343</v>
      </c>
      <c r="R481" s="3">
        <f t="shared" si="271"/>
        <v>4029000</v>
      </c>
      <c r="S481" s="5">
        <v>0</v>
      </c>
      <c r="T481" s="5">
        <v>0</v>
      </c>
      <c r="U481" s="5">
        <v>199208.75</v>
      </c>
      <c r="V481" s="6" t="e">
        <f t="shared" si="272"/>
        <v>#DIV/0!</v>
      </c>
    </row>
    <row r="482" spans="1:22" ht="21.95" customHeight="1" x14ac:dyDescent="0.25">
      <c r="A482" s="37" t="s">
        <v>1693</v>
      </c>
      <c r="B482" s="8" t="s">
        <v>386</v>
      </c>
      <c r="C482" s="2">
        <f t="shared" si="232"/>
        <v>4553051.6399999997</v>
      </c>
      <c r="D482" s="3">
        <f t="shared" si="270"/>
        <v>4295565</v>
      </c>
      <c r="E482" s="3">
        <f>350*1827.9</f>
        <v>639765</v>
      </c>
      <c r="F482" s="3">
        <f>1050*1827.9</f>
        <v>1919295</v>
      </c>
      <c r="G482" s="3">
        <f>300*1827.9</f>
        <v>548370</v>
      </c>
      <c r="H482" s="3">
        <f>400*1827.9</f>
        <v>731160</v>
      </c>
      <c r="I482" s="3">
        <f>250*1827.9</f>
        <v>456975</v>
      </c>
      <c r="J482" s="3">
        <f>350*0</f>
        <v>0</v>
      </c>
      <c r="K482" s="4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f t="shared" si="271"/>
        <v>0</v>
      </c>
      <c r="S482" s="3">
        <v>0</v>
      </c>
      <c r="T482" s="3">
        <v>0</v>
      </c>
      <c r="U482" s="3">
        <v>257486.64</v>
      </c>
      <c r="V482" s="6" t="e">
        <f t="shared" si="272"/>
        <v>#DIV/0!</v>
      </c>
    </row>
    <row r="483" spans="1:22" ht="21.95" customHeight="1" x14ac:dyDescent="0.25">
      <c r="A483" s="37" t="s">
        <v>1694</v>
      </c>
      <c r="B483" s="8" t="s">
        <v>577</v>
      </c>
      <c r="C483" s="2">
        <f t="shared" si="232"/>
        <v>3206500</v>
      </c>
      <c r="D483" s="3">
        <f t="shared" si="270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1">
        <v>0</v>
      </c>
      <c r="L483" s="5">
        <v>0</v>
      </c>
      <c r="M483" s="5">
        <v>583</v>
      </c>
      <c r="N483" s="3">
        <f t="shared" ref="N483:N489" si="275">M483*5500</f>
        <v>3206500</v>
      </c>
      <c r="O483" s="5">
        <v>0</v>
      </c>
      <c r="P483" s="5">
        <v>0</v>
      </c>
      <c r="Q483" s="5">
        <v>0</v>
      </c>
      <c r="R483" s="3">
        <f t="shared" si="271"/>
        <v>0</v>
      </c>
      <c r="S483" s="5">
        <v>0</v>
      </c>
      <c r="T483" s="5">
        <v>0</v>
      </c>
      <c r="U483" s="5">
        <v>0</v>
      </c>
      <c r="V483" s="6">
        <f t="shared" si="272"/>
        <v>5500</v>
      </c>
    </row>
    <row r="484" spans="1:22" ht="21.95" customHeight="1" x14ac:dyDescent="0.25">
      <c r="A484" s="37" t="s">
        <v>1695</v>
      </c>
      <c r="B484" s="8" t="s">
        <v>1006</v>
      </c>
      <c r="C484" s="2">
        <f t="shared" si="232"/>
        <v>2189000</v>
      </c>
      <c r="D484" s="3">
        <f t="shared" si="270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1">
        <v>0</v>
      </c>
      <c r="L484" s="5">
        <v>0</v>
      </c>
      <c r="M484" s="5">
        <v>398</v>
      </c>
      <c r="N484" s="3">
        <f t="shared" si="275"/>
        <v>2189000</v>
      </c>
      <c r="O484" s="5">
        <v>0</v>
      </c>
      <c r="P484" s="5">
        <v>0</v>
      </c>
      <c r="Q484" s="5">
        <v>0</v>
      </c>
      <c r="R484" s="3">
        <f t="shared" si="271"/>
        <v>0</v>
      </c>
      <c r="S484" s="5">
        <v>0</v>
      </c>
      <c r="T484" s="5">
        <v>0</v>
      </c>
      <c r="U484" s="5">
        <v>0</v>
      </c>
      <c r="V484" s="6">
        <f t="shared" si="272"/>
        <v>5500</v>
      </c>
    </row>
    <row r="485" spans="1:22" ht="21.95" customHeight="1" x14ac:dyDescent="0.25">
      <c r="A485" s="37" t="s">
        <v>1696</v>
      </c>
      <c r="B485" s="8" t="s">
        <v>503</v>
      </c>
      <c r="C485" s="2">
        <f t="shared" si="232"/>
        <v>2745000</v>
      </c>
      <c r="D485" s="3">
        <f t="shared" si="270"/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11">
        <v>0</v>
      </c>
      <c r="L485" s="5">
        <v>0</v>
      </c>
      <c r="M485" s="5">
        <v>270</v>
      </c>
      <c r="N485" s="3">
        <f t="shared" si="275"/>
        <v>1485000</v>
      </c>
      <c r="O485" s="5">
        <v>0</v>
      </c>
      <c r="P485" s="5">
        <v>0</v>
      </c>
      <c r="Q485" s="5">
        <v>420</v>
      </c>
      <c r="R485" s="3">
        <f t="shared" si="271"/>
        <v>1260000</v>
      </c>
      <c r="S485" s="5">
        <v>0</v>
      </c>
      <c r="T485" s="5">
        <v>0</v>
      </c>
      <c r="U485" s="5">
        <v>0</v>
      </c>
      <c r="V485" s="6">
        <f t="shared" si="272"/>
        <v>5500</v>
      </c>
    </row>
    <row r="486" spans="1:22" ht="21.95" customHeight="1" x14ac:dyDescent="0.25">
      <c r="A486" s="37" t="s">
        <v>1697</v>
      </c>
      <c r="B486" s="8" t="s">
        <v>578</v>
      </c>
      <c r="C486" s="2">
        <f t="shared" si="232"/>
        <v>2849000</v>
      </c>
      <c r="D486" s="3">
        <f t="shared" si="270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11">
        <v>0</v>
      </c>
      <c r="L486" s="5">
        <v>0</v>
      </c>
      <c r="M486" s="5">
        <v>518</v>
      </c>
      <c r="N486" s="3">
        <f t="shared" si="275"/>
        <v>2849000</v>
      </c>
      <c r="O486" s="5">
        <v>0</v>
      </c>
      <c r="P486" s="5">
        <v>0</v>
      </c>
      <c r="Q486" s="5">
        <v>0</v>
      </c>
      <c r="R486" s="3">
        <f t="shared" si="271"/>
        <v>0</v>
      </c>
      <c r="S486" s="5">
        <v>0</v>
      </c>
      <c r="T486" s="5">
        <v>0</v>
      </c>
      <c r="U486" s="5">
        <v>0</v>
      </c>
      <c r="V486" s="6">
        <f t="shared" si="272"/>
        <v>5500</v>
      </c>
    </row>
    <row r="487" spans="1:22" ht="21.95" customHeight="1" x14ac:dyDescent="0.25">
      <c r="A487" s="37" t="s">
        <v>1698</v>
      </c>
      <c r="B487" s="8" t="s">
        <v>672</v>
      </c>
      <c r="C487" s="2">
        <f t="shared" si="232"/>
        <v>1303500</v>
      </c>
      <c r="D487" s="3">
        <f t="shared" si="270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4">
        <v>0</v>
      </c>
      <c r="L487" s="3">
        <v>0</v>
      </c>
      <c r="M487" s="3">
        <v>237</v>
      </c>
      <c r="N487" s="3">
        <f t="shared" si="275"/>
        <v>1303500</v>
      </c>
      <c r="O487" s="3">
        <v>0</v>
      </c>
      <c r="P487" s="3">
        <v>0</v>
      </c>
      <c r="Q487" s="3">
        <v>0</v>
      </c>
      <c r="R487" s="3">
        <f t="shared" si="271"/>
        <v>0</v>
      </c>
      <c r="S487" s="3">
        <v>0</v>
      </c>
      <c r="T487" s="5">
        <v>0</v>
      </c>
      <c r="U487" s="3">
        <v>0</v>
      </c>
      <c r="V487" s="6">
        <f t="shared" si="272"/>
        <v>5500</v>
      </c>
    </row>
    <row r="488" spans="1:22" ht="21.95" customHeight="1" x14ac:dyDescent="0.25">
      <c r="A488" s="37" t="s">
        <v>1699</v>
      </c>
      <c r="B488" s="8" t="s">
        <v>504</v>
      </c>
      <c r="C488" s="2">
        <f t="shared" si="232"/>
        <v>1863400</v>
      </c>
      <c r="D488" s="3">
        <f t="shared" si="270"/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11">
        <v>0</v>
      </c>
      <c r="L488" s="5">
        <v>0</v>
      </c>
      <c r="M488" s="5">
        <v>338.8</v>
      </c>
      <c r="N488" s="3">
        <f t="shared" si="275"/>
        <v>1863400</v>
      </c>
      <c r="O488" s="5">
        <v>0</v>
      </c>
      <c r="P488" s="5">
        <v>0</v>
      </c>
      <c r="Q488" s="5">
        <v>0</v>
      </c>
      <c r="R488" s="3">
        <f t="shared" si="271"/>
        <v>0</v>
      </c>
      <c r="S488" s="5">
        <v>0</v>
      </c>
      <c r="T488" s="5">
        <v>0</v>
      </c>
      <c r="U488" s="5">
        <v>0</v>
      </c>
      <c r="V488" s="6">
        <f t="shared" si="272"/>
        <v>5500</v>
      </c>
    </row>
    <row r="489" spans="1:22" ht="21.95" customHeight="1" x14ac:dyDescent="0.25">
      <c r="A489" s="37" t="s">
        <v>1700</v>
      </c>
      <c r="B489" s="8" t="s">
        <v>579</v>
      </c>
      <c r="C489" s="2">
        <f t="shared" si="232"/>
        <v>3258200</v>
      </c>
      <c r="D489" s="3">
        <f t="shared" si="270"/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11">
        <v>0</v>
      </c>
      <c r="L489" s="5">
        <v>0</v>
      </c>
      <c r="M489" s="5">
        <v>592.4</v>
      </c>
      <c r="N489" s="3">
        <f t="shared" si="275"/>
        <v>3258200</v>
      </c>
      <c r="O489" s="5">
        <v>0</v>
      </c>
      <c r="P489" s="5">
        <v>0</v>
      </c>
      <c r="Q489" s="5">
        <v>0</v>
      </c>
      <c r="R489" s="3">
        <f t="shared" si="271"/>
        <v>0</v>
      </c>
      <c r="S489" s="5">
        <v>0</v>
      </c>
      <c r="T489" s="5">
        <v>0</v>
      </c>
      <c r="U489" s="5">
        <v>0</v>
      </c>
      <c r="V489" s="6">
        <f t="shared" si="272"/>
        <v>5500</v>
      </c>
    </row>
    <row r="490" spans="1:22" ht="21.95" customHeight="1" x14ac:dyDescent="0.25">
      <c r="A490" s="37" t="s">
        <v>1701</v>
      </c>
      <c r="B490" s="8" t="s">
        <v>456</v>
      </c>
      <c r="C490" s="2">
        <f t="shared" si="232"/>
        <v>4736960</v>
      </c>
      <c r="D490" s="3">
        <f t="shared" ref="D490" si="276">SUM(E490:J490)</f>
        <v>4736960</v>
      </c>
      <c r="E490" s="3">
        <v>0</v>
      </c>
      <c r="F490" s="3">
        <f>800*5921.2</f>
        <v>4736960</v>
      </c>
      <c r="G490" s="3">
        <v>0</v>
      </c>
      <c r="H490" s="3">
        <f>500*0</f>
        <v>0</v>
      </c>
      <c r="I490" s="3">
        <v>0</v>
      </c>
      <c r="J490" s="3">
        <f>350*0</f>
        <v>0</v>
      </c>
      <c r="K490" s="4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6" t="e">
        <f t="shared" si="272"/>
        <v>#DIV/0!</v>
      </c>
    </row>
    <row r="491" spans="1:22" ht="21.95" customHeight="1" x14ac:dyDescent="0.25">
      <c r="A491" s="37" t="s">
        <v>1702</v>
      </c>
      <c r="B491" s="23" t="s">
        <v>580</v>
      </c>
      <c r="C491" s="2">
        <f t="shared" si="232"/>
        <v>6245180.7400000002</v>
      </c>
      <c r="D491" s="3">
        <f t="shared" si="270"/>
        <v>6019650</v>
      </c>
      <c r="E491" s="3">
        <f>350*3087</f>
        <v>1080450</v>
      </c>
      <c r="F491" s="3">
        <f>1050*3087</f>
        <v>3241350</v>
      </c>
      <c r="G491" s="3">
        <f>300*3087</f>
        <v>926100</v>
      </c>
      <c r="H491" s="3">
        <v>0</v>
      </c>
      <c r="I491" s="3">
        <f>250*3087</f>
        <v>771750</v>
      </c>
      <c r="J491" s="3">
        <f>350*0</f>
        <v>0</v>
      </c>
      <c r="K491" s="11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3">
        <f t="shared" si="271"/>
        <v>0</v>
      </c>
      <c r="S491" s="5">
        <v>0</v>
      </c>
      <c r="T491" s="5">
        <v>0</v>
      </c>
      <c r="U491" s="5">
        <v>225530.74</v>
      </c>
      <c r="V491" s="6" t="e">
        <f t="shared" si="272"/>
        <v>#DIV/0!</v>
      </c>
    </row>
    <row r="492" spans="1:22" ht="21.95" customHeight="1" x14ac:dyDescent="0.25">
      <c r="A492" s="37" t="s">
        <v>1703</v>
      </c>
      <c r="B492" s="8" t="s">
        <v>581</v>
      </c>
      <c r="C492" s="2">
        <f t="shared" si="232"/>
        <v>2615670.7599999998</v>
      </c>
      <c r="D492" s="3">
        <f t="shared" si="270"/>
        <v>2446080</v>
      </c>
      <c r="E492" s="3">
        <f>350*1254.4</f>
        <v>439040.00000000006</v>
      </c>
      <c r="F492" s="3">
        <f>1050*1254.4</f>
        <v>1317120</v>
      </c>
      <c r="G492" s="3">
        <f>300*1254.4</f>
        <v>376320</v>
      </c>
      <c r="H492" s="3">
        <v>0</v>
      </c>
      <c r="I492" s="3">
        <f>250*1254.4</f>
        <v>313600</v>
      </c>
      <c r="J492" s="3">
        <f>350*0</f>
        <v>0</v>
      </c>
      <c r="K492" s="11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3">
        <f t="shared" si="271"/>
        <v>0</v>
      </c>
      <c r="S492" s="5">
        <v>0</v>
      </c>
      <c r="T492" s="5">
        <v>0</v>
      </c>
      <c r="U492" s="5">
        <v>169590.76</v>
      </c>
      <c r="V492" s="6" t="e">
        <f t="shared" si="272"/>
        <v>#DIV/0!</v>
      </c>
    </row>
    <row r="493" spans="1:22" ht="21.95" customHeight="1" x14ac:dyDescent="0.25">
      <c r="A493" s="37" t="s">
        <v>1704</v>
      </c>
      <c r="B493" s="8" t="s">
        <v>385</v>
      </c>
      <c r="C493" s="2">
        <f>D493+L493+N493+P493+R493+S493+T493+U493</f>
        <v>10458306.5</v>
      </c>
      <c r="D493" s="3">
        <f>SUM(E493:J493)</f>
        <v>10258306.5</v>
      </c>
      <c r="E493" s="3">
        <f>350*5260.67</f>
        <v>1841234.5</v>
      </c>
      <c r="F493" s="3">
        <f>1050*5260.67</f>
        <v>5523703.5</v>
      </c>
      <c r="G493" s="3">
        <f>300*5260.67</f>
        <v>1578201</v>
      </c>
      <c r="H493" s="3">
        <v>0</v>
      </c>
      <c r="I493" s="3">
        <f>250*5260.67</f>
        <v>1315167.5</v>
      </c>
      <c r="J493" s="3">
        <f>350*0</f>
        <v>0</v>
      </c>
      <c r="K493" s="4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200000</v>
      </c>
      <c r="V493" s="6" t="e">
        <f>N493/M493</f>
        <v>#DIV/0!</v>
      </c>
    </row>
    <row r="494" spans="1:22" ht="21.95" customHeight="1" x14ac:dyDescent="0.25">
      <c r="A494" s="37" t="s">
        <v>1705</v>
      </c>
      <c r="B494" s="23" t="s">
        <v>989</v>
      </c>
      <c r="C494" s="2">
        <f t="shared" ref="C494:C564" si="277">D494+L494+N494+P494+R494+S494+T494+U494</f>
        <v>300000</v>
      </c>
      <c r="D494" s="3">
        <f t="shared" si="270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11">
        <v>0</v>
      </c>
      <c r="L494" s="5">
        <v>0</v>
      </c>
      <c r="M494" s="5">
        <v>0</v>
      </c>
      <c r="N494" s="3">
        <f t="shared" ref="N494:N496" si="278">M494*5500</f>
        <v>0</v>
      </c>
      <c r="O494" s="5">
        <v>0</v>
      </c>
      <c r="P494" s="5">
        <v>0</v>
      </c>
      <c r="Q494" s="5">
        <v>0</v>
      </c>
      <c r="R494" s="3">
        <f t="shared" si="271"/>
        <v>0</v>
      </c>
      <c r="S494" s="5">
        <v>0</v>
      </c>
      <c r="T494" s="5">
        <v>0</v>
      </c>
      <c r="U494" s="5">
        <v>300000</v>
      </c>
      <c r="V494" s="6" t="e">
        <f t="shared" si="272"/>
        <v>#DIV/0!</v>
      </c>
    </row>
    <row r="495" spans="1:22" ht="21.95" customHeight="1" x14ac:dyDescent="0.25">
      <c r="A495" s="37" t="s">
        <v>1706</v>
      </c>
      <c r="B495" s="23" t="s">
        <v>505</v>
      </c>
      <c r="C495" s="2">
        <f t="shared" si="277"/>
        <v>300000</v>
      </c>
      <c r="D495" s="3">
        <f t="shared" si="270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1">
        <v>0</v>
      </c>
      <c r="L495" s="5">
        <v>0</v>
      </c>
      <c r="M495" s="5">
        <v>0</v>
      </c>
      <c r="N495" s="3">
        <f t="shared" si="278"/>
        <v>0</v>
      </c>
      <c r="O495" s="5">
        <v>0</v>
      </c>
      <c r="P495" s="5">
        <v>0</v>
      </c>
      <c r="Q495" s="5">
        <v>0</v>
      </c>
      <c r="R495" s="3">
        <f t="shared" si="271"/>
        <v>0</v>
      </c>
      <c r="S495" s="5">
        <v>0</v>
      </c>
      <c r="T495" s="5">
        <v>0</v>
      </c>
      <c r="U495" s="5">
        <v>300000</v>
      </c>
      <c r="V495" s="6" t="e">
        <f t="shared" si="272"/>
        <v>#DIV/0!</v>
      </c>
    </row>
    <row r="496" spans="1:22" ht="31.5" x14ac:dyDescent="0.25">
      <c r="A496" s="37" t="s">
        <v>1707</v>
      </c>
      <c r="B496" s="8" t="s">
        <v>1072</v>
      </c>
      <c r="C496" s="2">
        <f t="shared" si="277"/>
        <v>4746500</v>
      </c>
      <c r="D496" s="3">
        <f t="shared" si="270"/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11">
        <v>0</v>
      </c>
      <c r="L496" s="5">
        <v>0</v>
      </c>
      <c r="M496" s="5">
        <v>863</v>
      </c>
      <c r="N496" s="3">
        <f t="shared" si="278"/>
        <v>4746500</v>
      </c>
      <c r="O496" s="5">
        <v>0</v>
      </c>
      <c r="P496" s="5">
        <v>0</v>
      </c>
      <c r="Q496" s="5">
        <v>0</v>
      </c>
      <c r="R496" s="3">
        <f t="shared" si="271"/>
        <v>0</v>
      </c>
      <c r="S496" s="5">
        <v>0</v>
      </c>
      <c r="T496" s="5">
        <v>0</v>
      </c>
      <c r="U496" s="5">
        <v>0</v>
      </c>
      <c r="V496" s="6">
        <f t="shared" si="272"/>
        <v>5500</v>
      </c>
    </row>
    <row r="497" spans="1:22" ht="21.95" customHeight="1" x14ac:dyDescent="0.25">
      <c r="A497" s="37" t="s">
        <v>1708</v>
      </c>
      <c r="B497" s="8" t="s">
        <v>583</v>
      </c>
      <c r="C497" s="2">
        <f t="shared" si="277"/>
        <v>300000</v>
      </c>
      <c r="D497" s="3">
        <f t="shared" si="270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11">
        <v>0</v>
      </c>
      <c r="L497" s="5">
        <v>0</v>
      </c>
      <c r="M497" s="5">
        <v>0</v>
      </c>
      <c r="N497" s="3">
        <f t="shared" ref="N497:N501" si="279">M497*5500</f>
        <v>0</v>
      </c>
      <c r="O497" s="5">
        <v>0</v>
      </c>
      <c r="P497" s="5">
        <v>0</v>
      </c>
      <c r="Q497" s="5">
        <v>0</v>
      </c>
      <c r="R497" s="3">
        <f t="shared" si="271"/>
        <v>0</v>
      </c>
      <c r="S497" s="5">
        <v>0</v>
      </c>
      <c r="T497" s="5">
        <v>0</v>
      </c>
      <c r="U497" s="5">
        <v>300000</v>
      </c>
      <c r="V497" s="6" t="e">
        <f t="shared" si="272"/>
        <v>#DIV/0!</v>
      </c>
    </row>
    <row r="498" spans="1:22" ht="21.95" customHeight="1" x14ac:dyDescent="0.25">
      <c r="A498" s="37" t="s">
        <v>1709</v>
      </c>
      <c r="B498" s="8" t="s">
        <v>506</v>
      </c>
      <c r="C498" s="2">
        <f t="shared" si="277"/>
        <v>300000</v>
      </c>
      <c r="D498" s="3">
        <f t="shared" si="270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1">
        <v>0</v>
      </c>
      <c r="L498" s="5">
        <v>0</v>
      </c>
      <c r="M498" s="5">
        <v>0</v>
      </c>
      <c r="N498" s="3">
        <f t="shared" si="279"/>
        <v>0</v>
      </c>
      <c r="O498" s="5">
        <v>0</v>
      </c>
      <c r="P498" s="5">
        <v>0</v>
      </c>
      <c r="Q498" s="5">
        <v>0</v>
      </c>
      <c r="R498" s="3">
        <f t="shared" si="271"/>
        <v>0</v>
      </c>
      <c r="S498" s="5">
        <v>0</v>
      </c>
      <c r="T498" s="5">
        <v>0</v>
      </c>
      <c r="U498" s="5">
        <v>300000</v>
      </c>
      <c r="V498" s="6" t="e">
        <f t="shared" si="272"/>
        <v>#DIV/0!</v>
      </c>
    </row>
    <row r="499" spans="1:22" ht="21.95" customHeight="1" x14ac:dyDescent="0.25">
      <c r="A499" s="37" t="s">
        <v>1710</v>
      </c>
      <c r="B499" s="8" t="s">
        <v>458</v>
      </c>
      <c r="C499" s="2">
        <f t="shared" si="277"/>
        <v>2101000</v>
      </c>
      <c r="D499" s="3">
        <f t="shared" si="270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4">
        <v>0</v>
      </c>
      <c r="L499" s="3">
        <v>0</v>
      </c>
      <c r="M499" s="3">
        <v>382</v>
      </c>
      <c r="N499" s="3">
        <f t="shared" si="279"/>
        <v>2101000</v>
      </c>
      <c r="O499" s="3">
        <v>0</v>
      </c>
      <c r="P499" s="3">
        <v>0</v>
      </c>
      <c r="Q499" s="3">
        <v>0</v>
      </c>
      <c r="R499" s="3">
        <f t="shared" si="271"/>
        <v>0</v>
      </c>
      <c r="S499" s="3">
        <v>0</v>
      </c>
      <c r="T499" s="5">
        <v>0</v>
      </c>
      <c r="U499" s="3">
        <v>0</v>
      </c>
      <c r="V499" s="6">
        <f t="shared" si="272"/>
        <v>5500</v>
      </c>
    </row>
    <row r="500" spans="1:22" ht="21.95" customHeight="1" x14ac:dyDescent="0.25">
      <c r="A500" s="37" t="s">
        <v>1711</v>
      </c>
      <c r="B500" s="8" t="s">
        <v>584</v>
      </c>
      <c r="C500" s="2">
        <f t="shared" si="277"/>
        <v>1611500</v>
      </c>
      <c r="D500" s="3">
        <f t="shared" si="270"/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11">
        <v>0</v>
      </c>
      <c r="L500" s="5">
        <v>0</v>
      </c>
      <c r="M500" s="5">
        <v>293</v>
      </c>
      <c r="N500" s="3">
        <f t="shared" si="279"/>
        <v>1611500</v>
      </c>
      <c r="O500" s="5">
        <v>0</v>
      </c>
      <c r="P500" s="5">
        <v>0</v>
      </c>
      <c r="Q500" s="5">
        <v>0</v>
      </c>
      <c r="R500" s="3">
        <f t="shared" si="271"/>
        <v>0</v>
      </c>
      <c r="S500" s="5">
        <v>0</v>
      </c>
      <c r="T500" s="5">
        <v>0</v>
      </c>
      <c r="U500" s="5">
        <v>0</v>
      </c>
      <c r="V500" s="6">
        <f t="shared" si="272"/>
        <v>5500</v>
      </c>
    </row>
    <row r="501" spans="1:22" ht="21.95" customHeight="1" x14ac:dyDescent="0.25">
      <c r="A501" s="37" t="s">
        <v>1712</v>
      </c>
      <c r="B501" s="8" t="s">
        <v>585</v>
      </c>
      <c r="C501" s="2">
        <f t="shared" si="277"/>
        <v>1606000</v>
      </c>
      <c r="D501" s="3">
        <f t="shared" si="270"/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11">
        <v>0</v>
      </c>
      <c r="L501" s="5">
        <v>0</v>
      </c>
      <c r="M501" s="5">
        <v>292</v>
      </c>
      <c r="N501" s="3">
        <f t="shared" si="279"/>
        <v>1606000</v>
      </c>
      <c r="O501" s="5">
        <v>0</v>
      </c>
      <c r="P501" s="5">
        <v>0</v>
      </c>
      <c r="Q501" s="5">
        <v>0</v>
      </c>
      <c r="R501" s="3">
        <f t="shared" si="271"/>
        <v>0</v>
      </c>
      <c r="S501" s="5">
        <v>0</v>
      </c>
      <c r="T501" s="5">
        <v>0</v>
      </c>
      <c r="U501" s="5">
        <v>0</v>
      </c>
      <c r="V501" s="6">
        <f t="shared" si="272"/>
        <v>5500</v>
      </c>
    </row>
    <row r="502" spans="1:22" ht="21.95" customHeight="1" x14ac:dyDescent="0.25">
      <c r="A502" s="37" t="s">
        <v>1713</v>
      </c>
      <c r="B502" s="8" t="s">
        <v>401</v>
      </c>
      <c r="C502" s="2">
        <f>D502+L502+N502+P502+R502+S502+T502+U502</f>
        <v>886320</v>
      </c>
      <c r="D502" s="3">
        <f>SUM(E502:J502)</f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4">
        <v>0</v>
      </c>
      <c r="L502" s="3">
        <v>0</v>
      </c>
      <c r="M502" s="3">
        <v>0</v>
      </c>
      <c r="N502" s="3">
        <v>0</v>
      </c>
      <c r="O502" s="3">
        <v>238.6</v>
      </c>
      <c r="P502" s="3">
        <f>O502*1200</f>
        <v>286320</v>
      </c>
      <c r="Q502" s="3">
        <v>0</v>
      </c>
      <c r="R502" s="3">
        <v>0</v>
      </c>
      <c r="S502" s="3">
        <v>0</v>
      </c>
      <c r="T502" s="3">
        <v>0</v>
      </c>
      <c r="U502" s="3">
        <v>600000</v>
      </c>
      <c r="V502" s="6" t="e">
        <f>N502/M502</f>
        <v>#DIV/0!</v>
      </c>
    </row>
    <row r="503" spans="1:22" ht="21.95" customHeight="1" x14ac:dyDescent="0.25">
      <c r="A503" s="37" t="s">
        <v>1714</v>
      </c>
      <c r="B503" s="8" t="s">
        <v>436</v>
      </c>
      <c r="C503" s="2">
        <f t="shared" ref="C503:C505" si="280">D503+L503+N503+P503+R503+S503+T503+U503</f>
        <v>1787112.0000000002</v>
      </c>
      <c r="D503" s="3">
        <f t="shared" ref="D503:D505" si="281">SUM(E503:J503)</f>
        <v>1787112.0000000002</v>
      </c>
      <c r="E503" s="3">
        <v>483806.4</v>
      </c>
      <c r="F503" s="3">
        <v>1203646.8</v>
      </c>
      <c r="G503" s="3">
        <v>99658.8</v>
      </c>
      <c r="H503" s="3">
        <v>0</v>
      </c>
      <c r="I503" s="3">
        <v>0</v>
      </c>
      <c r="J503" s="3">
        <f t="shared" ref="J503:J505" si="282">0*350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6" t="e">
        <f t="shared" ref="V503:V505" si="283">N503/M503</f>
        <v>#DIV/0!</v>
      </c>
    </row>
    <row r="504" spans="1:22" ht="21.95" customHeight="1" x14ac:dyDescent="0.25">
      <c r="A504" s="37" t="s">
        <v>1715</v>
      </c>
      <c r="B504" s="8" t="s">
        <v>428</v>
      </c>
      <c r="C504" s="2">
        <f t="shared" si="280"/>
        <v>2369787.6</v>
      </c>
      <c r="D504" s="3">
        <f t="shared" si="281"/>
        <v>2369787.6</v>
      </c>
      <c r="E504" s="3">
        <v>775140</v>
      </c>
      <c r="F504" s="3">
        <v>1466466</v>
      </c>
      <c r="G504" s="3">
        <v>128181.6</v>
      </c>
      <c r="H504" s="3">
        <v>0</v>
      </c>
      <c r="I504" s="3">
        <v>0</v>
      </c>
      <c r="J504" s="3">
        <f t="shared" si="282"/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6" t="e">
        <f t="shared" si="283"/>
        <v>#DIV/0!</v>
      </c>
    </row>
    <row r="505" spans="1:22" ht="21.95" customHeight="1" x14ac:dyDescent="0.25">
      <c r="A505" s="37" t="s">
        <v>1716</v>
      </c>
      <c r="B505" s="8" t="s">
        <v>429</v>
      </c>
      <c r="C505" s="2">
        <f t="shared" si="280"/>
        <v>3397738.8</v>
      </c>
      <c r="D505" s="3">
        <f t="shared" si="281"/>
        <v>3397738.8</v>
      </c>
      <c r="E505" s="3">
        <v>690468</v>
      </c>
      <c r="F505" s="3">
        <v>2228470.7999999998</v>
      </c>
      <c r="G505" s="3">
        <v>263671.2</v>
      </c>
      <c r="H505" s="3">
        <v>0</v>
      </c>
      <c r="I505" s="3">
        <v>215128.8</v>
      </c>
      <c r="J505" s="3">
        <f t="shared" si="282"/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6" t="e">
        <f t="shared" si="283"/>
        <v>#DIV/0!</v>
      </c>
    </row>
    <row r="506" spans="1:22" ht="21.95" customHeight="1" x14ac:dyDescent="0.25">
      <c r="A506" s="37" t="s">
        <v>1717</v>
      </c>
      <c r="B506" s="8" t="s">
        <v>435</v>
      </c>
      <c r="C506" s="2">
        <f t="shared" ref="C506" si="284">D506+L506+N506+P506+R506+S506+T506+U506</f>
        <v>1555717.2</v>
      </c>
      <c r="D506" s="3">
        <f t="shared" ref="D506" si="285">SUM(E506:J506)</f>
        <v>1555717.2</v>
      </c>
      <c r="E506" s="3">
        <v>457232.4</v>
      </c>
      <c r="F506" s="3">
        <v>1009686</v>
      </c>
      <c r="G506" s="3">
        <v>88798.8</v>
      </c>
      <c r="H506" s="3">
        <v>0</v>
      </c>
      <c r="I506" s="3">
        <v>0</v>
      </c>
      <c r="J506" s="3">
        <f t="shared" ref="J506" si="286">0*350</f>
        <v>0</v>
      </c>
      <c r="K506" s="4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6" t="e">
        <f t="shared" ref="V506" si="287">N506/M506</f>
        <v>#DIV/0!</v>
      </c>
    </row>
    <row r="507" spans="1:22" ht="21.95" customHeight="1" x14ac:dyDescent="0.25">
      <c r="A507" s="37" t="s">
        <v>1718</v>
      </c>
      <c r="B507" s="8" t="s">
        <v>411</v>
      </c>
      <c r="C507" s="2">
        <f>D507+L507+N507+P507+R507+S507+T507+U507</f>
        <v>1070597</v>
      </c>
      <c r="D507" s="3">
        <f>SUM(E507:J507)</f>
        <v>870597</v>
      </c>
      <c r="E507" s="3">
        <f>350*829.14</f>
        <v>290199</v>
      </c>
      <c r="F507" s="3">
        <v>0</v>
      </c>
      <c r="G507" s="3">
        <f>300*829.14</f>
        <v>248742</v>
      </c>
      <c r="H507" s="3">
        <f>500*0</f>
        <v>0</v>
      </c>
      <c r="I507" s="3">
        <f>400*829.14</f>
        <v>331656</v>
      </c>
      <c r="J507" s="3">
        <f>350*0</f>
        <v>0</v>
      </c>
      <c r="K507" s="4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200000</v>
      </c>
      <c r="V507" s="6" t="e">
        <f>N507/M507</f>
        <v>#DIV/0!</v>
      </c>
    </row>
    <row r="508" spans="1:22" ht="21.95" customHeight="1" x14ac:dyDescent="0.25">
      <c r="A508" s="37" t="s">
        <v>1719</v>
      </c>
      <c r="B508" s="8" t="s">
        <v>390</v>
      </c>
      <c r="C508" s="2">
        <f t="shared" si="277"/>
        <v>6865236.1200000001</v>
      </c>
      <c r="D508" s="3">
        <f t="shared" si="270"/>
        <v>6629220</v>
      </c>
      <c r="E508" s="3">
        <f>350*3399.6</f>
        <v>1189860</v>
      </c>
      <c r="F508" s="3">
        <f>1050*3399.6</f>
        <v>3569580</v>
      </c>
      <c r="G508" s="3">
        <f>300*3399.6</f>
        <v>1019880</v>
      </c>
      <c r="H508" s="3">
        <v>0</v>
      </c>
      <c r="I508" s="3">
        <f>250*3399.6</f>
        <v>849900</v>
      </c>
      <c r="J508" s="3">
        <f>350*0</f>
        <v>0</v>
      </c>
      <c r="K508" s="4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f t="shared" si="271"/>
        <v>0</v>
      </c>
      <c r="S508" s="3">
        <v>0</v>
      </c>
      <c r="T508" s="5">
        <v>0</v>
      </c>
      <c r="U508" s="3">
        <v>236016.12</v>
      </c>
      <c r="V508" s="6" t="e">
        <f t="shared" si="272"/>
        <v>#DIV/0!</v>
      </c>
    </row>
    <row r="509" spans="1:22" ht="21.95" customHeight="1" x14ac:dyDescent="0.25">
      <c r="A509" s="37" t="s">
        <v>1720</v>
      </c>
      <c r="B509" s="8" t="s">
        <v>437</v>
      </c>
      <c r="C509" s="2">
        <f t="shared" ref="C509:C510" si="288">D509+L509+N509+P509+R509+S509+T509+U509</f>
        <v>6051501.2000000011</v>
      </c>
      <c r="D509" s="3">
        <f t="shared" ref="D509:D510" si="289">SUM(E509:J509)</f>
        <v>5851501.2000000011</v>
      </c>
      <c r="E509" s="3">
        <v>742654.8</v>
      </c>
      <c r="F509" s="3">
        <v>3424796.4</v>
      </c>
      <c r="G509" s="3">
        <v>598286.4</v>
      </c>
      <c r="H509" s="3">
        <v>608089.19999999995</v>
      </c>
      <c r="I509" s="3">
        <v>477674.4</v>
      </c>
      <c r="J509" s="3">
        <f>350*0</f>
        <v>0</v>
      </c>
      <c r="K509" s="4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200000</v>
      </c>
      <c r="V509" s="6" t="e">
        <f t="shared" ref="V509:V510" si="290">N509/M509</f>
        <v>#DIV/0!</v>
      </c>
    </row>
    <row r="510" spans="1:22" ht="21.95" customHeight="1" x14ac:dyDescent="0.25">
      <c r="A510" s="37" t="s">
        <v>1721</v>
      </c>
      <c r="B510" s="8" t="s">
        <v>395</v>
      </c>
      <c r="C510" s="2">
        <f t="shared" si="288"/>
        <v>5941296</v>
      </c>
      <c r="D510" s="3">
        <f t="shared" si="289"/>
        <v>5941296</v>
      </c>
      <c r="E510" s="3">
        <v>476244</v>
      </c>
      <c r="F510" s="3">
        <v>2566898.4</v>
      </c>
      <c r="G510" s="3">
        <v>988557.6</v>
      </c>
      <c r="H510" s="3">
        <v>980467.19999999995</v>
      </c>
      <c r="I510" s="3">
        <v>929128.8</v>
      </c>
      <c r="J510" s="3">
        <f>350*0</f>
        <v>0</v>
      </c>
      <c r="K510" s="4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6" t="e">
        <f t="shared" si="290"/>
        <v>#DIV/0!</v>
      </c>
    </row>
    <row r="511" spans="1:22" ht="21.95" customHeight="1" x14ac:dyDescent="0.25">
      <c r="A511" s="37" t="s">
        <v>1722</v>
      </c>
      <c r="B511" s="8" t="s">
        <v>396</v>
      </c>
      <c r="C511" s="2">
        <f t="shared" si="277"/>
        <v>5341565</v>
      </c>
      <c r="D511" s="3">
        <f t="shared" si="270"/>
        <v>5141565</v>
      </c>
      <c r="E511" s="3">
        <f>350*2187.9</f>
        <v>765765</v>
      </c>
      <c r="F511" s="3">
        <f>1050*2187.9</f>
        <v>2297295</v>
      </c>
      <c r="G511" s="3">
        <f>300*2187.9</f>
        <v>656370</v>
      </c>
      <c r="H511" s="3">
        <f>400*2187.9</f>
        <v>875160</v>
      </c>
      <c r="I511" s="3">
        <f>250*2187.9</f>
        <v>546975</v>
      </c>
      <c r="J511" s="3">
        <f t="shared" ref="J511" si="291">350*0</f>
        <v>0</v>
      </c>
      <c r="K511" s="4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200000</v>
      </c>
      <c r="V511" s="6" t="e">
        <f t="shared" si="272"/>
        <v>#DIV/0!</v>
      </c>
    </row>
    <row r="512" spans="1:22" ht="21.95" customHeight="1" x14ac:dyDescent="0.25">
      <c r="A512" s="37" t="s">
        <v>1723</v>
      </c>
      <c r="B512" s="8" t="s">
        <v>378</v>
      </c>
      <c r="C512" s="2">
        <f>D512+L512+N512+P512+R512+S512+T512+U512</f>
        <v>1194560</v>
      </c>
      <c r="D512" s="3">
        <f>SUM(E512:J512)</f>
        <v>994560</v>
      </c>
      <c r="E512" s="3">
        <f>350*537.6</f>
        <v>188160</v>
      </c>
      <c r="F512" s="3">
        <f>800*537.6</f>
        <v>430080</v>
      </c>
      <c r="G512" s="3">
        <f>300*537.6</f>
        <v>161280</v>
      </c>
      <c r="H512" s="3">
        <f>500*0</f>
        <v>0</v>
      </c>
      <c r="I512" s="3">
        <f>400*537.6</f>
        <v>215040</v>
      </c>
      <c r="J512" s="3">
        <f t="shared" si="73"/>
        <v>0</v>
      </c>
      <c r="K512" s="4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200000</v>
      </c>
      <c r="V512" s="6" t="e">
        <f>N512/M512</f>
        <v>#DIV/0!</v>
      </c>
    </row>
    <row r="513" spans="1:22" ht="21.95" customHeight="1" x14ac:dyDescent="0.25">
      <c r="A513" s="37" t="s">
        <v>1220</v>
      </c>
      <c r="B513" s="8" t="s">
        <v>379</v>
      </c>
      <c r="C513" s="2">
        <f>D513+L513+N513+P513+R513+S513+T513+U513</f>
        <v>2013000</v>
      </c>
      <c r="D513" s="3">
        <f>SUM(E513:J513)</f>
        <v>1813000</v>
      </c>
      <c r="E513" s="3">
        <f>350*980</f>
        <v>343000</v>
      </c>
      <c r="F513" s="3">
        <f>800*980</f>
        <v>784000</v>
      </c>
      <c r="G513" s="3">
        <f>300*980</f>
        <v>294000</v>
      </c>
      <c r="H513" s="3">
        <f>500*0</f>
        <v>0</v>
      </c>
      <c r="I513" s="3">
        <f>400*980</f>
        <v>392000</v>
      </c>
      <c r="J513" s="3">
        <f t="shared" si="73"/>
        <v>0</v>
      </c>
      <c r="K513" s="4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200000</v>
      </c>
      <c r="V513" s="6" t="e">
        <f>N513/M513</f>
        <v>#DIV/0!</v>
      </c>
    </row>
    <row r="514" spans="1:22" ht="21.95" customHeight="1" x14ac:dyDescent="0.25">
      <c r="A514" s="37" t="s">
        <v>1724</v>
      </c>
      <c r="B514" s="23" t="s">
        <v>438</v>
      </c>
      <c r="C514" s="2">
        <f t="shared" ref="C514" si="292">D514+L514+N514+P514+R514+S514+T514+U514</f>
        <v>14095576.799999997</v>
      </c>
      <c r="D514" s="3">
        <f t="shared" ref="D514" si="293">SUM(E514:J514)</f>
        <v>14095576.799999997</v>
      </c>
      <c r="E514" s="3">
        <v>1510459.2</v>
      </c>
      <c r="F514" s="3">
        <v>7261664.4000000004</v>
      </c>
      <c r="G514" s="3">
        <v>1863289.2</v>
      </c>
      <c r="H514" s="3">
        <v>2241184.7999999998</v>
      </c>
      <c r="I514" s="3">
        <v>1218979.2</v>
      </c>
      <c r="J514" s="3">
        <f t="shared" si="73"/>
        <v>0</v>
      </c>
      <c r="K514" s="4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6" t="e">
        <f t="shared" ref="V514" si="294">N514/M514</f>
        <v>#DIV/0!</v>
      </c>
    </row>
    <row r="515" spans="1:22" ht="21.95" customHeight="1" x14ac:dyDescent="0.25">
      <c r="A515" s="37" t="s">
        <v>1725</v>
      </c>
      <c r="B515" s="8" t="s">
        <v>410</v>
      </c>
      <c r="C515" s="2">
        <f>D515+L515+N515+P515+R515+S515+T515+U515</f>
        <v>7245065</v>
      </c>
      <c r="D515" s="3">
        <f>SUM(E515:J515)</f>
        <v>7045065</v>
      </c>
      <c r="E515" s="3">
        <f>350*2997.9</f>
        <v>1049265</v>
      </c>
      <c r="F515" s="3">
        <f>800*2997.9</f>
        <v>2398320</v>
      </c>
      <c r="G515" s="3">
        <f>300*2997.9</f>
        <v>899370</v>
      </c>
      <c r="H515" s="3">
        <f>500*2997.9</f>
        <v>1498950</v>
      </c>
      <c r="I515" s="3">
        <f>400*2997.9</f>
        <v>1199160</v>
      </c>
      <c r="J515" s="3">
        <f t="shared" si="73"/>
        <v>0</v>
      </c>
      <c r="K515" s="4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200000</v>
      </c>
      <c r="V515" s="6" t="e">
        <f>N515/M515</f>
        <v>#DIV/0!</v>
      </c>
    </row>
    <row r="516" spans="1:22" ht="21.95" customHeight="1" x14ac:dyDescent="0.25">
      <c r="A516" s="37" t="s">
        <v>1726</v>
      </c>
      <c r="B516" s="8" t="s">
        <v>586</v>
      </c>
      <c r="C516" s="2">
        <f t="shared" si="277"/>
        <v>300000</v>
      </c>
      <c r="D516" s="3">
        <f t="shared" si="270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1">
        <v>0</v>
      </c>
      <c r="L516" s="5">
        <v>0</v>
      </c>
      <c r="M516" s="5">
        <v>0</v>
      </c>
      <c r="N516" s="3">
        <f t="shared" ref="N516:N517" si="295">M516*5500</f>
        <v>0</v>
      </c>
      <c r="O516" s="5">
        <v>0</v>
      </c>
      <c r="P516" s="5">
        <v>0</v>
      </c>
      <c r="Q516" s="5">
        <v>0</v>
      </c>
      <c r="R516" s="3">
        <f t="shared" si="271"/>
        <v>0</v>
      </c>
      <c r="S516" s="5">
        <v>0</v>
      </c>
      <c r="T516" s="5">
        <v>0</v>
      </c>
      <c r="U516" s="5">
        <v>300000</v>
      </c>
      <c r="V516" s="6" t="e">
        <f t="shared" si="272"/>
        <v>#DIV/0!</v>
      </c>
    </row>
    <row r="517" spans="1:22" ht="21.95" customHeight="1" x14ac:dyDescent="0.25">
      <c r="A517" s="37" t="s">
        <v>1727</v>
      </c>
      <c r="B517" s="8" t="s">
        <v>587</v>
      </c>
      <c r="C517" s="2">
        <f t="shared" si="277"/>
        <v>1468500</v>
      </c>
      <c r="D517" s="3">
        <f t="shared" si="270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1">
        <v>0</v>
      </c>
      <c r="L517" s="5">
        <v>0</v>
      </c>
      <c r="M517" s="5">
        <v>267</v>
      </c>
      <c r="N517" s="3">
        <f t="shared" si="295"/>
        <v>1468500</v>
      </c>
      <c r="O517" s="5">
        <v>0</v>
      </c>
      <c r="P517" s="5">
        <v>0</v>
      </c>
      <c r="Q517" s="5">
        <v>0</v>
      </c>
      <c r="R517" s="3">
        <f t="shared" si="271"/>
        <v>0</v>
      </c>
      <c r="S517" s="5">
        <v>0</v>
      </c>
      <c r="T517" s="5">
        <v>0</v>
      </c>
      <c r="U517" s="5">
        <v>0</v>
      </c>
      <c r="V517" s="6">
        <f t="shared" si="272"/>
        <v>5500</v>
      </c>
    </row>
    <row r="518" spans="1:22" ht="21.95" customHeight="1" x14ac:dyDescent="0.25">
      <c r="A518" s="37" t="s">
        <v>1728</v>
      </c>
      <c r="B518" s="23" t="s">
        <v>516</v>
      </c>
      <c r="C518" s="2">
        <f>D518+L518+N518+P518+R518+S518+T518+U518</f>
        <v>4109430.8</v>
      </c>
      <c r="D518" s="3">
        <f>SUM(E518:J518)</f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1">
        <v>0</v>
      </c>
      <c r="L518" s="5">
        <v>0</v>
      </c>
      <c r="M518" s="5">
        <v>748.9</v>
      </c>
      <c r="N518" s="3">
        <v>4109430.8</v>
      </c>
      <c r="O518" s="5">
        <v>0</v>
      </c>
      <c r="P518" s="5">
        <v>0</v>
      </c>
      <c r="Q518" s="5">
        <v>0</v>
      </c>
      <c r="R518" s="3">
        <f>Q518*3000</f>
        <v>0</v>
      </c>
      <c r="S518" s="5">
        <v>0</v>
      </c>
      <c r="T518" s="5">
        <v>0</v>
      </c>
      <c r="U518" s="5">
        <v>0</v>
      </c>
      <c r="V518" s="6">
        <f>N518/M518</f>
        <v>5487.2890906663106</v>
      </c>
    </row>
    <row r="519" spans="1:22" ht="21.95" customHeight="1" x14ac:dyDescent="0.25">
      <c r="A519" s="37" t="s">
        <v>1729</v>
      </c>
      <c r="B519" s="23" t="s">
        <v>507</v>
      </c>
      <c r="C519" s="2">
        <f t="shared" si="277"/>
        <v>2316872.7200000002</v>
      </c>
      <c r="D519" s="3">
        <f t="shared" si="270"/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11">
        <v>0</v>
      </c>
      <c r="L519" s="5">
        <v>0</v>
      </c>
      <c r="M519" s="5">
        <v>421.78</v>
      </c>
      <c r="N519" s="3">
        <v>2316872.7200000002</v>
      </c>
      <c r="O519" s="5">
        <v>0</v>
      </c>
      <c r="P519" s="5">
        <v>0</v>
      </c>
      <c r="Q519" s="5">
        <v>0</v>
      </c>
      <c r="R519" s="3">
        <f t="shared" si="271"/>
        <v>0</v>
      </c>
      <c r="S519" s="5">
        <v>0</v>
      </c>
      <c r="T519" s="5">
        <v>0</v>
      </c>
      <c r="U519" s="5">
        <v>0</v>
      </c>
      <c r="V519" s="6">
        <f t="shared" si="272"/>
        <v>5493.0834084119688</v>
      </c>
    </row>
    <row r="520" spans="1:22" ht="21.95" customHeight="1" x14ac:dyDescent="0.25">
      <c r="A520" s="37" t="s">
        <v>1730</v>
      </c>
      <c r="B520" s="23" t="s">
        <v>508</v>
      </c>
      <c r="C520" s="2">
        <f t="shared" si="277"/>
        <v>2329466.75</v>
      </c>
      <c r="D520" s="3">
        <f t="shared" si="270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11">
        <v>0</v>
      </c>
      <c r="L520" s="5">
        <v>0</v>
      </c>
      <c r="M520" s="5">
        <v>430</v>
      </c>
      <c r="N520" s="3">
        <v>2329466.75</v>
      </c>
      <c r="O520" s="5">
        <v>0</v>
      </c>
      <c r="P520" s="5">
        <v>0</v>
      </c>
      <c r="Q520" s="5">
        <v>0</v>
      </c>
      <c r="R520" s="3">
        <f t="shared" si="271"/>
        <v>0</v>
      </c>
      <c r="S520" s="5">
        <v>0</v>
      </c>
      <c r="T520" s="5">
        <v>0</v>
      </c>
      <c r="U520" s="5">
        <v>0</v>
      </c>
      <c r="V520" s="6">
        <f t="shared" si="272"/>
        <v>5417.3645348837208</v>
      </c>
    </row>
    <row r="521" spans="1:22" ht="21.95" customHeight="1" x14ac:dyDescent="0.25">
      <c r="A521" s="37" t="s">
        <v>1731</v>
      </c>
      <c r="B521" s="23" t="s">
        <v>509</v>
      </c>
      <c r="C521" s="2">
        <f t="shared" si="277"/>
        <v>2328121.02</v>
      </c>
      <c r="D521" s="3">
        <f t="shared" si="270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11">
        <v>0</v>
      </c>
      <c r="L521" s="5">
        <v>0</v>
      </c>
      <c r="M521" s="5">
        <v>430</v>
      </c>
      <c r="N521" s="3">
        <v>2328121.02</v>
      </c>
      <c r="O521" s="5">
        <v>0</v>
      </c>
      <c r="P521" s="5">
        <v>0</v>
      </c>
      <c r="Q521" s="5">
        <v>0</v>
      </c>
      <c r="R521" s="3">
        <f t="shared" si="271"/>
        <v>0</v>
      </c>
      <c r="S521" s="5">
        <v>0</v>
      </c>
      <c r="T521" s="5">
        <v>0</v>
      </c>
      <c r="U521" s="5">
        <v>0</v>
      </c>
      <c r="V521" s="6">
        <f t="shared" si="272"/>
        <v>5414.2349302325583</v>
      </c>
    </row>
    <row r="522" spans="1:22" ht="21.95" customHeight="1" x14ac:dyDescent="0.25">
      <c r="A522" s="37" t="s">
        <v>1732</v>
      </c>
      <c r="B522" s="23" t="s">
        <v>510</v>
      </c>
      <c r="C522" s="2">
        <f t="shared" si="277"/>
        <v>2332911.84</v>
      </c>
      <c r="D522" s="3">
        <f t="shared" si="270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11">
        <v>0</v>
      </c>
      <c r="L522" s="5">
        <v>0</v>
      </c>
      <c r="M522" s="5">
        <v>430</v>
      </c>
      <c r="N522" s="3">
        <v>2332911.84</v>
      </c>
      <c r="O522" s="5">
        <v>0</v>
      </c>
      <c r="P522" s="5">
        <v>0</v>
      </c>
      <c r="Q522" s="5">
        <v>0</v>
      </c>
      <c r="R522" s="3">
        <f t="shared" si="271"/>
        <v>0</v>
      </c>
      <c r="S522" s="5">
        <v>0</v>
      </c>
      <c r="T522" s="5">
        <v>0</v>
      </c>
      <c r="U522" s="5">
        <v>0</v>
      </c>
      <c r="V522" s="6">
        <f t="shared" si="272"/>
        <v>5425.3763720930228</v>
      </c>
    </row>
    <row r="523" spans="1:22" ht="21.95" customHeight="1" x14ac:dyDescent="0.25">
      <c r="A523" s="37" t="s">
        <v>1733</v>
      </c>
      <c r="B523" s="23" t="s">
        <v>511</v>
      </c>
      <c r="C523" s="2">
        <f t="shared" si="277"/>
        <v>2356200</v>
      </c>
      <c r="D523" s="3">
        <f t="shared" si="270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11">
        <v>0</v>
      </c>
      <c r="L523" s="5">
        <v>0</v>
      </c>
      <c r="M523" s="5">
        <v>428.4</v>
      </c>
      <c r="N523" s="3">
        <v>2356200</v>
      </c>
      <c r="O523" s="5">
        <v>0</v>
      </c>
      <c r="P523" s="5">
        <v>0</v>
      </c>
      <c r="Q523" s="5">
        <v>0</v>
      </c>
      <c r="R523" s="3">
        <f t="shared" si="271"/>
        <v>0</v>
      </c>
      <c r="S523" s="5">
        <v>0</v>
      </c>
      <c r="T523" s="5">
        <v>0</v>
      </c>
      <c r="U523" s="5">
        <v>0</v>
      </c>
      <c r="V523" s="6">
        <f t="shared" si="272"/>
        <v>5500</v>
      </c>
    </row>
    <row r="524" spans="1:22" ht="21.95" customHeight="1" x14ac:dyDescent="0.25">
      <c r="A524" s="37" t="s">
        <v>1734</v>
      </c>
      <c r="B524" s="23" t="s">
        <v>512</v>
      </c>
      <c r="C524" s="2">
        <f t="shared" si="277"/>
        <v>2351133.44</v>
      </c>
      <c r="D524" s="3">
        <f t="shared" si="270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11">
        <v>0</v>
      </c>
      <c r="L524" s="5">
        <v>0</v>
      </c>
      <c r="M524" s="5">
        <v>441.38</v>
      </c>
      <c r="N524" s="3">
        <v>2351133.44</v>
      </c>
      <c r="O524" s="5">
        <v>0</v>
      </c>
      <c r="P524" s="5">
        <v>0</v>
      </c>
      <c r="Q524" s="5">
        <v>0</v>
      </c>
      <c r="R524" s="3">
        <f t="shared" si="271"/>
        <v>0</v>
      </c>
      <c r="S524" s="5">
        <v>0</v>
      </c>
      <c r="T524" s="5">
        <v>0</v>
      </c>
      <c r="U524" s="5">
        <v>0</v>
      </c>
      <c r="V524" s="6">
        <f t="shared" si="272"/>
        <v>5326.7783769087864</v>
      </c>
    </row>
    <row r="525" spans="1:22" ht="21.95" customHeight="1" x14ac:dyDescent="0.25">
      <c r="A525" s="37" t="s">
        <v>1735</v>
      </c>
      <c r="B525" s="23" t="s">
        <v>513</v>
      </c>
      <c r="C525" s="2">
        <f t="shared" si="277"/>
        <v>2360600</v>
      </c>
      <c r="D525" s="3">
        <f t="shared" si="270"/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11">
        <v>0</v>
      </c>
      <c r="L525" s="5">
        <v>0</v>
      </c>
      <c r="M525" s="5">
        <v>429.2</v>
      </c>
      <c r="N525" s="3">
        <v>2360600</v>
      </c>
      <c r="O525" s="5">
        <v>0</v>
      </c>
      <c r="P525" s="5">
        <v>0</v>
      </c>
      <c r="Q525" s="5">
        <v>0</v>
      </c>
      <c r="R525" s="3">
        <f t="shared" si="271"/>
        <v>0</v>
      </c>
      <c r="S525" s="5">
        <v>0</v>
      </c>
      <c r="T525" s="5">
        <v>0</v>
      </c>
      <c r="U525" s="5">
        <v>0</v>
      </c>
      <c r="V525" s="6">
        <f t="shared" si="272"/>
        <v>5500</v>
      </c>
    </row>
    <row r="526" spans="1:22" ht="21.95" customHeight="1" x14ac:dyDescent="0.25">
      <c r="A526" s="37" t="s">
        <v>1736</v>
      </c>
      <c r="B526" s="23" t="s">
        <v>514</v>
      </c>
      <c r="C526" s="2">
        <f t="shared" si="277"/>
        <v>2332495</v>
      </c>
      <c r="D526" s="3">
        <f t="shared" si="270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11">
        <v>0</v>
      </c>
      <c r="L526" s="5">
        <v>0</v>
      </c>
      <c r="M526" s="5">
        <v>429.09</v>
      </c>
      <c r="N526" s="3">
        <v>2332495</v>
      </c>
      <c r="O526" s="5">
        <v>0</v>
      </c>
      <c r="P526" s="5">
        <v>0</v>
      </c>
      <c r="Q526" s="5">
        <v>0</v>
      </c>
      <c r="R526" s="3">
        <f t="shared" si="271"/>
        <v>0</v>
      </c>
      <c r="S526" s="5">
        <v>0</v>
      </c>
      <c r="T526" s="5">
        <v>0</v>
      </c>
      <c r="U526" s="5">
        <v>0</v>
      </c>
      <c r="V526" s="6">
        <f t="shared" si="272"/>
        <v>5435.9108811671213</v>
      </c>
    </row>
    <row r="527" spans="1:22" ht="21.95" customHeight="1" x14ac:dyDescent="0.25">
      <c r="A527" s="37" t="s">
        <v>1737</v>
      </c>
      <c r="B527" s="23" t="s">
        <v>515</v>
      </c>
      <c r="C527" s="2">
        <f t="shared" si="277"/>
        <v>2381412.71</v>
      </c>
      <c r="D527" s="3">
        <f t="shared" si="270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11">
        <v>0</v>
      </c>
      <c r="L527" s="5">
        <v>0</v>
      </c>
      <c r="M527" s="5">
        <v>443.97</v>
      </c>
      <c r="N527" s="3">
        <v>2381412.71</v>
      </c>
      <c r="O527" s="5">
        <v>0</v>
      </c>
      <c r="P527" s="5">
        <v>0</v>
      </c>
      <c r="Q527" s="5">
        <v>0</v>
      </c>
      <c r="R527" s="3">
        <f t="shared" si="271"/>
        <v>0</v>
      </c>
      <c r="S527" s="5">
        <v>0</v>
      </c>
      <c r="T527" s="5">
        <v>0</v>
      </c>
      <c r="U527" s="5">
        <v>0</v>
      </c>
      <c r="V527" s="6">
        <f t="shared" si="272"/>
        <v>5363.9045656238031</v>
      </c>
    </row>
    <row r="528" spans="1:22" ht="21.95" customHeight="1" x14ac:dyDescent="0.25">
      <c r="A528" s="37" t="s">
        <v>1738</v>
      </c>
      <c r="B528" s="23" t="s">
        <v>588</v>
      </c>
      <c r="C528" s="2">
        <f t="shared" si="277"/>
        <v>2360865.0499999998</v>
      </c>
      <c r="D528" s="3">
        <f t="shared" si="270"/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11">
        <v>0</v>
      </c>
      <c r="L528" s="5">
        <v>0</v>
      </c>
      <c r="M528" s="5">
        <v>432.81</v>
      </c>
      <c r="N528" s="3">
        <v>2360865.0499999998</v>
      </c>
      <c r="O528" s="5">
        <v>0</v>
      </c>
      <c r="P528" s="5">
        <v>0</v>
      </c>
      <c r="Q528" s="5">
        <v>0</v>
      </c>
      <c r="R528" s="3">
        <f t="shared" si="271"/>
        <v>0</v>
      </c>
      <c r="S528" s="5">
        <v>0</v>
      </c>
      <c r="T528" s="5">
        <v>0</v>
      </c>
      <c r="U528" s="5">
        <v>0</v>
      </c>
      <c r="V528" s="6">
        <f t="shared" si="272"/>
        <v>5454.7377602181095</v>
      </c>
    </row>
    <row r="529" spans="1:22" ht="21.95" customHeight="1" x14ac:dyDescent="0.25">
      <c r="A529" s="37" t="s">
        <v>1739</v>
      </c>
      <c r="B529" s="23" t="s">
        <v>589</v>
      </c>
      <c r="C529" s="2">
        <f t="shared" si="277"/>
        <v>2342175</v>
      </c>
      <c r="D529" s="3">
        <f t="shared" si="270"/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11">
        <v>0</v>
      </c>
      <c r="L529" s="5">
        <v>0</v>
      </c>
      <c r="M529" s="5">
        <v>425.85</v>
      </c>
      <c r="N529" s="3">
        <v>2342175</v>
      </c>
      <c r="O529" s="5">
        <v>0</v>
      </c>
      <c r="P529" s="5">
        <v>0</v>
      </c>
      <c r="Q529" s="5">
        <v>0</v>
      </c>
      <c r="R529" s="3">
        <f t="shared" ref="R529:R592" si="296">Q529*3000</f>
        <v>0</v>
      </c>
      <c r="S529" s="5">
        <v>0</v>
      </c>
      <c r="T529" s="5">
        <v>0</v>
      </c>
      <c r="U529" s="5">
        <v>0</v>
      </c>
      <c r="V529" s="6">
        <f t="shared" ref="V529:V592" si="297">N529/M529</f>
        <v>5500</v>
      </c>
    </row>
    <row r="530" spans="1:22" ht="21.95" customHeight="1" x14ac:dyDescent="0.25">
      <c r="A530" s="37" t="s">
        <v>1740</v>
      </c>
      <c r="B530" s="23" t="s">
        <v>590</v>
      </c>
      <c r="C530" s="2">
        <f t="shared" si="277"/>
        <v>2286681.85</v>
      </c>
      <c r="D530" s="3">
        <f t="shared" ref="D530:D592" si="298">SUM(E530:J530)</f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11">
        <v>0</v>
      </c>
      <c r="L530" s="5">
        <v>0</v>
      </c>
      <c r="M530" s="5">
        <v>415.84</v>
      </c>
      <c r="N530" s="3">
        <v>2286681.85</v>
      </c>
      <c r="O530" s="5">
        <v>0</v>
      </c>
      <c r="P530" s="5">
        <v>0</v>
      </c>
      <c r="Q530" s="5">
        <v>0</v>
      </c>
      <c r="R530" s="3">
        <f t="shared" si="296"/>
        <v>0</v>
      </c>
      <c r="S530" s="5">
        <v>0</v>
      </c>
      <c r="T530" s="5">
        <v>0</v>
      </c>
      <c r="U530" s="5">
        <v>0</v>
      </c>
      <c r="V530" s="6">
        <f t="shared" si="297"/>
        <v>5498.9463495575228</v>
      </c>
    </row>
    <row r="531" spans="1:22" ht="21.95" customHeight="1" x14ac:dyDescent="0.25">
      <c r="A531" s="37" t="s">
        <v>1741</v>
      </c>
      <c r="B531" s="23" t="s">
        <v>591</v>
      </c>
      <c r="C531" s="2">
        <f t="shared" si="277"/>
        <v>2291630</v>
      </c>
      <c r="D531" s="3">
        <f t="shared" si="298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11">
        <v>0</v>
      </c>
      <c r="L531" s="5">
        <v>0</v>
      </c>
      <c r="M531" s="5">
        <v>416.66</v>
      </c>
      <c r="N531" s="3">
        <v>2291630</v>
      </c>
      <c r="O531" s="5">
        <v>0</v>
      </c>
      <c r="P531" s="5">
        <v>0</v>
      </c>
      <c r="Q531" s="5">
        <v>0</v>
      </c>
      <c r="R531" s="3">
        <f t="shared" si="296"/>
        <v>0</v>
      </c>
      <c r="S531" s="5">
        <v>0</v>
      </c>
      <c r="T531" s="5">
        <v>0</v>
      </c>
      <c r="U531" s="5">
        <v>0</v>
      </c>
      <c r="V531" s="6">
        <f t="shared" si="297"/>
        <v>5500</v>
      </c>
    </row>
    <row r="532" spans="1:22" ht="21.95" customHeight="1" x14ac:dyDescent="0.25">
      <c r="A532" s="37" t="s">
        <v>1742</v>
      </c>
      <c r="B532" s="8" t="s">
        <v>592</v>
      </c>
      <c r="C532" s="2">
        <f t="shared" si="277"/>
        <v>2366100</v>
      </c>
      <c r="D532" s="3">
        <f t="shared" si="298"/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11">
        <v>0</v>
      </c>
      <c r="L532" s="5">
        <v>0</v>
      </c>
      <c r="M532" s="5">
        <v>430.2</v>
      </c>
      <c r="N532" s="3">
        <v>2366100</v>
      </c>
      <c r="O532" s="5">
        <v>0</v>
      </c>
      <c r="P532" s="5">
        <v>0</v>
      </c>
      <c r="Q532" s="5">
        <v>0</v>
      </c>
      <c r="R532" s="3">
        <f t="shared" si="296"/>
        <v>0</v>
      </c>
      <c r="S532" s="5">
        <v>0</v>
      </c>
      <c r="T532" s="5">
        <v>0</v>
      </c>
      <c r="U532" s="5">
        <v>0</v>
      </c>
      <c r="V532" s="6">
        <f t="shared" si="297"/>
        <v>5500</v>
      </c>
    </row>
    <row r="533" spans="1:22" ht="21.95" customHeight="1" x14ac:dyDescent="0.25">
      <c r="A533" s="37" t="s">
        <v>1743</v>
      </c>
      <c r="B533" s="23" t="s">
        <v>774</v>
      </c>
      <c r="C533" s="2">
        <f t="shared" si="277"/>
        <v>6201438.4500000002</v>
      </c>
      <c r="D533" s="3">
        <f t="shared" si="298"/>
        <v>1519886</v>
      </c>
      <c r="E533" s="3">
        <f>350*646.76</f>
        <v>226366</v>
      </c>
      <c r="F533" s="3">
        <f>1050*646.76</f>
        <v>679098</v>
      </c>
      <c r="G533" s="3">
        <f>300*646.76</f>
        <v>194028</v>
      </c>
      <c r="H533" s="3">
        <f>400*646.76</f>
        <v>258704</v>
      </c>
      <c r="I533" s="3">
        <f>250*646.76</f>
        <v>161690</v>
      </c>
      <c r="J533" s="3">
        <f>350*0</f>
        <v>0</v>
      </c>
      <c r="K533" s="4">
        <v>0</v>
      </c>
      <c r="L533" s="3">
        <v>0</v>
      </c>
      <c r="M533" s="3">
        <v>549.79999999999995</v>
      </c>
      <c r="N533" s="3">
        <v>3001490.34</v>
      </c>
      <c r="O533" s="3">
        <v>0</v>
      </c>
      <c r="P533" s="3">
        <v>0</v>
      </c>
      <c r="Q533" s="5">
        <v>674</v>
      </c>
      <c r="R533" s="3">
        <v>1480062.11</v>
      </c>
      <c r="S533" s="3">
        <v>0</v>
      </c>
      <c r="T533" s="5">
        <v>0</v>
      </c>
      <c r="U533" s="3">
        <v>200000</v>
      </c>
      <c r="V533" s="6">
        <f t="shared" si="297"/>
        <v>5459.2403419425245</v>
      </c>
    </row>
    <row r="534" spans="1:22" ht="21.95" customHeight="1" x14ac:dyDescent="0.25">
      <c r="A534" s="37" t="s">
        <v>1744</v>
      </c>
      <c r="B534" s="8" t="s">
        <v>593</v>
      </c>
      <c r="C534" s="2">
        <f t="shared" si="277"/>
        <v>2797100</v>
      </c>
      <c r="D534" s="3">
        <f t="shared" si="298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11">
        <v>0</v>
      </c>
      <c r="L534" s="5">
        <v>0</v>
      </c>
      <c r="M534" s="5">
        <v>293</v>
      </c>
      <c r="N534" s="3">
        <f t="shared" ref="N534:N544" si="299">M534*5500</f>
        <v>1611500</v>
      </c>
      <c r="O534" s="5">
        <v>0</v>
      </c>
      <c r="P534" s="5">
        <v>0</v>
      </c>
      <c r="Q534" s="5">
        <v>395.2</v>
      </c>
      <c r="R534" s="3">
        <f t="shared" si="296"/>
        <v>1185600</v>
      </c>
      <c r="S534" s="5">
        <v>0</v>
      </c>
      <c r="T534" s="5">
        <v>0</v>
      </c>
      <c r="U534" s="5">
        <v>0</v>
      </c>
      <c r="V534" s="6">
        <f t="shared" si="297"/>
        <v>5500</v>
      </c>
    </row>
    <row r="535" spans="1:22" ht="21.95" customHeight="1" x14ac:dyDescent="0.25">
      <c r="A535" s="37" t="s">
        <v>1745</v>
      </c>
      <c r="B535" s="8" t="s">
        <v>517</v>
      </c>
      <c r="C535" s="2">
        <f t="shared" si="277"/>
        <v>300000</v>
      </c>
      <c r="D535" s="3">
        <f t="shared" si="298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1">
        <v>0</v>
      </c>
      <c r="L535" s="5">
        <v>0</v>
      </c>
      <c r="M535" s="5">
        <v>0</v>
      </c>
      <c r="N535" s="3">
        <f t="shared" si="299"/>
        <v>0</v>
      </c>
      <c r="O535" s="5">
        <v>0</v>
      </c>
      <c r="P535" s="5">
        <v>0</v>
      </c>
      <c r="Q535" s="5">
        <v>0</v>
      </c>
      <c r="R535" s="3">
        <f t="shared" si="296"/>
        <v>0</v>
      </c>
      <c r="S535" s="5">
        <v>0</v>
      </c>
      <c r="T535" s="5">
        <v>0</v>
      </c>
      <c r="U535" s="5">
        <v>300000</v>
      </c>
      <c r="V535" s="6" t="e">
        <f t="shared" si="297"/>
        <v>#DIV/0!</v>
      </c>
    </row>
    <row r="536" spans="1:22" ht="21.95" customHeight="1" x14ac:dyDescent="0.25">
      <c r="A536" s="37" t="s">
        <v>1746</v>
      </c>
      <c r="B536" s="8" t="s">
        <v>518</v>
      </c>
      <c r="C536" s="2">
        <f t="shared" si="277"/>
        <v>4290000</v>
      </c>
      <c r="D536" s="3">
        <f t="shared" si="298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1">
        <v>0</v>
      </c>
      <c r="L536" s="5">
        <v>0</v>
      </c>
      <c r="M536" s="5">
        <v>780</v>
      </c>
      <c r="N536" s="3">
        <f t="shared" si="299"/>
        <v>4290000</v>
      </c>
      <c r="O536" s="5">
        <v>0</v>
      </c>
      <c r="P536" s="5">
        <v>0</v>
      </c>
      <c r="Q536" s="5">
        <v>0</v>
      </c>
      <c r="R536" s="3">
        <f t="shared" si="296"/>
        <v>0</v>
      </c>
      <c r="S536" s="5">
        <v>0</v>
      </c>
      <c r="T536" s="5">
        <v>0</v>
      </c>
      <c r="U536" s="5">
        <v>0</v>
      </c>
      <c r="V536" s="6">
        <f t="shared" si="297"/>
        <v>5500</v>
      </c>
    </row>
    <row r="537" spans="1:22" ht="21.95" customHeight="1" x14ac:dyDescent="0.25">
      <c r="A537" s="37" t="s">
        <v>1747</v>
      </c>
      <c r="B537" s="8" t="s">
        <v>521</v>
      </c>
      <c r="C537" s="2">
        <f>D537+L537+N537+P537+R537+S537+T537+U537</f>
        <v>300000</v>
      </c>
      <c r="D537" s="3">
        <f>SUM(E537:J537)</f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1">
        <v>0</v>
      </c>
      <c r="L537" s="5">
        <v>0</v>
      </c>
      <c r="M537" s="5">
        <v>0</v>
      </c>
      <c r="N537" s="3">
        <f>M537*5500</f>
        <v>0</v>
      </c>
      <c r="O537" s="5">
        <v>0</v>
      </c>
      <c r="P537" s="5">
        <v>0</v>
      </c>
      <c r="Q537" s="5">
        <v>0</v>
      </c>
      <c r="R537" s="3">
        <f>Q537*3000</f>
        <v>0</v>
      </c>
      <c r="S537" s="5">
        <v>0</v>
      </c>
      <c r="T537" s="5">
        <v>0</v>
      </c>
      <c r="U537" s="5">
        <v>300000</v>
      </c>
      <c r="V537" s="6" t="e">
        <f>N537/M537</f>
        <v>#DIV/0!</v>
      </c>
    </row>
    <row r="538" spans="1:22" ht="21.95" customHeight="1" x14ac:dyDescent="0.25">
      <c r="A538" s="37" t="s">
        <v>1748</v>
      </c>
      <c r="B538" s="8" t="s">
        <v>522</v>
      </c>
      <c r="C538" s="2">
        <f>D538+L538+N538+P538+R538+S538+T538+U538</f>
        <v>2860000</v>
      </c>
      <c r="D538" s="3">
        <f>SUM(E538:J538)</f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11">
        <v>0</v>
      </c>
      <c r="L538" s="5">
        <v>0</v>
      </c>
      <c r="M538" s="5">
        <v>520</v>
      </c>
      <c r="N538" s="3">
        <f>M538*5500</f>
        <v>2860000</v>
      </c>
      <c r="O538" s="5">
        <v>0</v>
      </c>
      <c r="P538" s="5">
        <v>0</v>
      </c>
      <c r="Q538" s="5">
        <v>0</v>
      </c>
      <c r="R538" s="3">
        <f>Q538*3000</f>
        <v>0</v>
      </c>
      <c r="S538" s="5">
        <v>0</v>
      </c>
      <c r="T538" s="5">
        <v>0</v>
      </c>
      <c r="U538" s="5">
        <v>0</v>
      </c>
      <c r="V538" s="6">
        <f>N538/M538</f>
        <v>5500</v>
      </c>
    </row>
    <row r="539" spans="1:22" ht="21.95" customHeight="1" x14ac:dyDescent="0.25">
      <c r="A539" s="37" t="s">
        <v>1749</v>
      </c>
      <c r="B539" s="8" t="s">
        <v>594</v>
      </c>
      <c r="C539" s="2">
        <f>D539+L539+N539+P539+R539+S539+T539+U539</f>
        <v>2860000</v>
      </c>
      <c r="D539" s="3">
        <f>SUM(E539:J539)</f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11">
        <v>0</v>
      </c>
      <c r="L539" s="5">
        <v>0</v>
      </c>
      <c r="M539" s="5">
        <v>520</v>
      </c>
      <c r="N539" s="3">
        <f>M539*5500</f>
        <v>2860000</v>
      </c>
      <c r="O539" s="5">
        <v>0</v>
      </c>
      <c r="P539" s="5">
        <v>0</v>
      </c>
      <c r="Q539" s="5">
        <v>0</v>
      </c>
      <c r="R539" s="3">
        <f>Q539*3000</f>
        <v>0</v>
      </c>
      <c r="S539" s="5">
        <v>0</v>
      </c>
      <c r="T539" s="5">
        <v>0</v>
      </c>
      <c r="U539" s="5">
        <v>0</v>
      </c>
      <c r="V539" s="6">
        <f>N539/M539</f>
        <v>5500</v>
      </c>
    </row>
    <row r="540" spans="1:22" ht="21.95" customHeight="1" x14ac:dyDescent="0.25">
      <c r="A540" s="37" t="s">
        <v>1750</v>
      </c>
      <c r="B540" s="8" t="s">
        <v>519</v>
      </c>
      <c r="C540" s="2">
        <f t="shared" si="277"/>
        <v>2860000</v>
      </c>
      <c r="D540" s="3">
        <f t="shared" si="298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11">
        <v>0</v>
      </c>
      <c r="L540" s="5">
        <v>0</v>
      </c>
      <c r="M540" s="5">
        <v>520</v>
      </c>
      <c r="N540" s="3">
        <f t="shared" si="299"/>
        <v>2860000</v>
      </c>
      <c r="O540" s="5">
        <v>0</v>
      </c>
      <c r="P540" s="5">
        <v>0</v>
      </c>
      <c r="Q540" s="5">
        <v>0</v>
      </c>
      <c r="R540" s="3">
        <f t="shared" si="296"/>
        <v>0</v>
      </c>
      <c r="S540" s="5">
        <v>0</v>
      </c>
      <c r="T540" s="5">
        <v>0</v>
      </c>
      <c r="U540" s="5">
        <v>0</v>
      </c>
      <c r="V540" s="6">
        <f t="shared" si="297"/>
        <v>5500</v>
      </c>
    </row>
    <row r="541" spans="1:22" ht="21.95" customHeight="1" x14ac:dyDescent="0.25">
      <c r="A541" s="37" t="s">
        <v>1751</v>
      </c>
      <c r="B541" s="8" t="s">
        <v>520</v>
      </c>
      <c r="C541" s="2">
        <f t="shared" si="277"/>
        <v>2860000</v>
      </c>
      <c r="D541" s="3">
        <f t="shared" si="298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1">
        <v>0</v>
      </c>
      <c r="L541" s="5">
        <v>0</v>
      </c>
      <c r="M541" s="5">
        <v>520</v>
      </c>
      <c r="N541" s="3">
        <f t="shared" si="299"/>
        <v>2860000</v>
      </c>
      <c r="O541" s="5">
        <v>0</v>
      </c>
      <c r="P541" s="5">
        <v>0</v>
      </c>
      <c r="Q541" s="5">
        <v>0</v>
      </c>
      <c r="R541" s="3">
        <f t="shared" si="296"/>
        <v>0</v>
      </c>
      <c r="S541" s="5">
        <v>0</v>
      </c>
      <c r="T541" s="5">
        <v>0</v>
      </c>
      <c r="U541" s="5">
        <v>0</v>
      </c>
      <c r="V541" s="6">
        <f t="shared" si="297"/>
        <v>5500</v>
      </c>
    </row>
    <row r="542" spans="1:22" ht="21.95" customHeight="1" x14ac:dyDescent="0.25">
      <c r="A542" s="37" t="s">
        <v>1752</v>
      </c>
      <c r="B542" s="8" t="s">
        <v>459</v>
      </c>
      <c r="C542" s="2">
        <f t="shared" si="277"/>
        <v>2860000</v>
      </c>
      <c r="D542" s="3">
        <f t="shared" si="298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4">
        <v>0</v>
      </c>
      <c r="L542" s="3">
        <v>0</v>
      </c>
      <c r="M542" s="3">
        <v>520</v>
      </c>
      <c r="N542" s="3">
        <f t="shared" si="299"/>
        <v>2860000</v>
      </c>
      <c r="O542" s="3">
        <v>0</v>
      </c>
      <c r="P542" s="3">
        <v>0</v>
      </c>
      <c r="Q542" s="3">
        <v>0</v>
      </c>
      <c r="R542" s="3">
        <f t="shared" si="296"/>
        <v>0</v>
      </c>
      <c r="S542" s="3">
        <v>0</v>
      </c>
      <c r="T542" s="5">
        <v>0</v>
      </c>
      <c r="U542" s="3">
        <v>0</v>
      </c>
      <c r="V542" s="6">
        <f t="shared" si="297"/>
        <v>5500</v>
      </c>
    </row>
    <row r="543" spans="1:22" ht="21.95" customHeight="1" x14ac:dyDescent="0.25">
      <c r="A543" s="37" t="s">
        <v>1753</v>
      </c>
      <c r="B543" s="8" t="s">
        <v>460</v>
      </c>
      <c r="C543" s="2">
        <f t="shared" si="277"/>
        <v>2860000</v>
      </c>
      <c r="D543" s="3">
        <f t="shared" si="298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4">
        <v>0</v>
      </c>
      <c r="L543" s="3">
        <v>0</v>
      </c>
      <c r="M543" s="3">
        <v>520</v>
      </c>
      <c r="N543" s="3">
        <f t="shared" si="299"/>
        <v>2860000</v>
      </c>
      <c r="O543" s="3">
        <v>0</v>
      </c>
      <c r="P543" s="3">
        <v>0</v>
      </c>
      <c r="Q543" s="3">
        <v>0</v>
      </c>
      <c r="R543" s="3">
        <f t="shared" si="296"/>
        <v>0</v>
      </c>
      <c r="S543" s="3">
        <v>0</v>
      </c>
      <c r="T543" s="5">
        <v>0</v>
      </c>
      <c r="U543" s="3">
        <v>0</v>
      </c>
      <c r="V543" s="6">
        <f t="shared" si="297"/>
        <v>5500</v>
      </c>
    </row>
    <row r="544" spans="1:22" ht="21.95" customHeight="1" x14ac:dyDescent="0.25">
      <c r="A544" s="37" t="s">
        <v>1754</v>
      </c>
      <c r="B544" s="8" t="s">
        <v>523</v>
      </c>
      <c r="C544" s="2">
        <f t="shared" si="277"/>
        <v>2519000</v>
      </c>
      <c r="D544" s="3">
        <f t="shared" si="298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11">
        <v>0</v>
      </c>
      <c r="L544" s="5">
        <v>0</v>
      </c>
      <c r="M544" s="5">
        <v>458</v>
      </c>
      <c r="N544" s="3">
        <f t="shared" si="299"/>
        <v>2519000</v>
      </c>
      <c r="O544" s="5">
        <v>0</v>
      </c>
      <c r="P544" s="5">
        <v>0</v>
      </c>
      <c r="Q544" s="5">
        <v>0</v>
      </c>
      <c r="R544" s="3">
        <f t="shared" si="296"/>
        <v>0</v>
      </c>
      <c r="S544" s="5">
        <v>0</v>
      </c>
      <c r="T544" s="5">
        <v>0</v>
      </c>
      <c r="U544" s="5">
        <v>0</v>
      </c>
      <c r="V544" s="6">
        <f t="shared" si="297"/>
        <v>5500</v>
      </c>
    </row>
    <row r="545" spans="1:22" ht="21.95" customHeight="1" x14ac:dyDescent="0.25">
      <c r="A545" s="37" t="s">
        <v>1755</v>
      </c>
      <c r="B545" s="8" t="s">
        <v>474</v>
      </c>
      <c r="C545" s="2">
        <f t="shared" si="277"/>
        <v>6086187.9000000004</v>
      </c>
      <c r="D545" s="3">
        <f t="shared" ref="D545" si="300">SUM(E545:J545)</f>
        <v>6086187.9000000004</v>
      </c>
      <c r="E545" s="3">
        <v>513365.1</v>
      </c>
      <c r="F545" s="3">
        <v>3460086</v>
      </c>
      <c r="G545" s="3">
        <v>578104.80000000005</v>
      </c>
      <c r="H545" s="3">
        <v>1012146</v>
      </c>
      <c r="I545" s="3">
        <v>522486</v>
      </c>
      <c r="J545" s="3">
        <f>350*0</f>
        <v>0</v>
      </c>
      <c r="K545" s="4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6" t="e">
        <f t="shared" si="297"/>
        <v>#DIV/0!</v>
      </c>
    </row>
    <row r="546" spans="1:22" ht="21.95" customHeight="1" x14ac:dyDescent="0.25">
      <c r="A546" s="37" t="s">
        <v>1756</v>
      </c>
      <c r="B546" s="8" t="s">
        <v>595</v>
      </c>
      <c r="C546" s="2">
        <f t="shared" si="277"/>
        <v>3224973.73</v>
      </c>
      <c r="D546" s="3">
        <f t="shared" si="298"/>
        <v>3033380</v>
      </c>
      <c r="E546" s="3">
        <f>350*1290.8</f>
        <v>451780</v>
      </c>
      <c r="F546" s="3">
        <f>1050*1290.8</f>
        <v>1355340</v>
      </c>
      <c r="G546" s="3">
        <f>300*1290.8</f>
        <v>387240</v>
      </c>
      <c r="H546" s="3">
        <f>400*1290.8</f>
        <v>516320</v>
      </c>
      <c r="I546" s="3">
        <f>250*1290.8</f>
        <v>322700</v>
      </c>
      <c r="J546" s="3">
        <f>350*0</f>
        <v>0</v>
      </c>
      <c r="K546" s="11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3">
        <f t="shared" si="296"/>
        <v>0</v>
      </c>
      <c r="S546" s="5">
        <v>0</v>
      </c>
      <c r="T546" s="5">
        <v>0</v>
      </c>
      <c r="U546" s="5">
        <v>191593.73</v>
      </c>
      <c r="V546" s="6" t="e">
        <f t="shared" si="297"/>
        <v>#DIV/0!</v>
      </c>
    </row>
    <row r="547" spans="1:22" ht="21.95" customHeight="1" x14ac:dyDescent="0.25">
      <c r="A547" s="37" t="s">
        <v>1757</v>
      </c>
      <c r="B547" s="8" t="s">
        <v>524</v>
      </c>
      <c r="C547" s="2">
        <f t="shared" si="277"/>
        <v>4980800</v>
      </c>
      <c r="D547" s="3">
        <f t="shared" si="298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11">
        <v>0</v>
      </c>
      <c r="L547" s="5">
        <v>0</v>
      </c>
      <c r="M547" s="5">
        <v>905.6</v>
      </c>
      <c r="N547" s="3">
        <f t="shared" ref="N547:N551" si="301">M547*5500</f>
        <v>4980800</v>
      </c>
      <c r="O547" s="5">
        <v>0</v>
      </c>
      <c r="P547" s="5">
        <v>0</v>
      </c>
      <c r="Q547" s="5">
        <v>0</v>
      </c>
      <c r="R547" s="3">
        <f t="shared" si="296"/>
        <v>0</v>
      </c>
      <c r="S547" s="5">
        <v>0</v>
      </c>
      <c r="T547" s="5">
        <v>0</v>
      </c>
      <c r="U547" s="5">
        <v>0</v>
      </c>
      <c r="V547" s="6">
        <f t="shared" si="297"/>
        <v>5500</v>
      </c>
    </row>
    <row r="548" spans="1:22" ht="21.95" customHeight="1" x14ac:dyDescent="0.25">
      <c r="A548" s="37" t="s">
        <v>1758</v>
      </c>
      <c r="B548" s="23" t="s">
        <v>525</v>
      </c>
      <c r="C548" s="2">
        <f t="shared" si="277"/>
        <v>300000</v>
      </c>
      <c r="D548" s="3">
        <f t="shared" si="298"/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1">
        <v>0</v>
      </c>
      <c r="L548" s="5">
        <v>0</v>
      </c>
      <c r="M548" s="5">
        <v>0</v>
      </c>
      <c r="N548" s="3">
        <f t="shared" si="301"/>
        <v>0</v>
      </c>
      <c r="O548" s="5">
        <v>0</v>
      </c>
      <c r="P548" s="5">
        <v>0</v>
      </c>
      <c r="Q548" s="5">
        <v>0</v>
      </c>
      <c r="R548" s="3">
        <f t="shared" si="296"/>
        <v>0</v>
      </c>
      <c r="S548" s="5">
        <v>0</v>
      </c>
      <c r="T548" s="5">
        <v>0</v>
      </c>
      <c r="U548" s="5">
        <v>300000</v>
      </c>
      <c r="V548" s="6" t="e">
        <f t="shared" si="297"/>
        <v>#DIV/0!</v>
      </c>
    </row>
    <row r="549" spans="1:22" ht="21.95" customHeight="1" x14ac:dyDescent="0.25">
      <c r="A549" s="37" t="s">
        <v>1759</v>
      </c>
      <c r="B549" s="24" t="s">
        <v>1036</v>
      </c>
      <c r="C549" s="2">
        <f>D549+L549+N549+P549+R549+S549+T549+U549</f>
        <v>8705985.3200000003</v>
      </c>
      <c r="D549" s="3">
        <f>SUM(E549:J549)</f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4">
        <v>0</v>
      </c>
      <c r="L549" s="3">
        <v>0</v>
      </c>
      <c r="M549" s="3">
        <v>553.39</v>
      </c>
      <c r="N549" s="3">
        <f>M549*6600</f>
        <v>3652374</v>
      </c>
      <c r="O549" s="3">
        <v>0</v>
      </c>
      <c r="P549" s="3">
        <v>0</v>
      </c>
      <c r="Q549" s="3">
        <v>1400</v>
      </c>
      <c r="R549" s="5">
        <f>Q549*3200</f>
        <v>4480000</v>
      </c>
      <c r="S549" s="3">
        <v>0</v>
      </c>
      <c r="T549" s="3">
        <v>0</v>
      </c>
      <c r="U549" s="3">
        <v>573611.31999999995</v>
      </c>
      <c r="V549" s="6">
        <f>N549/M549</f>
        <v>6600</v>
      </c>
    </row>
    <row r="550" spans="1:22" ht="21.95" customHeight="1" x14ac:dyDescent="0.25">
      <c r="A550" s="37" t="s">
        <v>1760</v>
      </c>
      <c r="B550" s="8" t="s">
        <v>526</v>
      </c>
      <c r="C550" s="2">
        <f t="shared" si="277"/>
        <v>4577910</v>
      </c>
      <c r="D550" s="3">
        <f t="shared" si="298"/>
        <v>1510110</v>
      </c>
      <c r="E550" s="3">
        <f>350*642.6</f>
        <v>224910</v>
      </c>
      <c r="F550" s="3">
        <f>1050*642.6</f>
        <v>674730</v>
      </c>
      <c r="G550" s="3">
        <f>300*642.6</f>
        <v>192780</v>
      </c>
      <c r="H550" s="3">
        <f>400*642.6</f>
        <v>257040</v>
      </c>
      <c r="I550" s="3">
        <f>250*642.6</f>
        <v>160650</v>
      </c>
      <c r="J550" s="3">
        <f>350*0</f>
        <v>0</v>
      </c>
      <c r="K550" s="11">
        <v>0</v>
      </c>
      <c r="L550" s="5">
        <v>0</v>
      </c>
      <c r="M550" s="5">
        <v>539.6</v>
      </c>
      <c r="N550" s="3">
        <f t="shared" si="301"/>
        <v>2967800</v>
      </c>
      <c r="O550" s="5">
        <v>0</v>
      </c>
      <c r="P550" s="5">
        <v>0</v>
      </c>
      <c r="Q550" s="5">
        <v>0</v>
      </c>
      <c r="R550" s="3">
        <f t="shared" si="296"/>
        <v>0</v>
      </c>
      <c r="S550" s="5">
        <v>0</v>
      </c>
      <c r="T550" s="5">
        <v>0</v>
      </c>
      <c r="U550" s="5">
        <v>100000</v>
      </c>
      <c r="V550" s="6">
        <f t="shared" si="297"/>
        <v>5500</v>
      </c>
    </row>
    <row r="551" spans="1:22" ht="21.95" customHeight="1" x14ac:dyDescent="0.25">
      <c r="A551" s="37" t="s">
        <v>1761</v>
      </c>
      <c r="B551" s="8" t="s">
        <v>527</v>
      </c>
      <c r="C551" s="2">
        <f t="shared" si="277"/>
        <v>1595000</v>
      </c>
      <c r="D551" s="3">
        <f t="shared" si="298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1">
        <v>0</v>
      </c>
      <c r="L551" s="5">
        <v>0</v>
      </c>
      <c r="M551" s="5">
        <v>290</v>
      </c>
      <c r="N551" s="3">
        <f t="shared" si="301"/>
        <v>1595000</v>
      </c>
      <c r="O551" s="5">
        <v>0</v>
      </c>
      <c r="P551" s="5">
        <v>0</v>
      </c>
      <c r="Q551" s="5">
        <v>0</v>
      </c>
      <c r="R551" s="3">
        <f t="shared" si="296"/>
        <v>0</v>
      </c>
      <c r="S551" s="5">
        <v>0</v>
      </c>
      <c r="T551" s="5">
        <v>0</v>
      </c>
      <c r="U551" s="5">
        <v>0</v>
      </c>
      <c r="V551" s="6">
        <f t="shared" si="297"/>
        <v>5500</v>
      </c>
    </row>
    <row r="552" spans="1:22" ht="21.95" customHeight="1" x14ac:dyDescent="0.25">
      <c r="A552" s="37" t="s">
        <v>1762</v>
      </c>
      <c r="B552" s="24" t="s">
        <v>1043</v>
      </c>
      <c r="C552" s="2">
        <f>D552+L552+N552+P552+R552+S552+T552+U552</f>
        <v>4086899.34</v>
      </c>
      <c r="D552" s="3">
        <f>SUM(E552:J552)</f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4">
        <v>0</v>
      </c>
      <c r="L552" s="3">
        <v>0</v>
      </c>
      <c r="M552" s="3">
        <v>554</v>
      </c>
      <c r="N552" s="3">
        <f>M552*6600</f>
        <v>3656400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430499.34</v>
      </c>
      <c r="V552" s="6">
        <f>N552/M552</f>
        <v>6600</v>
      </c>
    </row>
    <row r="553" spans="1:22" ht="21.95" customHeight="1" x14ac:dyDescent="0.25">
      <c r="A553" s="37" t="s">
        <v>1763</v>
      </c>
      <c r="B553" s="8" t="s">
        <v>397</v>
      </c>
      <c r="C553" s="2">
        <f>D553+L553+N553+P553+R553+S553+T553+U553</f>
        <v>1368525.6</v>
      </c>
      <c r="D553" s="3">
        <f>SUM(E553:J553)</f>
        <v>1368525.6</v>
      </c>
      <c r="E553" s="3">
        <v>348848.4</v>
      </c>
      <c r="F553" s="3">
        <v>750570</v>
      </c>
      <c r="G553" s="3">
        <v>92169.600000000006</v>
      </c>
      <c r="H553" s="3">
        <v>87424.8</v>
      </c>
      <c r="I553" s="3">
        <v>89512.8</v>
      </c>
      <c r="J553" s="3">
        <f>350*0</f>
        <v>0</v>
      </c>
      <c r="K553" s="4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6" t="e">
        <f>N553/M553</f>
        <v>#DIV/0!</v>
      </c>
    </row>
    <row r="554" spans="1:22" ht="21.95" customHeight="1" x14ac:dyDescent="0.25">
      <c r="A554" s="37" t="s">
        <v>1764</v>
      </c>
      <c r="B554" s="8" t="s">
        <v>392</v>
      </c>
      <c r="C554" s="2">
        <f t="shared" ref="C554:C555" si="302">D554+L554+N554+P554+R554+S554+T554+U554</f>
        <v>6167959.2000000002</v>
      </c>
      <c r="D554" s="3">
        <f t="shared" ref="D554:D555" si="303">SUM(E554:J554)</f>
        <v>6167959.2000000002</v>
      </c>
      <c r="E554" s="3">
        <v>1140753.6000000001</v>
      </c>
      <c r="F554" s="3">
        <v>3885480</v>
      </c>
      <c r="G554" s="3">
        <v>561847.19999999995</v>
      </c>
      <c r="H554" s="3">
        <f>500*0</f>
        <v>0</v>
      </c>
      <c r="I554" s="3">
        <v>579878.40000000002</v>
      </c>
      <c r="J554" s="3">
        <f>350*0</f>
        <v>0</v>
      </c>
      <c r="K554" s="4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6" t="e">
        <f t="shared" ref="V554:V555" si="304">N554/M554</f>
        <v>#DIV/0!</v>
      </c>
    </row>
    <row r="555" spans="1:22" ht="21.95" customHeight="1" x14ac:dyDescent="0.25">
      <c r="A555" s="37" t="s">
        <v>1765</v>
      </c>
      <c r="B555" s="8" t="s">
        <v>387</v>
      </c>
      <c r="C555" s="2">
        <f t="shared" si="302"/>
        <v>3418366.8000000007</v>
      </c>
      <c r="D555" s="3">
        <f t="shared" si="303"/>
        <v>3418366.8000000007</v>
      </c>
      <c r="E555" s="3">
        <v>485563.2</v>
      </c>
      <c r="F555" s="3">
        <v>2355463.2000000002</v>
      </c>
      <c r="G555" s="3">
        <v>169125.6</v>
      </c>
      <c r="H555" s="3">
        <v>265453.2</v>
      </c>
      <c r="I555" s="3">
        <v>142761.60000000001</v>
      </c>
      <c r="J555" s="3">
        <f>350*0</f>
        <v>0</v>
      </c>
      <c r="K555" s="4">
        <v>0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6" t="e">
        <f t="shared" si="304"/>
        <v>#DIV/0!</v>
      </c>
    </row>
    <row r="556" spans="1:22" ht="21.95" customHeight="1" x14ac:dyDescent="0.25">
      <c r="A556" s="37" t="s">
        <v>1766</v>
      </c>
      <c r="B556" s="8" t="s">
        <v>597</v>
      </c>
      <c r="C556" s="2">
        <f t="shared" si="277"/>
        <v>1247398.68</v>
      </c>
      <c r="D556" s="3">
        <f t="shared" si="298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1">
        <v>0</v>
      </c>
      <c r="L556" s="5">
        <v>0</v>
      </c>
      <c r="M556" s="5">
        <v>226.8</v>
      </c>
      <c r="N556" s="3">
        <v>1247398.68</v>
      </c>
      <c r="O556" s="5">
        <v>0</v>
      </c>
      <c r="P556" s="5">
        <v>0</v>
      </c>
      <c r="Q556" s="5">
        <v>0</v>
      </c>
      <c r="R556" s="3">
        <f t="shared" si="296"/>
        <v>0</v>
      </c>
      <c r="S556" s="5">
        <v>0</v>
      </c>
      <c r="T556" s="5">
        <v>0</v>
      </c>
      <c r="U556" s="5">
        <v>0</v>
      </c>
      <c r="V556" s="6">
        <f t="shared" si="297"/>
        <v>5499.9941798941791</v>
      </c>
    </row>
    <row r="557" spans="1:22" ht="21.95" customHeight="1" x14ac:dyDescent="0.25">
      <c r="A557" s="37" t="s">
        <v>1767</v>
      </c>
      <c r="B557" s="8" t="s">
        <v>529</v>
      </c>
      <c r="C557" s="2">
        <f t="shared" si="277"/>
        <v>1274787</v>
      </c>
      <c r="D557" s="3">
        <f t="shared" si="298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1">
        <v>0</v>
      </c>
      <c r="L557" s="5">
        <v>0</v>
      </c>
      <c r="M557" s="5">
        <v>231.78</v>
      </c>
      <c r="N557" s="3">
        <v>1274787</v>
      </c>
      <c r="O557" s="5">
        <v>0</v>
      </c>
      <c r="P557" s="5">
        <v>0</v>
      </c>
      <c r="Q557" s="5">
        <v>0</v>
      </c>
      <c r="R557" s="3">
        <f t="shared" si="296"/>
        <v>0</v>
      </c>
      <c r="S557" s="5">
        <v>0</v>
      </c>
      <c r="T557" s="5">
        <v>0</v>
      </c>
      <c r="U557" s="5">
        <v>0</v>
      </c>
      <c r="V557" s="6">
        <f t="shared" si="297"/>
        <v>5499.9870566916907</v>
      </c>
    </row>
    <row r="558" spans="1:22" ht="21.95" customHeight="1" x14ac:dyDescent="0.25">
      <c r="A558" s="37" t="s">
        <v>1768</v>
      </c>
      <c r="B558" s="8" t="s">
        <v>530</v>
      </c>
      <c r="C558" s="2">
        <f t="shared" si="277"/>
        <v>1302381.97</v>
      </c>
      <c r="D558" s="3">
        <f t="shared" si="298"/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1">
        <v>0</v>
      </c>
      <c r="L558" s="5">
        <v>0</v>
      </c>
      <c r="M558" s="5">
        <v>236.8</v>
      </c>
      <c r="N558" s="3">
        <v>1302381.97</v>
      </c>
      <c r="O558" s="5">
        <v>0</v>
      </c>
      <c r="P558" s="5">
        <v>0</v>
      </c>
      <c r="Q558" s="5">
        <v>0</v>
      </c>
      <c r="R558" s="3">
        <f t="shared" si="296"/>
        <v>0</v>
      </c>
      <c r="S558" s="5">
        <v>0</v>
      </c>
      <c r="T558" s="5">
        <v>0</v>
      </c>
      <c r="U558" s="5">
        <v>0</v>
      </c>
      <c r="V558" s="6">
        <f t="shared" si="297"/>
        <v>5499.9238597972972</v>
      </c>
    </row>
    <row r="559" spans="1:22" ht="21.95" customHeight="1" x14ac:dyDescent="0.25">
      <c r="A559" s="37" t="s">
        <v>1769</v>
      </c>
      <c r="B559" s="8" t="s">
        <v>528</v>
      </c>
      <c r="C559" s="2">
        <f>D559+L559+N559+P559+R559+S559+T559+U559</f>
        <v>2205500</v>
      </c>
      <c r="D559" s="3">
        <f>SUM(E559:J559)</f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1">
        <v>0</v>
      </c>
      <c r="L559" s="5">
        <v>0</v>
      </c>
      <c r="M559" s="5">
        <v>401</v>
      </c>
      <c r="N559" s="3">
        <f>M559*5500</f>
        <v>2205500</v>
      </c>
      <c r="O559" s="5">
        <v>0</v>
      </c>
      <c r="P559" s="5">
        <v>0</v>
      </c>
      <c r="Q559" s="5">
        <v>0</v>
      </c>
      <c r="R559" s="3">
        <f>Q559*3000</f>
        <v>0</v>
      </c>
      <c r="S559" s="5">
        <v>0</v>
      </c>
      <c r="T559" s="5">
        <v>0</v>
      </c>
      <c r="U559" s="5">
        <v>0</v>
      </c>
      <c r="V559" s="6">
        <f>N559/M559</f>
        <v>5500</v>
      </c>
    </row>
    <row r="560" spans="1:22" ht="21.95" customHeight="1" x14ac:dyDescent="0.25">
      <c r="A560" s="37" t="s">
        <v>1770</v>
      </c>
      <c r="B560" s="8" t="s">
        <v>596</v>
      </c>
      <c r="C560" s="2">
        <f>D560+L560+N560+P560+R560+S560+T560+U560</f>
        <v>4991248.0999999996</v>
      </c>
      <c r="D560" s="3">
        <f>SUM(E560:J560)</f>
        <v>0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11">
        <v>0</v>
      </c>
      <c r="L560" s="5">
        <v>0</v>
      </c>
      <c r="M560" s="5">
        <v>907.5</v>
      </c>
      <c r="N560" s="3">
        <v>4991248.0999999996</v>
      </c>
      <c r="O560" s="5">
        <v>0</v>
      </c>
      <c r="P560" s="5">
        <v>0</v>
      </c>
      <c r="Q560" s="5">
        <v>0</v>
      </c>
      <c r="R560" s="3">
        <f>Q560*3000</f>
        <v>0</v>
      </c>
      <c r="S560" s="5">
        <v>0</v>
      </c>
      <c r="T560" s="5">
        <v>0</v>
      </c>
      <c r="U560" s="5">
        <v>0</v>
      </c>
      <c r="V560" s="6">
        <f>N560/M560</f>
        <v>5499.9979063360879</v>
      </c>
    </row>
    <row r="561" spans="1:22" ht="21.95" customHeight="1" x14ac:dyDescent="0.25">
      <c r="A561" s="37" t="s">
        <v>1771</v>
      </c>
      <c r="B561" s="23" t="s">
        <v>598</v>
      </c>
      <c r="C561" s="2">
        <f t="shared" si="277"/>
        <v>5263500</v>
      </c>
      <c r="D561" s="3">
        <f t="shared" si="298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11">
        <v>0</v>
      </c>
      <c r="L561" s="5">
        <v>0</v>
      </c>
      <c r="M561" s="5">
        <v>957</v>
      </c>
      <c r="N561" s="3">
        <f t="shared" ref="N561:N574" si="305">M561*5500</f>
        <v>5263500</v>
      </c>
      <c r="O561" s="5">
        <v>0</v>
      </c>
      <c r="P561" s="5">
        <v>0</v>
      </c>
      <c r="Q561" s="5">
        <v>0</v>
      </c>
      <c r="R561" s="3">
        <f t="shared" si="296"/>
        <v>0</v>
      </c>
      <c r="S561" s="5">
        <v>0</v>
      </c>
      <c r="T561" s="5">
        <v>0</v>
      </c>
      <c r="U561" s="5">
        <v>0</v>
      </c>
      <c r="V561" s="6">
        <f t="shared" si="297"/>
        <v>5500</v>
      </c>
    </row>
    <row r="562" spans="1:22" ht="21.95" customHeight="1" x14ac:dyDescent="0.25">
      <c r="A562" s="37" t="s">
        <v>1772</v>
      </c>
      <c r="B562" s="23" t="s">
        <v>599</v>
      </c>
      <c r="C562" s="2">
        <f t="shared" si="277"/>
        <v>1353697.95</v>
      </c>
      <c r="D562" s="3">
        <f t="shared" si="298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11">
        <v>0</v>
      </c>
      <c r="L562" s="5">
        <v>0</v>
      </c>
      <c r="M562" s="5">
        <v>261.5</v>
      </c>
      <c r="N562" s="3">
        <v>1353697.95</v>
      </c>
      <c r="O562" s="5">
        <v>0</v>
      </c>
      <c r="P562" s="5">
        <v>0</v>
      </c>
      <c r="Q562" s="5">
        <v>0</v>
      </c>
      <c r="R562" s="3">
        <f t="shared" si="296"/>
        <v>0</v>
      </c>
      <c r="S562" s="5">
        <v>0</v>
      </c>
      <c r="T562" s="5">
        <v>0</v>
      </c>
      <c r="U562" s="5">
        <v>0</v>
      </c>
      <c r="V562" s="6">
        <f t="shared" si="297"/>
        <v>5176.6652007648181</v>
      </c>
    </row>
    <row r="563" spans="1:22" ht="21.95" customHeight="1" x14ac:dyDescent="0.25">
      <c r="A563" s="37" t="s">
        <v>1773</v>
      </c>
      <c r="B563" s="23" t="s">
        <v>600</v>
      </c>
      <c r="C563" s="2">
        <f t="shared" si="277"/>
        <v>3080000</v>
      </c>
      <c r="D563" s="3">
        <f t="shared" si="298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11">
        <v>0</v>
      </c>
      <c r="L563" s="5">
        <v>0</v>
      </c>
      <c r="M563" s="5">
        <v>560</v>
      </c>
      <c r="N563" s="3">
        <f t="shared" si="305"/>
        <v>3080000</v>
      </c>
      <c r="O563" s="5">
        <v>0</v>
      </c>
      <c r="P563" s="5">
        <v>0</v>
      </c>
      <c r="Q563" s="5">
        <v>0</v>
      </c>
      <c r="R563" s="3">
        <f t="shared" si="296"/>
        <v>0</v>
      </c>
      <c r="S563" s="5">
        <v>0</v>
      </c>
      <c r="T563" s="5">
        <v>0</v>
      </c>
      <c r="U563" s="5">
        <v>0</v>
      </c>
      <c r="V563" s="6">
        <f t="shared" si="297"/>
        <v>5500</v>
      </c>
    </row>
    <row r="564" spans="1:22" ht="21.95" customHeight="1" x14ac:dyDescent="0.25">
      <c r="A564" s="37" t="s">
        <v>1774</v>
      </c>
      <c r="B564" s="8" t="s">
        <v>531</v>
      </c>
      <c r="C564" s="2">
        <f t="shared" si="277"/>
        <v>2156000</v>
      </c>
      <c r="D564" s="3">
        <f t="shared" si="298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1">
        <v>0</v>
      </c>
      <c r="L564" s="5">
        <v>0</v>
      </c>
      <c r="M564" s="5">
        <v>392</v>
      </c>
      <c r="N564" s="3">
        <f t="shared" si="305"/>
        <v>2156000</v>
      </c>
      <c r="O564" s="5">
        <v>0</v>
      </c>
      <c r="P564" s="5">
        <v>0</v>
      </c>
      <c r="Q564" s="5">
        <v>0</v>
      </c>
      <c r="R564" s="3">
        <f t="shared" si="296"/>
        <v>0</v>
      </c>
      <c r="S564" s="5">
        <v>0</v>
      </c>
      <c r="T564" s="5">
        <v>0</v>
      </c>
      <c r="U564" s="5">
        <v>0</v>
      </c>
      <c r="V564" s="6">
        <f t="shared" si="297"/>
        <v>5500</v>
      </c>
    </row>
    <row r="565" spans="1:22" ht="21.95" customHeight="1" x14ac:dyDescent="0.25">
      <c r="A565" s="37" t="s">
        <v>1775</v>
      </c>
      <c r="B565" s="8" t="s">
        <v>601</v>
      </c>
      <c r="C565" s="2">
        <f t="shared" ref="C565:C643" si="306">D565+L565+N565+P565+R565+S565+T565+U565</f>
        <v>1534500</v>
      </c>
      <c r="D565" s="3">
        <f t="shared" si="298"/>
        <v>0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11">
        <v>0</v>
      </c>
      <c r="L565" s="5">
        <v>0</v>
      </c>
      <c r="M565" s="5">
        <v>279</v>
      </c>
      <c r="N565" s="3">
        <f t="shared" si="305"/>
        <v>1534500</v>
      </c>
      <c r="O565" s="5">
        <v>0</v>
      </c>
      <c r="P565" s="5">
        <v>0</v>
      </c>
      <c r="Q565" s="5">
        <v>0</v>
      </c>
      <c r="R565" s="3">
        <f t="shared" si="296"/>
        <v>0</v>
      </c>
      <c r="S565" s="5">
        <v>0</v>
      </c>
      <c r="T565" s="5">
        <v>0</v>
      </c>
      <c r="U565" s="5">
        <v>0</v>
      </c>
      <c r="V565" s="6">
        <f t="shared" si="297"/>
        <v>5500</v>
      </c>
    </row>
    <row r="566" spans="1:22" ht="21.95" customHeight="1" x14ac:dyDescent="0.25">
      <c r="A566" s="37" t="s">
        <v>1776</v>
      </c>
      <c r="B566" s="8" t="s">
        <v>532</v>
      </c>
      <c r="C566" s="2">
        <f t="shared" si="306"/>
        <v>1529000</v>
      </c>
      <c r="D566" s="3">
        <f t="shared" si="298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11">
        <v>0</v>
      </c>
      <c r="L566" s="5">
        <v>0</v>
      </c>
      <c r="M566" s="5">
        <v>278</v>
      </c>
      <c r="N566" s="3">
        <f t="shared" si="305"/>
        <v>1529000</v>
      </c>
      <c r="O566" s="5">
        <v>0</v>
      </c>
      <c r="P566" s="5">
        <v>0</v>
      </c>
      <c r="Q566" s="5">
        <v>0</v>
      </c>
      <c r="R566" s="3">
        <f t="shared" si="296"/>
        <v>0</v>
      </c>
      <c r="S566" s="5">
        <v>0</v>
      </c>
      <c r="T566" s="5">
        <v>0</v>
      </c>
      <c r="U566" s="5">
        <v>0</v>
      </c>
      <c r="V566" s="6">
        <f t="shared" si="297"/>
        <v>5500</v>
      </c>
    </row>
    <row r="567" spans="1:22" ht="21.95" customHeight="1" x14ac:dyDescent="0.25">
      <c r="A567" s="37" t="s">
        <v>1777</v>
      </c>
      <c r="B567" s="8" t="s">
        <v>602</v>
      </c>
      <c r="C567" s="2">
        <f t="shared" si="306"/>
        <v>4858700</v>
      </c>
      <c r="D567" s="3">
        <f t="shared" si="298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1">
        <v>0</v>
      </c>
      <c r="L567" s="5">
        <v>0</v>
      </c>
      <c r="M567" s="5">
        <v>883.4</v>
      </c>
      <c r="N567" s="3">
        <f t="shared" si="305"/>
        <v>4858700</v>
      </c>
      <c r="O567" s="5">
        <v>0</v>
      </c>
      <c r="P567" s="5">
        <v>0</v>
      </c>
      <c r="Q567" s="5">
        <v>0</v>
      </c>
      <c r="R567" s="3">
        <f t="shared" si="296"/>
        <v>0</v>
      </c>
      <c r="S567" s="5">
        <v>0</v>
      </c>
      <c r="T567" s="5">
        <v>0</v>
      </c>
      <c r="U567" s="5">
        <v>0</v>
      </c>
      <c r="V567" s="6">
        <f t="shared" si="297"/>
        <v>5500</v>
      </c>
    </row>
    <row r="568" spans="1:22" ht="21.95" customHeight="1" x14ac:dyDescent="0.25">
      <c r="A568" s="37" t="s">
        <v>1778</v>
      </c>
      <c r="B568" s="8" t="s">
        <v>603</v>
      </c>
      <c r="C568" s="2">
        <f t="shared" si="306"/>
        <v>2134000</v>
      </c>
      <c r="D568" s="3">
        <f t="shared" si="298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1">
        <v>0</v>
      </c>
      <c r="L568" s="5">
        <v>0</v>
      </c>
      <c r="M568" s="5">
        <v>388</v>
      </c>
      <c r="N568" s="3">
        <f t="shared" si="305"/>
        <v>2134000</v>
      </c>
      <c r="O568" s="5">
        <v>0</v>
      </c>
      <c r="P568" s="5">
        <v>0</v>
      </c>
      <c r="Q568" s="5">
        <v>0</v>
      </c>
      <c r="R568" s="3">
        <f t="shared" si="296"/>
        <v>0</v>
      </c>
      <c r="S568" s="5">
        <v>0</v>
      </c>
      <c r="T568" s="5">
        <v>0</v>
      </c>
      <c r="U568" s="5">
        <v>0</v>
      </c>
      <c r="V568" s="6">
        <f t="shared" si="297"/>
        <v>5500</v>
      </c>
    </row>
    <row r="569" spans="1:22" ht="21.95" customHeight="1" x14ac:dyDescent="0.25">
      <c r="A569" s="37" t="s">
        <v>1779</v>
      </c>
      <c r="B569" s="8" t="s">
        <v>499</v>
      </c>
      <c r="C569" s="2">
        <f t="shared" si="306"/>
        <v>5223600</v>
      </c>
      <c r="D569" s="3">
        <f t="shared" si="298"/>
        <v>5223600</v>
      </c>
      <c r="E569" s="3">
        <v>0</v>
      </c>
      <c r="F569" s="3">
        <f>800*3482.4</f>
        <v>2785920</v>
      </c>
      <c r="G569" s="3">
        <f>300*3482.4</f>
        <v>1044720</v>
      </c>
      <c r="H569" s="3">
        <f>800*0</f>
        <v>0</v>
      </c>
      <c r="I569" s="3">
        <f>400*3482.4</f>
        <v>1392960</v>
      </c>
      <c r="J569" s="3">
        <f>800*0</f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6" t="e">
        <f t="shared" si="297"/>
        <v>#DIV/0!</v>
      </c>
    </row>
    <row r="570" spans="1:22" ht="21.95" customHeight="1" x14ac:dyDescent="0.25">
      <c r="A570" s="37" t="s">
        <v>1780</v>
      </c>
      <c r="B570" s="8" t="s">
        <v>604</v>
      </c>
      <c r="C570" s="2">
        <f t="shared" si="306"/>
        <v>1633500</v>
      </c>
      <c r="D570" s="3">
        <f t="shared" si="298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11">
        <v>0</v>
      </c>
      <c r="L570" s="5">
        <v>0</v>
      </c>
      <c r="M570" s="5">
        <v>297</v>
      </c>
      <c r="N570" s="3">
        <f t="shared" si="305"/>
        <v>1633500</v>
      </c>
      <c r="O570" s="5">
        <v>0</v>
      </c>
      <c r="P570" s="5">
        <v>0</v>
      </c>
      <c r="Q570" s="5">
        <v>0</v>
      </c>
      <c r="R570" s="3">
        <f t="shared" si="296"/>
        <v>0</v>
      </c>
      <c r="S570" s="5">
        <v>0</v>
      </c>
      <c r="T570" s="5">
        <v>0</v>
      </c>
      <c r="U570" s="5">
        <v>0</v>
      </c>
      <c r="V570" s="6">
        <f t="shared" si="297"/>
        <v>5500</v>
      </c>
    </row>
    <row r="571" spans="1:22" ht="21.95" customHeight="1" x14ac:dyDescent="0.25">
      <c r="A571" s="37" t="s">
        <v>1781</v>
      </c>
      <c r="B571" s="8" t="s">
        <v>605</v>
      </c>
      <c r="C571" s="2">
        <f t="shared" si="306"/>
        <v>2698300</v>
      </c>
      <c r="D571" s="3">
        <f t="shared" si="298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11">
        <v>0</v>
      </c>
      <c r="L571" s="5">
        <v>0</v>
      </c>
      <c r="M571" s="5">
        <v>490.6</v>
      </c>
      <c r="N571" s="3">
        <f t="shared" si="305"/>
        <v>2698300</v>
      </c>
      <c r="O571" s="5">
        <v>0</v>
      </c>
      <c r="P571" s="5">
        <v>0</v>
      </c>
      <c r="Q571" s="5">
        <v>0</v>
      </c>
      <c r="R571" s="3">
        <f t="shared" si="296"/>
        <v>0</v>
      </c>
      <c r="S571" s="5">
        <v>0</v>
      </c>
      <c r="T571" s="5">
        <v>0</v>
      </c>
      <c r="U571" s="5">
        <v>0</v>
      </c>
      <c r="V571" s="6">
        <f t="shared" si="297"/>
        <v>5500</v>
      </c>
    </row>
    <row r="572" spans="1:22" ht="21.95" customHeight="1" x14ac:dyDescent="0.25">
      <c r="A572" s="37" t="s">
        <v>1782</v>
      </c>
      <c r="B572" s="8" t="s">
        <v>461</v>
      </c>
      <c r="C572" s="2">
        <f t="shared" si="306"/>
        <v>4646400</v>
      </c>
      <c r="D572" s="3">
        <f t="shared" si="298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4">
        <v>0</v>
      </c>
      <c r="L572" s="3">
        <v>0</v>
      </c>
      <c r="M572" s="3">
        <v>704</v>
      </c>
      <c r="N572" s="3">
        <f>M572*6600</f>
        <v>4646400</v>
      </c>
      <c r="O572" s="3">
        <v>0</v>
      </c>
      <c r="P572" s="3">
        <v>0</v>
      </c>
      <c r="Q572" s="3">
        <v>0</v>
      </c>
      <c r="R572" s="3">
        <f t="shared" si="296"/>
        <v>0</v>
      </c>
      <c r="S572" s="3">
        <v>0</v>
      </c>
      <c r="T572" s="5">
        <v>0</v>
      </c>
      <c r="U572" s="3">
        <v>0</v>
      </c>
      <c r="V572" s="6">
        <f t="shared" si="297"/>
        <v>6600</v>
      </c>
    </row>
    <row r="573" spans="1:22" ht="21.95" customHeight="1" x14ac:dyDescent="0.25">
      <c r="A573" s="37" t="s">
        <v>1783</v>
      </c>
      <c r="B573" s="8" t="s">
        <v>606</v>
      </c>
      <c r="C573" s="2">
        <f t="shared" si="306"/>
        <v>1303063.2</v>
      </c>
      <c r="D573" s="3">
        <f t="shared" si="298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11">
        <v>0</v>
      </c>
      <c r="L573" s="5">
        <v>0</v>
      </c>
      <c r="M573" s="5">
        <v>243.9</v>
      </c>
      <c r="N573" s="3">
        <v>1303063.2</v>
      </c>
      <c r="O573" s="5">
        <v>0</v>
      </c>
      <c r="P573" s="5">
        <v>0</v>
      </c>
      <c r="Q573" s="5">
        <v>0</v>
      </c>
      <c r="R573" s="3">
        <f t="shared" si="296"/>
        <v>0</v>
      </c>
      <c r="S573" s="5">
        <v>0</v>
      </c>
      <c r="T573" s="5">
        <v>0</v>
      </c>
      <c r="U573" s="5">
        <v>0</v>
      </c>
      <c r="V573" s="6">
        <f t="shared" si="297"/>
        <v>5342.6125461254605</v>
      </c>
    </row>
    <row r="574" spans="1:22" ht="21.95" customHeight="1" x14ac:dyDescent="0.25">
      <c r="A574" s="37" t="s">
        <v>1784</v>
      </c>
      <c r="B574" s="8" t="s">
        <v>533</v>
      </c>
      <c r="C574" s="2">
        <f t="shared" si="306"/>
        <v>3897300</v>
      </c>
      <c r="D574" s="3">
        <f t="shared" si="298"/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11">
        <v>0</v>
      </c>
      <c r="L574" s="5">
        <v>0</v>
      </c>
      <c r="M574" s="5">
        <v>708.6</v>
      </c>
      <c r="N574" s="3">
        <f t="shared" si="305"/>
        <v>3897300</v>
      </c>
      <c r="O574" s="5">
        <v>0</v>
      </c>
      <c r="P574" s="5">
        <v>0</v>
      </c>
      <c r="Q574" s="5">
        <v>0</v>
      </c>
      <c r="R574" s="3">
        <f t="shared" si="296"/>
        <v>0</v>
      </c>
      <c r="S574" s="5">
        <v>0</v>
      </c>
      <c r="T574" s="5">
        <v>0</v>
      </c>
      <c r="U574" s="5">
        <v>0</v>
      </c>
      <c r="V574" s="6">
        <f t="shared" si="297"/>
        <v>5500</v>
      </c>
    </row>
    <row r="575" spans="1:22" ht="21.95" customHeight="1" x14ac:dyDescent="0.25">
      <c r="A575" s="37" t="s">
        <v>1785</v>
      </c>
      <c r="B575" s="8" t="s">
        <v>1074</v>
      </c>
      <c r="C575" s="2">
        <f t="shared" si="306"/>
        <v>9477236.2200000007</v>
      </c>
      <c r="D575" s="3">
        <f t="shared" ref="D575" si="307">SUM(E575:J575)</f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11">
        <v>6</v>
      </c>
      <c r="L575" s="5">
        <v>9477236.2200000007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6" t="e">
        <f t="shared" si="297"/>
        <v>#DIV/0!</v>
      </c>
    </row>
    <row r="576" spans="1:22" ht="21.95" customHeight="1" x14ac:dyDescent="0.25">
      <c r="A576" s="37" t="s">
        <v>1786</v>
      </c>
      <c r="B576" s="8" t="s">
        <v>607</v>
      </c>
      <c r="C576" s="2">
        <f t="shared" si="306"/>
        <v>2524500</v>
      </c>
      <c r="D576" s="3">
        <f t="shared" si="298"/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11">
        <v>0</v>
      </c>
      <c r="L576" s="5">
        <v>0</v>
      </c>
      <c r="M576" s="5">
        <v>459</v>
      </c>
      <c r="N576" s="3">
        <f t="shared" ref="N576:N591" si="308">M576*5500</f>
        <v>2524500</v>
      </c>
      <c r="O576" s="5">
        <v>0</v>
      </c>
      <c r="P576" s="5">
        <v>0</v>
      </c>
      <c r="Q576" s="5">
        <v>0</v>
      </c>
      <c r="R576" s="3">
        <f t="shared" si="296"/>
        <v>0</v>
      </c>
      <c r="S576" s="5">
        <v>0</v>
      </c>
      <c r="T576" s="5">
        <v>0</v>
      </c>
      <c r="U576" s="5">
        <v>0</v>
      </c>
      <c r="V576" s="6">
        <f t="shared" si="297"/>
        <v>5500</v>
      </c>
    </row>
    <row r="577" spans="1:22" ht="21.95" customHeight="1" x14ac:dyDescent="0.25">
      <c r="A577" s="37" t="s">
        <v>1787</v>
      </c>
      <c r="B577" s="8" t="s">
        <v>608</v>
      </c>
      <c r="C577" s="2">
        <f t="shared" si="306"/>
        <v>4521000</v>
      </c>
      <c r="D577" s="3">
        <f t="shared" si="298"/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11">
        <v>0</v>
      </c>
      <c r="L577" s="5">
        <v>0</v>
      </c>
      <c r="M577" s="5">
        <v>822</v>
      </c>
      <c r="N577" s="3">
        <f t="shared" si="308"/>
        <v>4521000</v>
      </c>
      <c r="O577" s="5">
        <v>0</v>
      </c>
      <c r="P577" s="5">
        <v>0</v>
      </c>
      <c r="Q577" s="5">
        <v>0</v>
      </c>
      <c r="R577" s="3">
        <f t="shared" si="296"/>
        <v>0</v>
      </c>
      <c r="S577" s="5">
        <v>0</v>
      </c>
      <c r="T577" s="5">
        <v>0</v>
      </c>
      <c r="U577" s="5">
        <v>0</v>
      </c>
      <c r="V577" s="6">
        <f t="shared" si="297"/>
        <v>5500</v>
      </c>
    </row>
    <row r="578" spans="1:22" ht="21.95" customHeight="1" x14ac:dyDescent="0.25">
      <c r="A578" s="37" t="s">
        <v>1788</v>
      </c>
      <c r="B578" s="8" t="s">
        <v>403</v>
      </c>
      <c r="C578" s="2">
        <f t="shared" ref="C578:C583" si="309">D578+L578+N578+P578+R578+S578+T578+U578</f>
        <v>6856242.0000000009</v>
      </c>
      <c r="D578" s="3">
        <f t="shared" ref="D578:D583" si="310">SUM(E578:J578)</f>
        <v>6856242.0000000009</v>
      </c>
      <c r="E578" s="3">
        <v>761576.4</v>
      </c>
      <c r="F578" s="3">
        <v>3934339.2</v>
      </c>
      <c r="G578" s="3">
        <v>727862.4</v>
      </c>
      <c r="H578" s="3">
        <v>876470.4</v>
      </c>
      <c r="I578" s="3">
        <v>555993.59999999998</v>
      </c>
      <c r="J578" s="3">
        <f>800*0</f>
        <v>0</v>
      </c>
      <c r="K578" s="4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6" t="e">
        <f t="shared" ref="V578:V583" si="311">N578/M578</f>
        <v>#DIV/0!</v>
      </c>
    </row>
    <row r="579" spans="1:22" ht="21.95" customHeight="1" x14ac:dyDescent="0.25">
      <c r="A579" s="37" t="s">
        <v>1789</v>
      </c>
      <c r="B579" s="8" t="s">
        <v>404</v>
      </c>
      <c r="C579" s="2">
        <f>D579+L579+N579+P579+R579+S579+T579+U579</f>
        <v>7632490</v>
      </c>
      <c r="D579" s="3">
        <f>SUM(E579:J579)</f>
        <v>6782490</v>
      </c>
      <c r="E579" s="3">
        <f>700*2125.1</f>
        <v>1487570</v>
      </c>
      <c r="F579" s="3">
        <f>1300*2125.1</f>
        <v>2762630</v>
      </c>
      <c r="G579" s="3">
        <f>300*2125.1</f>
        <v>637530</v>
      </c>
      <c r="H579" s="3">
        <f>400*2125.1</f>
        <v>850040</v>
      </c>
      <c r="I579" s="3">
        <f>300*3482.4</f>
        <v>1044720</v>
      </c>
      <c r="J579" s="3">
        <f>800*0</f>
        <v>0</v>
      </c>
      <c r="K579" s="4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850000</v>
      </c>
      <c r="V579" s="6" t="e">
        <f>N579/M579</f>
        <v>#DIV/0!</v>
      </c>
    </row>
    <row r="580" spans="1:22" ht="21.95" customHeight="1" x14ac:dyDescent="0.25">
      <c r="A580" s="37" t="s">
        <v>1790</v>
      </c>
      <c r="B580" s="8" t="s">
        <v>380</v>
      </c>
      <c r="C580" s="2">
        <f t="shared" si="309"/>
        <v>10754280</v>
      </c>
      <c r="D580" s="3">
        <f t="shared" si="310"/>
        <v>9904280</v>
      </c>
      <c r="E580" s="3">
        <f>700*3482.4</f>
        <v>2437680</v>
      </c>
      <c r="F580" s="3">
        <f>1300*3482.4</f>
        <v>4527120</v>
      </c>
      <c r="G580" s="3">
        <f>300*3482.4</f>
        <v>1044720</v>
      </c>
      <c r="H580" s="3">
        <f>400*2125.1</f>
        <v>850040</v>
      </c>
      <c r="I580" s="3">
        <f>300*3482.4</f>
        <v>1044720</v>
      </c>
      <c r="J580" s="3">
        <f>800*0</f>
        <v>0</v>
      </c>
      <c r="K580" s="4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850000</v>
      </c>
      <c r="V580" s="6" t="e">
        <f t="shared" si="311"/>
        <v>#DIV/0!</v>
      </c>
    </row>
    <row r="581" spans="1:22" ht="21.95" customHeight="1" x14ac:dyDescent="0.25">
      <c r="A581" s="37" t="s">
        <v>1986</v>
      </c>
      <c r="B581" s="8" t="s">
        <v>1987</v>
      </c>
      <c r="C581" s="2">
        <f t="shared" si="309"/>
        <v>381352.32</v>
      </c>
      <c r="D581" s="3">
        <f t="shared" si="310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4">
        <v>0</v>
      </c>
      <c r="L581" s="3">
        <v>0</v>
      </c>
      <c r="M581" s="3">
        <v>0</v>
      </c>
      <c r="N581" s="3">
        <f>M581*5500</f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381352.32</v>
      </c>
      <c r="V581" s="6" t="e">
        <f t="shared" si="311"/>
        <v>#DIV/0!</v>
      </c>
    </row>
    <row r="582" spans="1:22" ht="21.95" customHeight="1" x14ac:dyDescent="0.25">
      <c r="A582" s="37" t="s">
        <v>1791</v>
      </c>
      <c r="B582" s="8" t="s">
        <v>412</v>
      </c>
      <c r="C582" s="2">
        <f t="shared" si="309"/>
        <v>4398980</v>
      </c>
      <c r="D582" s="3">
        <f t="shared" si="310"/>
        <v>4198980</v>
      </c>
      <c r="E582" s="3">
        <f>350*1786.8</f>
        <v>625380</v>
      </c>
      <c r="F582" s="3">
        <f>800*1786.8</f>
        <v>1429440</v>
      </c>
      <c r="G582" s="3">
        <f>300*1786.8</f>
        <v>536040</v>
      </c>
      <c r="H582" s="3">
        <f>500*1786.8</f>
        <v>893400</v>
      </c>
      <c r="I582" s="3">
        <f>400*1786.8</f>
        <v>714720</v>
      </c>
      <c r="J582" s="3">
        <f>800*0</f>
        <v>0</v>
      </c>
      <c r="K582" s="4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200000</v>
      </c>
      <c r="V582" s="6" t="e">
        <f t="shared" si="311"/>
        <v>#DIV/0!</v>
      </c>
    </row>
    <row r="583" spans="1:22" ht="21.95" customHeight="1" x14ac:dyDescent="0.25">
      <c r="A583" s="37" t="s">
        <v>1792</v>
      </c>
      <c r="B583" s="8" t="s">
        <v>402</v>
      </c>
      <c r="C583" s="2">
        <f t="shared" si="309"/>
        <v>300000</v>
      </c>
      <c r="D583" s="3">
        <f t="shared" si="310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4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300000</v>
      </c>
      <c r="V583" s="6" t="e">
        <f t="shared" si="311"/>
        <v>#DIV/0!</v>
      </c>
    </row>
    <row r="584" spans="1:22" ht="21.95" customHeight="1" x14ac:dyDescent="0.25">
      <c r="A584" s="37" t="s">
        <v>1793</v>
      </c>
      <c r="B584" s="24" t="s">
        <v>1037</v>
      </c>
      <c r="C584" s="2">
        <f>D584+L584+N584+P584+R584+S584+T584+U584</f>
        <v>7251100</v>
      </c>
      <c r="D584" s="3">
        <f>SUM(E584:J584)</f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4">
        <v>0</v>
      </c>
      <c r="L584" s="3">
        <v>0</v>
      </c>
      <c r="M584" s="3">
        <v>623.5</v>
      </c>
      <c r="N584" s="3">
        <f>M584*6600</f>
        <v>4115100</v>
      </c>
      <c r="O584" s="3">
        <v>0</v>
      </c>
      <c r="P584" s="3">
        <v>0</v>
      </c>
      <c r="Q584" s="3">
        <v>980</v>
      </c>
      <c r="R584" s="5">
        <f>Q584*3200</f>
        <v>3136000</v>
      </c>
      <c r="S584" s="3">
        <v>0</v>
      </c>
      <c r="T584" s="3">
        <v>0</v>
      </c>
      <c r="U584" s="3">
        <v>0</v>
      </c>
      <c r="V584" s="6">
        <f>N584/M584</f>
        <v>6600</v>
      </c>
    </row>
    <row r="585" spans="1:22" ht="21.95" customHeight="1" x14ac:dyDescent="0.25">
      <c r="A585" s="37" t="s">
        <v>1794</v>
      </c>
      <c r="B585" s="23" t="s">
        <v>534</v>
      </c>
      <c r="C585" s="2">
        <f t="shared" si="306"/>
        <v>10671934.35</v>
      </c>
      <c r="D585" s="3">
        <f t="shared" si="298"/>
        <v>2652915</v>
      </c>
      <c r="E585" s="3">
        <f>350*1128.9</f>
        <v>395115.00000000006</v>
      </c>
      <c r="F585" s="3">
        <f>1050*1128.9</f>
        <v>1185345</v>
      </c>
      <c r="G585" s="3">
        <f>300*1128.9</f>
        <v>338670</v>
      </c>
      <c r="H585" s="3">
        <f>400*1128.9</f>
        <v>451560.00000000006</v>
      </c>
      <c r="I585" s="3">
        <f>250*1128.9</f>
        <v>282225</v>
      </c>
      <c r="J585" s="3">
        <v>0</v>
      </c>
      <c r="K585" s="11">
        <v>0</v>
      </c>
      <c r="L585" s="5">
        <v>0</v>
      </c>
      <c r="M585" s="5">
        <v>684.8</v>
      </c>
      <c r="N585" s="3">
        <f t="shared" si="308"/>
        <v>3766399.9999999995</v>
      </c>
      <c r="O585" s="5">
        <v>0</v>
      </c>
      <c r="P585" s="5">
        <v>0</v>
      </c>
      <c r="Q585" s="5">
        <v>1350</v>
      </c>
      <c r="R585" s="3">
        <f t="shared" si="296"/>
        <v>4050000</v>
      </c>
      <c r="S585" s="5">
        <v>0</v>
      </c>
      <c r="T585" s="5">
        <v>0</v>
      </c>
      <c r="U585" s="5">
        <v>202619.35</v>
      </c>
      <c r="V585" s="6">
        <f t="shared" si="297"/>
        <v>5500</v>
      </c>
    </row>
    <row r="586" spans="1:22" ht="21.95" customHeight="1" x14ac:dyDescent="0.25">
      <c r="A586" s="37" t="s">
        <v>1795</v>
      </c>
      <c r="B586" s="23" t="s">
        <v>609</v>
      </c>
      <c r="C586" s="2">
        <f t="shared" si="306"/>
        <v>4015000</v>
      </c>
      <c r="D586" s="3">
        <f t="shared" si="298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11">
        <v>0</v>
      </c>
      <c r="L586" s="5">
        <v>0</v>
      </c>
      <c r="M586" s="5">
        <v>730</v>
      </c>
      <c r="N586" s="3">
        <f t="shared" si="308"/>
        <v>4015000</v>
      </c>
      <c r="O586" s="5">
        <v>0</v>
      </c>
      <c r="P586" s="5">
        <v>0</v>
      </c>
      <c r="Q586" s="5">
        <v>0</v>
      </c>
      <c r="R586" s="3">
        <f t="shared" si="296"/>
        <v>0</v>
      </c>
      <c r="S586" s="5">
        <v>0</v>
      </c>
      <c r="T586" s="5">
        <v>0</v>
      </c>
      <c r="U586" s="5">
        <v>0</v>
      </c>
      <c r="V586" s="6">
        <f t="shared" si="297"/>
        <v>5500</v>
      </c>
    </row>
    <row r="587" spans="1:22" ht="21.95" customHeight="1" x14ac:dyDescent="0.25">
      <c r="A587" s="37" t="s">
        <v>1796</v>
      </c>
      <c r="B587" s="8" t="s">
        <v>535</v>
      </c>
      <c r="C587" s="2">
        <f t="shared" si="306"/>
        <v>2494800</v>
      </c>
      <c r="D587" s="3">
        <f t="shared" si="298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11">
        <v>0</v>
      </c>
      <c r="L587" s="5">
        <v>0</v>
      </c>
      <c r="M587" s="5">
        <v>453.6</v>
      </c>
      <c r="N587" s="3">
        <v>2494800</v>
      </c>
      <c r="O587" s="5">
        <v>0</v>
      </c>
      <c r="P587" s="5">
        <v>0</v>
      </c>
      <c r="Q587" s="5">
        <v>0</v>
      </c>
      <c r="R587" s="3">
        <f t="shared" si="296"/>
        <v>0</v>
      </c>
      <c r="S587" s="5">
        <v>0</v>
      </c>
      <c r="T587" s="5">
        <v>0</v>
      </c>
      <c r="U587" s="5">
        <v>0</v>
      </c>
      <c r="V587" s="6">
        <f t="shared" si="297"/>
        <v>5500</v>
      </c>
    </row>
    <row r="588" spans="1:22" ht="21.95" customHeight="1" x14ac:dyDescent="0.25">
      <c r="A588" s="37" t="s">
        <v>1797</v>
      </c>
      <c r="B588" s="8" t="s">
        <v>536</v>
      </c>
      <c r="C588" s="2">
        <f t="shared" si="306"/>
        <v>2494800</v>
      </c>
      <c r="D588" s="3">
        <f t="shared" si="298"/>
        <v>0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11">
        <v>0</v>
      </c>
      <c r="L588" s="5">
        <v>0</v>
      </c>
      <c r="M588" s="5">
        <v>453.6</v>
      </c>
      <c r="N588" s="3">
        <f t="shared" si="308"/>
        <v>2494800</v>
      </c>
      <c r="O588" s="5">
        <v>0</v>
      </c>
      <c r="P588" s="5">
        <v>0</v>
      </c>
      <c r="Q588" s="5">
        <v>0</v>
      </c>
      <c r="R588" s="3">
        <f t="shared" si="296"/>
        <v>0</v>
      </c>
      <c r="S588" s="5">
        <v>0</v>
      </c>
      <c r="T588" s="5">
        <v>0</v>
      </c>
      <c r="U588" s="5">
        <v>0</v>
      </c>
      <c r="V588" s="6">
        <f t="shared" si="297"/>
        <v>5500</v>
      </c>
    </row>
    <row r="589" spans="1:22" ht="21.95" customHeight="1" x14ac:dyDescent="0.25">
      <c r="A589" s="37" t="s">
        <v>1798</v>
      </c>
      <c r="B589" s="8" t="s">
        <v>537</v>
      </c>
      <c r="C589" s="2">
        <f t="shared" si="306"/>
        <v>1518330</v>
      </c>
      <c r="D589" s="3">
        <f t="shared" si="298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1">
        <v>0</v>
      </c>
      <c r="L589" s="5">
        <v>0</v>
      </c>
      <c r="M589" s="5">
        <v>276.06</v>
      </c>
      <c r="N589" s="3">
        <f t="shared" si="308"/>
        <v>1518330</v>
      </c>
      <c r="O589" s="5">
        <v>0</v>
      </c>
      <c r="P589" s="5">
        <v>0</v>
      </c>
      <c r="Q589" s="5">
        <v>0</v>
      </c>
      <c r="R589" s="3">
        <f t="shared" si="296"/>
        <v>0</v>
      </c>
      <c r="S589" s="5">
        <v>0</v>
      </c>
      <c r="T589" s="5">
        <v>0</v>
      </c>
      <c r="U589" s="5">
        <v>0</v>
      </c>
      <c r="V589" s="6">
        <f t="shared" si="297"/>
        <v>5500</v>
      </c>
    </row>
    <row r="590" spans="1:22" ht="21.95" customHeight="1" x14ac:dyDescent="0.25">
      <c r="A590" s="37" t="s">
        <v>1799</v>
      </c>
      <c r="B590" s="8" t="s">
        <v>611</v>
      </c>
      <c r="C590" s="2">
        <f t="shared" si="306"/>
        <v>1545170</v>
      </c>
      <c r="D590" s="3">
        <f t="shared" si="298"/>
        <v>0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11">
        <v>0</v>
      </c>
      <c r="L590" s="5">
        <v>0</v>
      </c>
      <c r="M590" s="5">
        <v>280.94</v>
      </c>
      <c r="N590" s="3">
        <f t="shared" si="308"/>
        <v>1545170</v>
      </c>
      <c r="O590" s="5">
        <v>0</v>
      </c>
      <c r="P590" s="5">
        <v>0</v>
      </c>
      <c r="Q590" s="5">
        <v>0</v>
      </c>
      <c r="R590" s="3">
        <f t="shared" si="296"/>
        <v>0</v>
      </c>
      <c r="S590" s="5">
        <v>0</v>
      </c>
      <c r="T590" s="5">
        <v>0</v>
      </c>
      <c r="U590" s="5">
        <v>0</v>
      </c>
      <c r="V590" s="6">
        <f t="shared" si="297"/>
        <v>5500</v>
      </c>
    </row>
    <row r="591" spans="1:22" ht="21.95" customHeight="1" x14ac:dyDescent="0.25">
      <c r="A591" s="37" t="s">
        <v>1800</v>
      </c>
      <c r="B591" s="8" t="s">
        <v>612</v>
      </c>
      <c r="C591" s="2">
        <f t="shared" si="306"/>
        <v>1630199.9999999998</v>
      </c>
      <c r="D591" s="3">
        <f t="shared" si="298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11">
        <v>0</v>
      </c>
      <c r="L591" s="5">
        <v>0</v>
      </c>
      <c r="M591" s="5">
        <v>296.39999999999998</v>
      </c>
      <c r="N591" s="3">
        <f t="shared" si="308"/>
        <v>1630199.9999999998</v>
      </c>
      <c r="O591" s="5">
        <v>0</v>
      </c>
      <c r="P591" s="5">
        <v>0</v>
      </c>
      <c r="Q591" s="5">
        <v>0</v>
      </c>
      <c r="R591" s="3">
        <f t="shared" si="296"/>
        <v>0</v>
      </c>
      <c r="S591" s="5">
        <v>0</v>
      </c>
      <c r="T591" s="5">
        <v>0</v>
      </c>
      <c r="U591" s="5">
        <v>0</v>
      </c>
      <c r="V591" s="6">
        <f t="shared" si="297"/>
        <v>5500</v>
      </c>
    </row>
    <row r="592" spans="1:22" ht="21.95" customHeight="1" x14ac:dyDescent="0.25">
      <c r="A592" s="37" t="s">
        <v>1801</v>
      </c>
      <c r="B592" s="8" t="s">
        <v>610</v>
      </c>
      <c r="C592" s="2">
        <f t="shared" si="306"/>
        <v>3809886.4599999995</v>
      </c>
      <c r="D592" s="3">
        <f t="shared" si="298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1">
        <v>0</v>
      </c>
      <c r="L592" s="5">
        <v>0</v>
      </c>
      <c r="M592" s="5">
        <v>1033.6099999999999</v>
      </c>
      <c r="N592" s="3">
        <f>M592*3686</f>
        <v>3809886.4599999995</v>
      </c>
      <c r="O592" s="5">
        <v>0</v>
      </c>
      <c r="P592" s="5">
        <v>0</v>
      </c>
      <c r="Q592" s="5">
        <v>0</v>
      </c>
      <c r="R592" s="3">
        <f t="shared" si="296"/>
        <v>0</v>
      </c>
      <c r="S592" s="5">
        <v>0</v>
      </c>
      <c r="T592" s="5">
        <v>0</v>
      </c>
      <c r="U592" s="5">
        <v>0</v>
      </c>
      <c r="V592" s="6">
        <f t="shared" si="297"/>
        <v>3686</v>
      </c>
    </row>
    <row r="593" spans="1:22" ht="21.95" customHeight="1" x14ac:dyDescent="0.25">
      <c r="A593" s="37" t="s">
        <v>1802</v>
      </c>
      <c r="B593" s="8" t="s">
        <v>501</v>
      </c>
      <c r="C593" s="2">
        <f>D593+L593+N593+P593+R593+S593+T593+U593</f>
        <v>4476155</v>
      </c>
      <c r="D593" s="3">
        <f>SUM(E593:J593)</f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472.2</v>
      </c>
      <c r="N593" s="3">
        <f>M593*5500</f>
        <v>2597100</v>
      </c>
      <c r="O593" s="3">
        <v>0</v>
      </c>
      <c r="P593" s="3">
        <v>0</v>
      </c>
      <c r="Q593" s="3">
        <v>491</v>
      </c>
      <c r="R593" s="3">
        <v>1279055</v>
      </c>
      <c r="S593" s="3">
        <v>0</v>
      </c>
      <c r="T593" s="3">
        <v>0</v>
      </c>
      <c r="U593" s="3">
        <v>600000</v>
      </c>
      <c r="V593" s="6">
        <f>N593/M593</f>
        <v>5500</v>
      </c>
    </row>
    <row r="594" spans="1:22" ht="21.95" customHeight="1" x14ac:dyDescent="0.25">
      <c r="A594" s="37" t="s">
        <v>1803</v>
      </c>
      <c r="B594" s="8" t="s">
        <v>502</v>
      </c>
      <c r="C594" s="2">
        <f>D594+L594+N594+P594+R594+S594+T594+U594</f>
        <v>1866234.09</v>
      </c>
      <c r="D594" s="3">
        <f>SUM(E594:J594)</f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4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474</v>
      </c>
      <c r="R594" s="3">
        <f>Q594*3000</f>
        <v>1422000</v>
      </c>
      <c r="S594" s="3">
        <v>0</v>
      </c>
      <c r="T594" s="3">
        <v>0</v>
      </c>
      <c r="U594" s="3">
        <v>444234.09</v>
      </c>
      <c r="V594" s="6" t="e">
        <f>N594/M594</f>
        <v>#DIV/0!</v>
      </c>
    </row>
    <row r="595" spans="1:22" ht="21.95" customHeight="1" x14ac:dyDescent="0.25">
      <c r="A595" s="37" t="s">
        <v>1804</v>
      </c>
      <c r="B595" s="24" t="s">
        <v>1041</v>
      </c>
      <c r="C595" s="2">
        <f>D595+L595+N595+P595+R595+S595+T595+U595</f>
        <v>540802.96</v>
      </c>
      <c r="D595" s="3">
        <f>SUM(E595:J595)</f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4">
        <v>0</v>
      </c>
      <c r="L595" s="3">
        <v>0</v>
      </c>
      <c r="M595" s="3">
        <v>0</v>
      </c>
      <c r="N595" s="3">
        <v>0</v>
      </c>
      <c r="O595" s="3">
        <v>110.2</v>
      </c>
      <c r="P595" s="3">
        <v>231420</v>
      </c>
      <c r="Q595" s="3">
        <v>0</v>
      </c>
      <c r="R595" s="3">
        <v>0</v>
      </c>
      <c r="S595" s="3">
        <v>0</v>
      </c>
      <c r="T595" s="3">
        <v>0</v>
      </c>
      <c r="U595" s="3">
        <v>309382.96000000002</v>
      </c>
      <c r="V595" s="6" t="e">
        <f>N595/M595</f>
        <v>#DIV/0!</v>
      </c>
    </row>
    <row r="596" spans="1:22" ht="21.95" customHeight="1" x14ac:dyDescent="0.25">
      <c r="A596" s="37" t="s">
        <v>1805</v>
      </c>
      <c r="B596" s="8" t="s">
        <v>393</v>
      </c>
      <c r="C596" s="2">
        <f>D596+L596+N596+P596+R596+S596+T596+U596</f>
        <v>5148400</v>
      </c>
      <c r="D596" s="3">
        <f>SUM(E596:J596)</f>
        <v>4298400</v>
      </c>
      <c r="E596" s="3">
        <f>700*1432.8</f>
        <v>1002960</v>
      </c>
      <c r="F596" s="3">
        <f>1300*1432.8</f>
        <v>1862640</v>
      </c>
      <c r="G596" s="3">
        <f>300*1432.8</f>
        <v>429840</v>
      </c>
      <c r="H596" s="3">
        <f>400*1432.8</f>
        <v>573120</v>
      </c>
      <c r="I596" s="3">
        <f>300*1432.8</f>
        <v>429840</v>
      </c>
      <c r="J596" s="3">
        <f>800*0</f>
        <v>0</v>
      </c>
      <c r="K596" s="4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850000</v>
      </c>
      <c r="V596" s="6" t="e">
        <f>N596/M596</f>
        <v>#DIV/0!</v>
      </c>
    </row>
    <row r="597" spans="1:22" ht="21.95" customHeight="1" x14ac:dyDescent="0.25">
      <c r="A597" s="37" t="s">
        <v>1806</v>
      </c>
      <c r="B597" s="8" t="s">
        <v>613</v>
      </c>
      <c r="C597" s="2">
        <f t="shared" ref="C597:C611" si="312">D597+L597+N597+P597+R597+S597+T597+U597</f>
        <v>1633500</v>
      </c>
      <c r="D597" s="3">
        <f t="shared" ref="D597:D611" si="313">SUM(E597:J597)</f>
        <v>0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11">
        <v>0</v>
      </c>
      <c r="L597" s="5">
        <v>0</v>
      </c>
      <c r="M597" s="5">
        <v>297</v>
      </c>
      <c r="N597" s="3">
        <f t="shared" ref="N597:N599" si="314">M597*5500</f>
        <v>1633500</v>
      </c>
      <c r="O597" s="5">
        <v>0</v>
      </c>
      <c r="P597" s="5">
        <v>0</v>
      </c>
      <c r="Q597" s="5">
        <v>0</v>
      </c>
      <c r="R597" s="3">
        <f>Q597*3000</f>
        <v>0</v>
      </c>
      <c r="S597" s="5">
        <v>0</v>
      </c>
      <c r="T597" s="5">
        <v>0</v>
      </c>
      <c r="U597" s="5">
        <v>0</v>
      </c>
      <c r="V597" s="6">
        <f t="shared" ref="V597:V611" si="315">N597/M597</f>
        <v>5500</v>
      </c>
    </row>
    <row r="598" spans="1:22" ht="21.95" customHeight="1" x14ac:dyDescent="0.25">
      <c r="A598" s="37" t="s">
        <v>1807</v>
      </c>
      <c r="B598" s="8" t="s">
        <v>614</v>
      </c>
      <c r="C598" s="2">
        <f t="shared" si="312"/>
        <v>300000</v>
      </c>
      <c r="D598" s="3">
        <f t="shared" si="313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1">
        <v>0</v>
      </c>
      <c r="L598" s="5">
        <v>0</v>
      </c>
      <c r="M598" s="5">
        <v>0</v>
      </c>
      <c r="N598" s="3">
        <f t="shared" si="314"/>
        <v>0</v>
      </c>
      <c r="O598" s="5">
        <v>0</v>
      </c>
      <c r="P598" s="5">
        <v>0</v>
      </c>
      <c r="Q598" s="5">
        <v>0</v>
      </c>
      <c r="R598" s="3">
        <f>Q598*3000</f>
        <v>0</v>
      </c>
      <c r="S598" s="5">
        <v>0</v>
      </c>
      <c r="T598" s="5">
        <v>0</v>
      </c>
      <c r="U598" s="5">
        <v>300000</v>
      </c>
      <c r="V598" s="6" t="e">
        <f t="shared" si="315"/>
        <v>#DIV/0!</v>
      </c>
    </row>
    <row r="599" spans="1:22" ht="21.95" customHeight="1" x14ac:dyDescent="0.25">
      <c r="A599" s="37" t="s">
        <v>1808</v>
      </c>
      <c r="B599" s="8" t="s">
        <v>615</v>
      </c>
      <c r="C599" s="2">
        <f t="shared" si="312"/>
        <v>300000</v>
      </c>
      <c r="D599" s="3">
        <f t="shared" si="313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1">
        <v>0</v>
      </c>
      <c r="L599" s="5">
        <v>0</v>
      </c>
      <c r="M599" s="5">
        <v>0</v>
      </c>
      <c r="N599" s="3">
        <f t="shared" si="314"/>
        <v>0</v>
      </c>
      <c r="O599" s="5">
        <v>0</v>
      </c>
      <c r="P599" s="5">
        <v>0</v>
      </c>
      <c r="Q599" s="5">
        <v>0</v>
      </c>
      <c r="R599" s="3">
        <f>Q599*3000</f>
        <v>0</v>
      </c>
      <c r="S599" s="5">
        <v>0</v>
      </c>
      <c r="T599" s="5">
        <v>0</v>
      </c>
      <c r="U599" s="5">
        <v>300000</v>
      </c>
      <c r="V599" s="6" t="e">
        <f t="shared" si="315"/>
        <v>#DIV/0!</v>
      </c>
    </row>
    <row r="600" spans="1:22" ht="21.95" customHeight="1" x14ac:dyDescent="0.25">
      <c r="A600" s="37" t="s">
        <v>1809</v>
      </c>
      <c r="B600" s="24" t="s">
        <v>1075</v>
      </c>
      <c r="C600" s="2">
        <f t="shared" si="312"/>
        <v>3440516.22</v>
      </c>
      <c r="D600" s="3">
        <f t="shared" si="313"/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4">
        <v>2</v>
      </c>
      <c r="L600" s="3">
        <v>3440516.22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6" t="e">
        <f t="shared" si="315"/>
        <v>#DIV/0!</v>
      </c>
    </row>
    <row r="601" spans="1:22" ht="21.95" customHeight="1" x14ac:dyDescent="0.25">
      <c r="A601" s="37" t="s">
        <v>1810</v>
      </c>
      <c r="B601" s="24" t="s">
        <v>1050</v>
      </c>
      <c r="C601" s="2">
        <f>D601+L601+N601+P601+R601+S601+T601+U601</f>
        <v>7418458.3300000001</v>
      </c>
      <c r="D601" s="3">
        <f>SUM(E601:J601)</f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4">
        <v>0</v>
      </c>
      <c r="L601" s="3">
        <v>0</v>
      </c>
      <c r="M601" s="3">
        <v>456.13</v>
      </c>
      <c r="N601" s="3">
        <v>2750175.12</v>
      </c>
      <c r="O601" s="3">
        <v>0</v>
      </c>
      <c r="P601" s="3">
        <v>0</v>
      </c>
      <c r="Q601" s="3">
        <v>1536</v>
      </c>
      <c r="R601" s="3">
        <v>4608000</v>
      </c>
      <c r="S601" s="3">
        <v>60283.21</v>
      </c>
      <c r="T601" s="3">
        <v>0</v>
      </c>
      <c r="U601" s="3">
        <v>0</v>
      </c>
      <c r="V601" s="6">
        <f>N601/M601</f>
        <v>6029.3668910179122</v>
      </c>
    </row>
    <row r="602" spans="1:22" ht="21.95" customHeight="1" x14ac:dyDescent="0.25">
      <c r="A602" s="37" t="s">
        <v>1811</v>
      </c>
      <c r="B602" s="8" t="s">
        <v>1023</v>
      </c>
      <c r="C602" s="2">
        <f t="shared" si="312"/>
        <v>20930145.969999999</v>
      </c>
      <c r="D602" s="3">
        <f t="shared" si="313"/>
        <v>9627480</v>
      </c>
      <c r="E602" s="3">
        <f>350*4096.8</f>
        <v>1433880</v>
      </c>
      <c r="F602" s="3">
        <f>1050*4096.8</f>
        <v>4301640</v>
      </c>
      <c r="G602" s="3">
        <f>300*4096.8</f>
        <v>1229040</v>
      </c>
      <c r="H602" s="3">
        <f>400*4096.8</f>
        <v>1638720</v>
      </c>
      <c r="I602" s="3">
        <f>250*4096.8</f>
        <v>1024200</v>
      </c>
      <c r="J602" s="3">
        <v>0</v>
      </c>
      <c r="K602" s="11">
        <v>0</v>
      </c>
      <c r="L602" s="5">
        <v>0</v>
      </c>
      <c r="M602" s="5">
        <v>970</v>
      </c>
      <c r="N602" s="3">
        <f>M602*3686</f>
        <v>3575420</v>
      </c>
      <c r="O602" s="5">
        <v>0</v>
      </c>
      <c r="P602" s="5">
        <v>0</v>
      </c>
      <c r="Q602" s="5">
        <v>2480</v>
      </c>
      <c r="R602" s="3">
        <f t="shared" ref="R602:R607" si="316">Q602*3000</f>
        <v>7440000</v>
      </c>
      <c r="S602" s="5">
        <v>0</v>
      </c>
      <c r="T602" s="5">
        <v>0</v>
      </c>
      <c r="U602" s="5">
        <v>287245.96999999997</v>
      </c>
      <c r="V602" s="6">
        <f t="shared" si="315"/>
        <v>3686</v>
      </c>
    </row>
    <row r="603" spans="1:22" ht="21.95" customHeight="1" x14ac:dyDescent="0.25">
      <c r="A603" s="37" t="s">
        <v>1812</v>
      </c>
      <c r="B603" s="24" t="s">
        <v>1035</v>
      </c>
      <c r="C603" s="2">
        <f>D603+L603+N603+P603+R603+S603+T603+U603</f>
        <v>5295644.7</v>
      </c>
      <c r="D603" s="3">
        <f>SUM(E603:J603)</f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4">
        <v>0</v>
      </c>
      <c r="L603" s="3">
        <v>0</v>
      </c>
      <c r="M603" s="3">
        <v>741</v>
      </c>
      <c r="N603" s="3">
        <f>M603*6600</f>
        <v>4890600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405044.7</v>
      </c>
      <c r="V603" s="6">
        <f>N603/M603</f>
        <v>6600</v>
      </c>
    </row>
    <row r="604" spans="1:22" ht="21.95" customHeight="1" x14ac:dyDescent="0.25">
      <c r="A604" s="37" t="s">
        <v>1813</v>
      </c>
      <c r="B604" s="8" t="s">
        <v>616</v>
      </c>
      <c r="C604" s="2">
        <f t="shared" si="312"/>
        <v>5002720</v>
      </c>
      <c r="D604" s="3">
        <f t="shared" si="313"/>
        <v>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11">
        <v>0</v>
      </c>
      <c r="L604" s="5">
        <v>0</v>
      </c>
      <c r="M604" s="5">
        <v>629.20000000000005</v>
      </c>
      <c r="N604" s="3">
        <f>M604*6600</f>
        <v>4152720.0000000005</v>
      </c>
      <c r="O604" s="5">
        <v>0</v>
      </c>
      <c r="P604" s="5">
        <v>0</v>
      </c>
      <c r="Q604" s="5">
        <v>0</v>
      </c>
      <c r="R604" s="3">
        <f t="shared" si="316"/>
        <v>0</v>
      </c>
      <c r="S604" s="5">
        <v>0</v>
      </c>
      <c r="T604" s="5">
        <v>0</v>
      </c>
      <c r="U604" s="5">
        <v>850000</v>
      </c>
      <c r="V604" s="6">
        <f t="shared" si="315"/>
        <v>6600</v>
      </c>
    </row>
    <row r="605" spans="1:22" ht="21.95" customHeight="1" x14ac:dyDescent="0.25">
      <c r="A605" s="37" t="s">
        <v>1814</v>
      </c>
      <c r="B605" s="8" t="s">
        <v>619</v>
      </c>
      <c r="C605" s="2">
        <f>D605+L605+N605+P605+R605+S605+T605+U605</f>
        <v>11550000</v>
      </c>
      <c r="D605" s="3">
        <f>SUM(E605:J605)</f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11">
        <v>0</v>
      </c>
      <c r="L605" s="5">
        <v>0</v>
      </c>
      <c r="M605" s="5">
        <v>2100</v>
      </c>
      <c r="N605" s="3">
        <f>M605*5500</f>
        <v>11550000</v>
      </c>
      <c r="O605" s="5">
        <v>0</v>
      </c>
      <c r="P605" s="5">
        <v>0</v>
      </c>
      <c r="Q605" s="5">
        <v>0</v>
      </c>
      <c r="R605" s="3">
        <f>Q605*3000</f>
        <v>0</v>
      </c>
      <c r="S605" s="5">
        <v>0</v>
      </c>
      <c r="T605" s="5">
        <v>0</v>
      </c>
      <c r="U605" s="5">
        <v>0</v>
      </c>
      <c r="V605" s="6">
        <f>N605/M605</f>
        <v>5500</v>
      </c>
    </row>
    <row r="606" spans="1:22" ht="21.95" customHeight="1" x14ac:dyDescent="0.25">
      <c r="A606" s="37" t="s">
        <v>1815</v>
      </c>
      <c r="B606" s="8" t="s">
        <v>617</v>
      </c>
      <c r="C606" s="2">
        <f t="shared" si="312"/>
        <v>3241700</v>
      </c>
      <c r="D606" s="3">
        <f t="shared" si="313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11">
        <v>0</v>
      </c>
      <c r="L606" s="5">
        <v>0</v>
      </c>
      <c r="M606" s="5">
        <v>589.4</v>
      </c>
      <c r="N606" s="3">
        <v>3241700</v>
      </c>
      <c r="O606" s="5">
        <v>0</v>
      </c>
      <c r="P606" s="5">
        <v>0</v>
      </c>
      <c r="Q606" s="5">
        <v>0</v>
      </c>
      <c r="R606" s="3">
        <f t="shared" si="316"/>
        <v>0</v>
      </c>
      <c r="S606" s="5">
        <v>0</v>
      </c>
      <c r="T606" s="5">
        <v>0</v>
      </c>
      <c r="U606" s="5">
        <v>0</v>
      </c>
      <c r="V606" s="6">
        <f t="shared" si="315"/>
        <v>5500</v>
      </c>
    </row>
    <row r="607" spans="1:22" ht="21.95" customHeight="1" x14ac:dyDescent="0.25">
      <c r="A607" s="37" t="s">
        <v>1816</v>
      </c>
      <c r="B607" s="8" t="s">
        <v>618</v>
      </c>
      <c r="C607" s="2">
        <f t="shared" si="312"/>
        <v>2645500</v>
      </c>
      <c r="D607" s="3">
        <f t="shared" si="313"/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11">
        <v>0</v>
      </c>
      <c r="L607" s="5">
        <v>0</v>
      </c>
      <c r="M607" s="5">
        <v>481</v>
      </c>
      <c r="N607" s="3">
        <f t="shared" ref="N607:N610" si="317">M607*5500</f>
        <v>2645500</v>
      </c>
      <c r="O607" s="5">
        <v>0</v>
      </c>
      <c r="P607" s="5">
        <v>0</v>
      </c>
      <c r="Q607" s="5">
        <v>0</v>
      </c>
      <c r="R607" s="3">
        <f t="shared" si="316"/>
        <v>0</v>
      </c>
      <c r="S607" s="5">
        <v>0</v>
      </c>
      <c r="T607" s="5">
        <v>0</v>
      </c>
      <c r="U607" s="5">
        <v>0</v>
      </c>
      <c r="V607" s="6">
        <f t="shared" si="315"/>
        <v>5500</v>
      </c>
    </row>
    <row r="608" spans="1:22" ht="21.95" customHeight="1" x14ac:dyDescent="0.25">
      <c r="A608" s="37" t="s">
        <v>1817</v>
      </c>
      <c r="B608" s="8" t="s">
        <v>819</v>
      </c>
      <c r="C608" s="2">
        <f t="shared" si="312"/>
        <v>20745607.530000001</v>
      </c>
      <c r="D608" s="3">
        <f t="shared" si="313"/>
        <v>9802371.0600000005</v>
      </c>
      <c r="E608" s="3">
        <v>1264354.06</v>
      </c>
      <c r="F608" s="3">
        <v>4283020.09</v>
      </c>
      <c r="G608" s="3">
        <v>1131549.02</v>
      </c>
      <c r="H608" s="3">
        <v>1832788.81</v>
      </c>
      <c r="I608" s="3">
        <v>1290659.08</v>
      </c>
      <c r="J608" s="3">
        <f>350*0</f>
        <v>0</v>
      </c>
      <c r="K608" s="4">
        <v>0</v>
      </c>
      <c r="L608" s="3">
        <v>0</v>
      </c>
      <c r="M608" s="5">
        <v>609.98</v>
      </c>
      <c r="N608" s="5">
        <v>1905604.9</v>
      </c>
      <c r="O608" s="3">
        <v>819.8</v>
      </c>
      <c r="P608" s="3">
        <v>881819.15</v>
      </c>
      <c r="Q608" s="3">
        <v>4739.2</v>
      </c>
      <c r="R608" s="3">
        <v>7956812.4199999999</v>
      </c>
      <c r="S608" s="3">
        <v>0</v>
      </c>
      <c r="T608" s="3">
        <v>0</v>
      </c>
      <c r="U608" s="3">
        <v>199000</v>
      </c>
      <c r="V608" s="6">
        <f t="shared" si="315"/>
        <v>3124.0448867175969</v>
      </c>
    </row>
    <row r="609" spans="1:22" ht="21.95" customHeight="1" x14ac:dyDescent="0.25">
      <c r="A609" s="37" t="s">
        <v>1818</v>
      </c>
      <c r="B609" s="8" t="s">
        <v>374</v>
      </c>
      <c r="C609" s="2">
        <f t="shared" si="312"/>
        <v>300000</v>
      </c>
      <c r="D609" s="3">
        <f t="shared" si="313"/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4">
        <v>0</v>
      </c>
      <c r="L609" s="3">
        <v>0</v>
      </c>
      <c r="M609" s="3">
        <v>0</v>
      </c>
      <c r="N609" s="3">
        <f t="shared" si="317"/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300000</v>
      </c>
      <c r="V609" s="6" t="e">
        <f t="shared" si="315"/>
        <v>#DIV/0!</v>
      </c>
    </row>
    <row r="610" spans="1:22" ht="21.95" customHeight="1" x14ac:dyDescent="0.25">
      <c r="A610" s="37" t="s">
        <v>1819</v>
      </c>
      <c r="B610" s="8" t="s">
        <v>620</v>
      </c>
      <c r="C610" s="2">
        <f t="shared" si="312"/>
        <v>3029000</v>
      </c>
      <c r="D610" s="3">
        <f t="shared" si="313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1">
        <v>0</v>
      </c>
      <c r="L610" s="5">
        <v>0</v>
      </c>
      <c r="M610" s="5">
        <v>278</v>
      </c>
      <c r="N610" s="3">
        <f t="shared" si="317"/>
        <v>1529000</v>
      </c>
      <c r="O610" s="5">
        <v>0</v>
      </c>
      <c r="P610" s="5">
        <v>0</v>
      </c>
      <c r="Q610" s="5">
        <v>500</v>
      </c>
      <c r="R610" s="3">
        <f>Q610*3000</f>
        <v>1500000</v>
      </c>
      <c r="S610" s="5">
        <v>0</v>
      </c>
      <c r="T610" s="5">
        <v>0</v>
      </c>
      <c r="U610" s="5">
        <v>0</v>
      </c>
      <c r="V610" s="6">
        <f t="shared" si="315"/>
        <v>5500</v>
      </c>
    </row>
    <row r="611" spans="1:22" ht="21.95" customHeight="1" x14ac:dyDescent="0.25">
      <c r="A611" s="37" t="s">
        <v>1820</v>
      </c>
      <c r="B611" s="23" t="s">
        <v>621</v>
      </c>
      <c r="C611" s="2">
        <f t="shared" si="312"/>
        <v>1406877.6</v>
      </c>
      <c r="D611" s="3">
        <f t="shared" si="313"/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11">
        <v>0</v>
      </c>
      <c r="L611" s="5">
        <v>0</v>
      </c>
      <c r="M611" s="5">
        <v>261.97000000000003</v>
      </c>
      <c r="N611" s="3">
        <v>1406877.6</v>
      </c>
      <c r="O611" s="5">
        <v>0</v>
      </c>
      <c r="P611" s="5">
        <v>0</v>
      </c>
      <c r="Q611" s="5">
        <v>0</v>
      </c>
      <c r="R611" s="3">
        <f>Q611*3000</f>
        <v>0</v>
      </c>
      <c r="S611" s="5">
        <v>0</v>
      </c>
      <c r="T611" s="5">
        <v>0</v>
      </c>
      <c r="U611" s="5">
        <v>0</v>
      </c>
      <c r="V611" s="6">
        <f t="shared" si="315"/>
        <v>5370.3767606977899</v>
      </c>
    </row>
    <row r="612" spans="1:22" ht="21.95" customHeight="1" x14ac:dyDescent="0.25">
      <c r="A612" s="37" t="s">
        <v>1821</v>
      </c>
      <c r="B612" s="8" t="s">
        <v>1194</v>
      </c>
      <c r="C612" s="2">
        <f>D612+L612+N612+P612+R612+S612+T612+U612</f>
        <v>13400000</v>
      </c>
      <c r="D612" s="3">
        <f>SUM(E612:J612)</f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1">
        <v>6</v>
      </c>
      <c r="L612" s="5">
        <f>K612*2150000</f>
        <v>12900000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3">
        <f>Q612*3000</f>
        <v>0</v>
      </c>
      <c r="S612" s="5">
        <v>0</v>
      </c>
      <c r="T612" s="5">
        <v>0</v>
      </c>
      <c r="U612" s="5">
        <v>500000</v>
      </c>
      <c r="V612" s="6" t="e">
        <f>N612/M612</f>
        <v>#DIV/0!</v>
      </c>
    </row>
    <row r="613" spans="1:22" ht="21.95" customHeight="1" x14ac:dyDescent="0.25">
      <c r="A613" s="37" t="s">
        <v>1822</v>
      </c>
      <c r="B613" s="8" t="s">
        <v>538</v>
      </c>
      <c r="C613" s="2">
        <f t="shared" si="306"/>
        <v>300000</v>
      </c>
      <c r="D613" s="3">
        <f t="shared" ref="D613:D684" si="318">SUM(E613:J613)</f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1">
        <v>0</v>
      </c>
      <c r="L613" s="5">
        <v>0</v>
      </c>
      <c r="M613" s="5">
        <v>0</v>
      </c>
      <c r="N613" s="3">
        <v>0</v>
      </c>
      <c r="O613" s="5">
        <v>0</v>
      </c>
      <c r="P613" s="5">
        <v>0</v>
      </c>
      <c r="Q613" s="5">
        <v>0</v>
      </c>
      <c r="R613" s="3">
        <f t="shared" ref="R613:R685" si="319">Q613*3000</f>
        <v>0</v>
      </c>
      <c r="S613" s="5">
        <v>0</v>
      </c>
      <c r="T613" s="5">
        <v>0</v>
      </c>
      <c r="U613" s="5">
        <v>300000</v>
      </c>
      <c r="V613" s="6" t="e">
        <f t="shared" ref="V613:V685" si="320">N613/M613</f>
        <v>#DIV/0!</v>
      </c>
    </row>
    <row r="614" spans="1:22" ht="21.95" customHeight="1" x14ac:dyDescent="0.25">
      <c r="A614" s="37" t="s">
        <v>1823</v>
      </c>
      <c r="B614" s="8" t="s">
        <v>622</v>
      </c>
      <c r="C614" s="2">
        <f t="shared" si="306"/>
        <v>1463000</v>
      </c>
      <c r="D614" s="3">
        <f t="shared" si="318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1">
        <v>0</v>
      </c>
      <c r="L614" s="5">
        <v>0</v>
      </c>
      <c r="M614" s="5">
        <v>266</v>
      </c>
      <c r="N614" s="3">
        <f t="shared" ref="N614:N615" si="321">M614*5500</f>
        <v>1463000</v>
      </c>
      <c r="O614" s="5">
        <v>0</v>
      </c>
      <c r="P614" s="5">
        <v>0</v>
      </c>
      <c r="Q614" s="5">
        <v>0</v>
      </c>
      <c r="R614" s="3">
        <f t="shared" si="319"/>
        <v>0</v>
      </c>
      <c r="S614" s="5">
        <v>0</v>
      </c>
      <c r="T614" s="5">
        <v>0</v>
      </c>
      <c r="U614" s="5">
        <v>0</v>
      </c>
      <c r="V614" s="6">
        <f t="shared" si="320"/>
        <v>5500</v>
      </c>
    </row>
    <row r="615" spans="1:22" ht="21.95" customHeight="1" x14ac:dyDescent="0.25">
      <c r="A615" s="37" t="s">
        <v>1824</v>
      </c>
      <c r="B615" s="23" t="s">
        <v>539</v>
      </c>
      <c r="C615" s="2">
        <f t="shared" si="306"/>
        <v>300000</v>
      </c>
      <c r="D615" s="3">
        <f t="shared" si="318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1">
        <v>0</v>
      </c>
      <c r="L615" s="5">
        <v>0</v>
      </c>
      <c r="M615" s="5">
        <v>0</v>
      </c>
      <c r="N615" s="3">
        <f t="shared" si="321"/>
        <v>0</v>
      </c>
      <c r="O615" s="5">
        <v>0</v>
      </c>
      <c r="P615" s="5">
        <v>0</v>
      </c>
      <c r="Q615" s="5">
        <v>0</v>
      </c>
      <c r="R615" s="3">
        <f t="shared" si="319"/>
        <v>0</v>
      </c>
      <c r="S615" s="5">
        <v>0</v>
      </c>
      <c r="T615" s="5">
        <v>0</v>
      </c>
      <c r="U615" s="5">
        <v>300000</v>
      </c>
      <c r="V615" s="6" t="e">
        <f t="shared" si="320"/>
        <v>#DIV/0!</v>
      </c>
    </row>
    <row r="616" spans="1:22" ht="21.95" customHeight="1" x14ac:dyDescent="0.25">
      <c r="A616" s="37" t="s">
        <v>1825</v>
      </c>
      <c r="B616" s="8" t="s">
        <v>624</v>
      </c>
      <c r="C616" s="2">
        <f t="shared" si="306"/>
        <v>3670149.9999999995</v>
      </c>
      <c r="D616" s="3">
        <f t="shared" si="318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1">
        <v>0</v>
      </c>
      <c r="L616" s="5">
        <v>0</v>
      </c>
      <c r="M616" s="5">
        <v>667.3</v>
      </c>
      <c r="N616" s="3">
        <f t="shared" ref="N616:N623" si="322">M616*5500</f>
        <v>3670149.9999999995</v>
      </c>
      <c r="O616" s="5">
        <v>0</v>
      </c>
      <c r="P616" s="5">
        <v>0</v>
      </c>
      <c r="Q616" s="5">
        <v>0</v>
      </c>
      <c r="R616" s="3">
        <f t="shared" si="319"/>
        <v>0</v>
      </c>
      <c r="S616" s="5">
        <v>0</v>
      </c>
      <c r="T616" s="5">
        <v>0</v>
      </c>
      <c r="U616" s="5">
        <v>0</v>
      </c>
      <c r="V616" s="6">
        <f t="shared" si="320"/>
        <v>5500</v>
      </c>
    </row>
    <row r="617" spans="1:22" ht="21.95" customHeight="1" x14ac:dyDescent="0.25">
      <c r="A617" s="37" t="s">
        <v>1826</v>
      </c>
      <c r="B617" s="8" t="s">
        <v>540</v>
      </c>
      <c r="C617" s="2">
        <f t="shared" si="306"/>
        <v>700000</v>
      </c>
      <c r="D617" s="3">
        <f t="shared" si="318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1">
        <v>0</v>
      </c>
      <c r="L617" s="5">
        <v>0</v>
      </c>
      <c r="M617" s="5">
        <v>0</v>
      </c>
      <c r="N617" s="3">
        <v>0</v>
      </c>
      <c r="O617" s="5">
        <v>0</v>
      </c>
      <c r="P617" s="5">
        <v>0</v>
      </c>
      <c r="Q617" s="5">
        <v>0</v>
      </c>
      <c r="R617" s="3">
        <f t="shared" si="319"/>
        <v>0</v>
      </c>
      <c r="S617" s="5">
        <v>500000</v>
      </c>
      <c r="T617" s="5">
        <v>0</v>
      </c>
      <c r="U617" s="5">
        <v>200000</v>
      </c>
      <c r="V617" s="6" t="e">
        <f t="shared" si="320"/>
        <v>#DIV/0!</v>
      </c>
    </row>
    <row r="618" spans="1:22" ht="21.95" customHeight="1" x14ac:dyDescent="0.25">
      <c r="A618" s="37" t="s">
        <v>1827</v>
      </c>
      <c r="B618" s="8" t="s">
        <v>623</v>
      </c>
      <c r="C618" s="2">
        <f t="shared" si="306"/>
        <v>3668500</v>
      </c>
      <c r="D618" s="3">
        <f t="shared" si="318"/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1">
        <v>0</v>
      </c>
      <c r="L618" s="5">
        <v>0</v>
      </c>
      <c r="M618" s="5">
        <v>667</v>
      </c>
      <c r="N618" s="3">
        <f t="shared" si="322"/>
        <v>3668500</v>
      </c>
      <c r="O618" s="5">
        <v>0</v>
      </c>
      <c r="P618" s="5">
        <v>0</v>
      </c>
      <c r="Q618" s="5">
        <v>0</v>
      </c>
      <c r="R618" s="3">
        <f t="shared" si="319"/>
        <v>0</v>
      </c>
      <c r="S618" s="5">
        <v>0</v>
      </c>
      <c r="T618" s="5">
        <v>0</v>
      </c>
      <c r="U618" s="5">
        <v>0</v>
      </c>
      <c r="V618" s="6">
        <f t="shared" si="320"/>
        <v>5500</v>
      </c>
    </row>
    <row r="619" spans="1:22" ht="21.95" customHeight="1" x14ac:dyDescent="0.25">
      <c r="A619" s="37" t="s">
        <v>1828</v>
      </c>
      <c r="B619" s="8" t="s">
        <v>625</v>
      </c>
      <c r="C619" s="2">
        <f t="shared" si="306"/>
        <v>9881141</v>
      </c>
      <c r="D619" s="3">
        <f t="shared" si="318"/>
        <v>3753091</v>
      </c>
      <c r="E619" s="3">
        <f>350*1597.06</f>
        <v>558971</v>
      </c>
      <c r="F619" s="3">
        <f>1050*1597.06</f>
        <v>1676913</v>
      </c>
      <c r="G619" s="3">
        <f>300*1597.06</f>
        <v>479118</v>
      </c>
      <c r="H619" s="3">
        <f>400*1597.06</f>
        <v>638824</v>
      </c>
      <c r="I619" s="3">
        <f>250*1597.06</f>
        <v>399265</v>
      </c>
      <c r="J619" s="3">
        <v>0</v>
      </c>
      <c r="K619" s="11">
        <v>0</v>
      </c>
      <c r="L619" s="5">
        <v>0</v>
      </c>
      <c r="M619" s="5">
        <v>475.5</v>
      </c>
      <c r="N619" s="3">
        <f t="shared" si="322"/>
        <v>2615250</v>
      </c>
      <c r="O619" s="5">
        <v>0</v>
      </c>
      <c r="P619" s="5">
        <v>0</v>
      </c>
      <c r="Q619" s="5">
        <v>1137.5999999999999</v>
      </c>
      <c r="R619" s="3">
        <f t="shared" si="319"/>
        <v>3412799.9999999995</v>
      </c>
      <c r="S619" s="5">
        <v>0</v>
      </c>
      <c r="T619" s="5">
        <v>0</v>
      </c>
      <c r="U619" s="5">
        <v>100000</v>
      </c>
      <c r="V619" s="6">
        <f t="shared" si="320"/>
        <v>5500</v>
      </c>
    </row>
    <row r="620" spans="1:22" ht="21.95" customHeight="1" x14ac:dyDescent="0.25">
      <c r="A620" s="37" t="s">
        <v>1829</v>
      </c>
      <c r="B620" s="8" t="s">
        <v>541</v>
      </c>
      <c r="C620" s="2">
        <f t="shared" si="306"/>
        <v>1496000</v>
      </c>
      <c r="D620" s="3">
        <f t="shared" si="318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11">
        <v>0</v>
      </c>
      <c r="L620" s="5">
        <v>0</v>
      </c>
      <c r="M620" s="5">
        <v>272</v>
      </c>
      <c r="N620" s="3">
        <f t="shared" si="322"/>
        <v>1496000</v>
      </c>
      <c r="O620" s="5">
        <v>0</v>
      </c>
      <c r="P620" s="5">
        <v>0</v>
      </c>
      <c r="Q620" s="5">
        <v>0</v>
      </c>
      <c r="R620" s="3">
        <f t="shared" si="319"/>
        <v>0</v>
      </c>
      <c r="S620" s="5">
        <v>0</v>
      </c>
      <c r="T620" s="5">
        <v>0</v>
      </c>
      <c r="U620" s="5">
        <v>0</v>
      </c>
      <c r="V620" s="6">
        <f t="shared" si="320"/>
        <v>5500</v>
      </c>
    </row>
    <row r="621" spans="1:22" ht="21.95" customHeight="1" x14ac:dyDescent="0.25">
      <c r="A621" s="37" t="s">
        <v>1830</v>
      </c>
      <c r="B621" s="8" t="s">
        <v>542</v>
      </c>
      <c r="C621" s="2">
        <f t="shared" si="306"/>
        <v>1437315</v>
      </c>
      <c r="D621" s="3">
        <f t="shared" si="318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11">
        <v>0</v>
      </c>
      <c r="L621" s="5">
        <v>0</v>
      </c>
      <c r="M621" s="5">
        <v>261.33</v>
      </c>
      <c r="N621" s="3">
        <v>1437315</v>
      </c>
      <c r="O621" s="5">
        <v>0</v>
      </c>
      <c r="P621" s="5">
        <v>0</v>
      </c>
      <c r="Q621" s="5">
        <v>0</v>
      </c>
      <c r="R621" s="3">
        <f t="shared" si="319"/>
        <v>0</v>
      </c>
      <c r="S621" s="5">
        <v>0</v>
      </c>
      <c r="T621" s="5">
        <v>0</v>
      </c>
      <c r="U621" s="5">
        <v>0</v>
      </c>
      <c r="V621" s="6">
        <f t="shared" si="320"/>
        <v>5500</v>
      </c>
    </row>
    <row r="622" spans="1:22" ht="21.95" customHeight="1" x14ac:dyDescent="0.25">
      <c r="A622" s="37" t="s">
        <v>1831</v>
      </c>
      <c r="B622" s="8" t="s">
        <v>626</v>
      </c>
      <c r="C622" s="2">
        <f t="shared" si="306"/>
        <v>1485000</v>
      </c>
      <c r="D622" s="3">
        <f t="shared" si="318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11">
        <v>0</v>
      </c>
      <c r="L622" s="5">
        <v>0</v>
      </c>
      <c r="M622" s="5">
        <v>270</v>
      </c>
      <c r="N622" s="3">
        <f t="shared" si="322"/>
        <v>1485000</v>
      </c>
      <c r="O622" s="5">
        <v>0</v>
      </c>
      <c r="P622" s="5">
        <v>0</v>
      </c>
      <c r="Q622" s="5">
        <v>0</v>
      </c>
      <c r="R622" s="3">
        <f t="shared" si="319"/>
        <v>0</v>
      </c>
      <c r="S622" s="5">
        <v>0</v>
      </c>
      <c r="T622" s="5">
        <v>0</v>
      </c>
      <c r="U622" s="5">
        <v>0</v>
      </c>
      <c r="V622" s="6">
        <f t="shared" si="320"/>
        <v>5500</v>
      </c>
    </row>
    <row r="623" spans="1:22" ht="21.95" customHeight="1" x14ac:dyDescent="0.25">
      <c r="A623" s="37" t="s">
        <v>1832</v>
      </c>
      <c r="B623" s="8" t="s">
        <v>627</v>
      </c>
      <c r="C623" s="2">
        <f t="shared" si="306"/>
        <v>1479500</v>
      </c>
      <c r="D623" s="3">
        <f t="shared" si="318"/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1">
        <v>0</v>
      </c>
      <c r="L623" s="5">
        <v>0</v>
      </c>
      <c r="M623" s="5">
        <v>269</v>
      </c>
      <c r="N623" s="3">
        <f t="shared" si="322"/>
        <v>1479500</v>
      </c>
      <c r="O623" s="5">
        <v>0</v>
      </c>
      <c r="P623" s="5">
        <v>0</v>
      </c>
      <c r="Q623" s="5">
        <v>0</v>
      </c>
      <c r="R623" s="3">
        <f t="shared" si="319"/>
        <v>0</v>
      </c>
      <c r="S623" s="5">
        <v>0</v>
      </c>
      <c r="T623" s="5">
        <v>0</v>
      </c>
      <c r="U623" s="5">
        <v>0</v>
      </c>
      <c r="V623" s="6">
        <f t="shared" si="320"/>
        <v>5500</v>
      </c>
    </row>
    <row r="624" spans="1:22" ht="21.95" customHeight="1" x14ac:dyDescent="0.25">
      <c r="A624" s="37" t="s">
        <v>1833</v>
      </c>
      <c r="B624" s="8" t="s">
        <v>628</v>
      </c>
      <c r="C624" s="2">
        <f t="shared" si="306"/>
        <v>300000</v>
      </c>
      <c r="D624" s="3">
        <f t="shared" si="318"/>
        <v>0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f>350*0</f>
        <v>0</v>
      </c>
      <c r="K624" s="11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3">
        <f t="shared" si="319"/>
        <v>0</v>
      </c>
      <c r="S624" s="5">
        <v>0</v>
      </c>
      <c r="T624" s="5">
        <v>0</v>
      </c>
      <c r="U624" s="5">
        <v>300000</v>
      </c>
      <c r="V624" s="6" t="e">
        <f t="shared" si="320"/>
        <v>#DIV/0!</v>
      </c>
    </row>
    <row r="625" spans="1:22" ht="21.95" customHeight="1" x14ac:dyDescent="0.25">
      <c r="A625" s="37" t="s">
        <v>1834</v>
      </c>
      <c r="B625" s="8" t="s">
        <v>629</v>
      </c>
      <c r="C625" s="2">
        <f t="shared" si="306"/>
        <v>1584000</v>
      </c>
      <c r="D625" s="3">
        <f t="shared" si="318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1">
        <v>0</v>
      </c>
      <c r="L625" s="5">
        <v>0</v>
      </c>
      <c r="M625" s="5">
        <v>288</v>
      </c>
      <c r="N625" s="3">
        <f t="shared" ref="N625" si="323">M625*5500</f>
        <v>1584000</v>
      </c>
      <c r="O625" s="5">
        <v>0</v>
      </c>
      <c r="P625" s="5">
        <v>0</v>
      </c>
      <c r="Q625" s="5">
        <v>0</v>
      </c>
      <c r="R625" s="3">
        <f t="shared" si="319"/>
        <v>0</v>
      </c>
      <c r="S625" s="5">
        <v>0</v>
      </c>
      <c r="T625" s="5">
        <v>0</v>
      </c>
      <c r="U625" s="5">
        <v>0</v>
      </c>
      <c r="V625" s="6">
        <f t="shared" si="320"/>
        <v>5500</v>
      </c>
    </row>
    <row r="626" spans="1:22" ht="21.95" customHeight="1" x14ac:dyDescent="0.25">
      <c r="A626" s="37" t="s">
        <v>1835</v>
      </c>
      <c r="B626" s="8" t="s">
        <v>630</v>
      </c>
      <c r="C626" s="2">
        <f t="shared" si="306"/>
        <v>1507000</v>
      </c>
      <c r="D626" s="3">
        <f t="shared" si="318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11">
        <v>0</v>
      </c>
      <c r="L626" s="5">
        <v>0</v>
      </c>
      <c r="M626" s="5">
        <v>274</v>
      </c>
      <c r="N626" s="3">
        <f t="shared" ref="N626:N645" si="324">M626*5500</f>
        <v>1507000</v>
      </c>
      <c r="O626" s="5">
        <v>0</v>
      </c>
      <c r="P626" s="5">
        <v>0</v>
      </c>
      <c r="Q626" s="5">
        <v>0</v>
      </c>
      <c r="R626" s="3">
        <f t="shared" si="319"/>
        <v>0</v>
      </c>
      <c r="S626" s="5">
        <v>0</v>
      </c>
      <c r="T626" s="5">
        <v>0</v>
      </c>
      <c r="U626" s="5">
        <v>0</v>
      </c>
      <c r="V626" s="6">
        <f t="shared" si="320"/>
        <v>5500</v>
      </c>
    </row>
    <row r="627" spans="1:22" ht="21.95" customHeight="1" x14ac:dyDescent="0.25">
      <c r="A627" s="37" t="s">
        <v>1836</v>
      </c>
      <c r="B627" s="8" t="s">
        <v>631</v>
      </c>
      <c r="C627" s="2">
        <f t="shared" si="306"/>
        <v>1350249.21</v>
      </c>
      <c r="D627" s="3">
        <f t="shared" si="318"/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11">
        <v>0</v>
      </c>
      <c r="L627" s="5">
        <v>0</v>
      </c>
      <c r="M627" s="5">
        <v>245.5</v>
      </c>
      <c r="N627" s="3">
        <v>1350249.21</v>
      </c>
      <c r="O627" s="5">
        <v>0</v>
      </c>
      <c r="P627" s="5">
        <v>0</v>
      </c>
      <c r="Q627" s="5">
        <v>0</v>
      </c>
      <c r="R627" s="3">
        <f t="shared" si="319"/>
        <v>0</v>
      </c>
      <c r="S627" s="5">
        <v>0</v>
      </c>
      <c r="T627" s="5">
        <v>0</v>
      </c>
      <c r="U627" s="5">
        <v>0</v>
      </c>
      <c r="V627" s="6">
        <f t="shared" si="320"/>
        <v>5499.9967820773927</v>
      </c>
    </row>
    <row r="628" spans="1:22" ht="21.95" customHeight="1" x14ac:dyDescent="0.25">
      <c r="A628" s="37" t="s">
        <v>1837</v>
      </c>
      <c r="B628" s="8" t="s">
        <v>632</v>
      </c>
      <c r="C628" s="2">
        <f t="shared" si="306"/>
        <v>4871380</v>
      </c>
      <c r="D628" s="3">
        <f t="shared" si="318"/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11">
        <v>0</v>
      </c>
      <c r="L628" s="5">
        <v>0</v>
      </c>
      <c r="M628" s="5">
        <v>609.29999999999995</v>
      </c>
      <c r="N628" s="3">
        <f>M628*6600</f>
        <v>4021379.9999999995</v>
      </c>
      <c r="O628" s="5">
        <v>0</v>
      </c>
      <c r="P628" s="5">
        <v>0</v>
      </c>
      <c r="Q628" s="5">
        <v>0</v>
      </c>
      <c r="R628" s="3">
        <f t="shared" si="319"/>
        <v>0</v>
      </c>
      <c r="S628" s="5">
        <v>0</v>
      </c>
      <c r="T628" s="5">
        <v>0</v>
      </c>
      <c r="U628" s="5">
        <v>850000</v>
      </c>
      <c r="V628" s="6">
        <f t="shared" si="320"/>
        <v>6600</v>
      </c>
    </row>
    <row r="629" spans="1:22" ht="21.95" customHeight="1" x14ac:dyDescent="0.25">
      <c r="A629" s="37" t="s">
        <v>1838</v>
      </c>
      <c r="B629" s="24" t="s">
        <v>1034</v>
      </c>
      <c r="C629" s="2">
        <f>D629+L629+N629+P629+R629+S629+T629+U629</f>
        <v>2437730.64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312.19</v>
      </c>
      <c r="N629" s="3">
        <f>M629*6600</f>
        <v>2060454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377276.64</v>
      </c>
      <c r="V629" s="6">
        <f>N629/M629</f>
        <v>6600</v>
      </c>
    </row>
    <row r="630" spans="1:22" ht="21.95" customHeight="1" x14ac:dyDescent="0.25">
      <c r="A630" s="37" t="s">
        <v>1839</v>
      </c>
      <c r="B630" s="8" t="s">
        <v>633</v>
      </c>
      <c r="C630" s="2">
        <f t="shared" si="306"/>
        <v>1581247.96</v>
      </c>
      <c r="D630" s="3">
        <f t="shared" si="318"/>
        <v>0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11">
        <v>0</v>
      </c>
      <c r="L630" s="5">
        <v>0</v>
      </c>
      <c r="M630" s="5">
        <v>287.5</v>
      </c>
      <c r="N630" s="3">
        <v>1581247.96</v>
      </c>
      <c r="O630" s="5">
        <v>0</v>
      </c>
      <c r="P630" s="5">
        <v>0</v>
      </c>
      <c r="Q630" s="5">
        <v>0</v>
      </c>
      <c r="R630" s="3">
        <f t="shared" si="319"/>
        <v>0</v>
      </c>
      <c r="S630" s="5">
        <v>0</v>
      </c>
      <c r="T630" s="5">
        <v>0</v>
      </c>
      <c r="U630" s="5">
        <v>0</v>
      </c>
      <c r="V630" s="6">
        <f t="shared" si="320"/>
        <v>5499.992904347826</v>
      </c>
    </row>
    <row r="631" spans="1:22" ht="21.95" customHeight="1" x14ac:dyDescent="0.25">
      <c r="A631" s="37" t="s">
        <v>1840</v>
      </c>
      <c r="B631" s="8" t="s">
        <v>543</v>
      </c>
      <c r="C631" s="2">
        <f t="shared" si="306"/>
        <v>1699500</v>
      </c>
      <c r="D631" s="3">
        <f t="shared" si="318"/>
        <v>0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11">
        <v>0</v>
      </c>
      <c r="L631" s="5">
        <v>0</v>
      </c>
      <c r="M631" s="5">
        <v>309</v>
      </c>
      <c r="N631" s="3">
        <f t="shared" si="324"/>
        <v>1699500</v>
      </c>
      <c r="O631" s="5">
        <v>0</v>
      </c>
      <c r="P631" s="5">
        <v>0</v>
      </c>
      <c r="Q631" s="5">
        <v>0</v>
      </c>
      <c r="R631" s="3">
        <f t="shared" si="319"/>
        <v>0</v>
      </c>
      <c r="S631" s="5">
        <v>0</v>
      </c>
      <c r="T631" s="5">
        <v>0</v>
      </c>
      <c r="U631" s="5">
        <v>0</v>
      </c>
      <c r="V631" s="6">
        <f t="shared" si="320"/>
        <v>5500</v>
      </c>
    </row>
    <row r="632" spans="1:22" ht="21.95" customHeight="1" x14ac:dyDescent="0.25">
      <c r="A632" s="37" t="s">
        <v>1841</v>
      </c>
      <c r="B632" s="8" t="s">
        <v>634</v>
      </c>
      <c r="C632" s="2">
        <f t="shared" si="306"/>
        <v>1628000</v>
      </c>
      <c r="D632" s="3">
        <f t="shared" si="318"/>
        <v>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11">
        <v>0</v>
      </c>
      <c r="L632" s="5">
        <v>0</v>
      </c>
      <c r="M632" s="5">
        <v>296</v>
      </c>
      <c r="N632" s="3">
        <f t="shared" si="324"/>
        <v>1628000</v>
      </c>
      <c r="O632" s="5">
        <v>0</v>
      </c>
      <c r="P632" s="5">
        <v>0</v>
      </c>
      <c r="Q632" s="5">
        <v>0</v>
      </c>
      <c r="R632" s="3">
        <f t="shared" si="319"/>
        <v>0</v>
      </c>
      <c r="S632" s="5">
        <v>0</v>
      </c>
      <c r="T632" s="5">
        <v>0</v>
      </c>
      <c r="U632" s="5">
        <v>0</v>
      </c>
      <c r="V632" s="6">
        <f t="shared" si="320"/>
        <v>5500</v>
      </c>
    </row>
    <row r="633" spans="1:22" ht="21.95" customHeight="1" x14ac:dyDescent="0.25">
      <c r="A633" s="37" t="s">
        <v>1842</v>
      </c>
      <c r="B633" s="8" t="s">
        <v>635</v>
      </c>
      <c r="C633" s="2">
        <f t="shared" si="306"/>
        <v>1435500</v>
      </c>
      <c r="D633" s="3">
        <f t="shared" si="318"/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11">
        <v>0</v>
      </c>
      <c r="L633" s="5">
        <v>0</v>
      </c>
      <c r="M633" s="5">
        <v>261</v>
      </c>
      <c r="N633" s="3">
        <f t="shared" si="324"/>
        <v>1435500</v>
      </c>
      <c r="O633" s="5">
        <v>0</v>
      </c>
      <c r="P633" s="5">
        <v>0</v>
      </c>
      <c r="Q633" s="5">
        <v>0</v>
      </c>
      <c r="R633" s="3">
        <f t="shared" si="319"/>
        <v>0</v>
      </c>
      <c r="S633" s="5">
        <v>0</v>
      </c>
      <c r="T633" s="5">
        <v>0</v>
      </c>
      <c r="U633" s="5">
        <v>0</v>
      </c>
      <c r="V633" s="6">
        <f t="shared" si="320"/>
        <v>5500</v>
      </c>
    </row>
    <row r="634" spans="1:22" ht="21.95" customHeight="1" x14ac:dyDescent="0.25">
      <c r="A634" s="37" t="s">
        <v>1843</v>
      </c>
      <c r="B634" s="8" t="s">
        <v>449</v>
      </c>
      <c r="C634" s="2">
        <f t="shared" si="306"/>
        <v>3207817.2</v>
      </c>
      <c r="D634" s="3">
        <f t="shared" ref="D634" si="325">SUM(E634:J634)</f>
        <v>0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745</v>
      </c>
      <c r="N634" s="3">
        <v>3207817.2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6">
        <f t="shared" si="320"/>
        <v>4305.7948993288592</v>
      </c>
    </row>
    <row r="635" spans="1:22" ht="21.95" customHeight="1" x14ac:dyDescent="0.25">
      <c r="A635" s="37" t="s">
        <v>1844</v>
      </c>
      <c r="B635" s="24" t="s">
        <v>1044</v>
      </c>
      <c r="C635" s="2">
        <f>D635+L635+N635+P635+R635+S635+T635+U635</f>
        <v>4888449.2</v>
      </c>
      <c r="D635" s="3">
        <f>SUM(E635:J635)</f>
        <v>0</v>
      </c>
      <c r="E635" s="3">
        <v>0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4">
        <v>0</v>
      </c>
      <c r="L635" s="3">
        <v>0</v>
      </c>
      <c r="M635" s="3">
        <v>690</v>
      </c>
      <c r="N635" s="3">
        <f>M635*6600</f>
        <v>4554000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334449.2</v>
      </c>
      <c r="V635" s="6">
        <f>N635/M635</f>
        <v>6600</v>
      </c>
    </row>
    <row r="636" spans="1:22" ht="21.95" customHeight="1" x14ac:dyDescent="0.25">
      <c r="A636" s="37" t="s">
        <v>1845</v>
      </c>
      <c r="B636" s="8" t="s">
        <v>638</v>
      </c>
      <c r="C636" s="2">
        <f>D636+L636+N636+P636+R636+S636+T636+U636</f>
        <v>3771899.9999999995</v>
      </c>
      <c r="D636" s="3">
        <f>SUM(E636:J636)</f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11">
        <v>0</v>
      </c>
      <c r="L636" s="5">
        <v>0</v>
      </c>
      <c r="M636" s="5">
        <v>685.8</v>
      </c>
      <c r="N636" s="3">
        <f>M636*5500</f>
        <v>3771899.9999999995</v>
      </c>
      <c r="O636" s="5">
        <v>0</v>
      </c>
      <c r="P636" s="5">
        <v>0</v>
      </c>
      <c r="Q636" s="5">
        <v>0</v>
      </c>
      <c r="R636" s="3">
        <f>Q636*3000</f>
        <v>0</v>
      </c>
      <c r="S636" s="5">
        <v>0</v>
      </c>
      <c r="T636" s="5">
        <v>0</v>
      </c>
      <c r="U636" s="5">
        <v>0</v>
      </c>
      <c r="V636" s="6">
        <f>N636/M636</f>
        <v>5500</v>
      </c>
    </row>
    <row r="637" spans="1:22" ht="21.95" customHeight="1" x14ac:dyDescent="0.25">
      <c r="A637" s="37" t="s">
        <v>1846</v>
      </c>
      <c r="B637" s="8" t="s">
        <v>636</v>
      </c>
      <c r="C637" s="2">
        <f t="shared" si="306"/>
        <v>1575199.9999999998</v>
      </c>
      <c r="D637" s="3">
        <f t="shared" si="318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11">
        <v>0</v>
      </c>
      <c r="L637" s="5">
        <v>0</v>
      </c>
      <c r="M637" s="5">
        <v>286.39999999999998</v>
      </c>
      <c r="N637" s="3">
        <f t="shared" si="324"/>
        <v>1575199.9999999998</v>
      </c>
      <c r="O637" s="5">
        <v>0</v>
      </c>
      <c r="P637" s="5">
        <v>0</v>
      </c>
      <c r="Q637" s="5">
        <v>0</v>
      </c>
      <c r="R637" s="3">
        <f t="shared" si="319"/>
        <v>0</v>
      </c>
      <c r="S637" s="5">
        <v>0</v>
      </c>
      <c r="T637" s="5">
        <v>0</v>
      </c>
      <c r="U637" s="5">
        <v>0</v>
      </c>
      <c r="V637" s="6">
        <f t="shared" si="320"/>
        <v>5500</v>
      </c>
    </row>
    <row r="638" spans="1:22" ht="21.95" customHeight="1" x14ac:dyDescent="0.25">
      <c r="A638" s="37" t="s">
        <v>1847</v>
      </c>
      <c r="B638" s="8" t="s">
        <v>637</v>
      </c>
      <c r="C638" s="2">
        <f t="shared" si="306"/>
        <v>2882000</v>
      </c>
      <c r="D638" s="3">
        <f t="shared" si="318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11">
        <v>0</v>
      </c>
      <c r="L638" s="5">
        <v>0</v>
      </c>
      <c r="M638" s="5">
        <v>524</v>
      </c>
      <c r="N638" s="3">
        <f t="shared" si="324"/>
        <v>2882000</v>
      </c>
      <c r="O638" s="5">
        <v>0</v>
      </c>
      <c r="P638" s="5">
        <v>0</v>
      </c>
      <c r="Q638" s="5">
        <v>0</v>
      </c>
      <c r="R638" s="3">
        <f t="shared" si="319"/>
        <v>0</v>
      </c>
      <c r="S638" s="5">
        <v>0</v>
      </c>
      <c r="T638" s="5">
        <v>0</v>
      </c>
      <c r="U638" s="5">
        <v>0</v>
      </c>
      <c r="V638" s="6">
        <f t="shared" si="320"/>
        <v>5500</v>
      </c>
    </row>
    <row r="639" spans="1:22" ht="21.95" customHeight="1" x14ac:dyDescent="0.25">
      <c r="A639" s="37" t="s">
        <v>1848</v>
      </c>
      <c r="B639" s="8" t="s">
        <v>544</v>
      </c>
      <c r="C639" s="2">
        <f t="shared" si="306"/>
        <v>1949750</v>
      </c>
      <c r="D639" s="3">
        <f t="shared" si="318"/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11">
        <v>0</v>
      </c>
      <c r="L639" s="5">
        <v>0</v>
      </c>
      <c r="M639" s="5">
        <v>354.5</v>
      </c>
      <c r="N639" s="3">
        <f t="shared" si="324"/>
        <v>1949750</v>
      </c>
      <c r="O639" s="5">
        <v>0</v>
      </c>
      <c r="P639" s="5">
        <v>0</v>
      </c>
      <c r="Q639" s="5">
        <v>0</v>
      </c>
      <c r="R639" s="3">
        <f t="shared" si="319"/>
        <v>0</v>
      </c>
      <c r="S639" s="5">
        <v>0</v>
      </c>
      <c r="T639" s="5">
        <v>0</v>
      </c>
      <c r="U639" s="5">
        <v>0</v>
      </c>
      <c r="V639" s="6">
        <f t="shared" si="320"/>
        <v>5500</v>
      </c>
    </row>
    <row r="640" spans="1:22" ht="21.95" customHeight="1" x14ac:dyDescent="0.25">
      <c r="A640" s="37" t="s">
        <v>1849</v>
      </c>
      <c r="B640" s="8" t="s">
        <v>639</v>
      </c>
      <c r="C640" s="2">
        <f t="shared" si="306"/>
        <v>3410000</v>
      </c>
      <c r="D640" s="3">
        <f t="shared" si="318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11">
        <v>0</v>
      </c>
      <c r="L640" s="5">
        <v>0</v>
      </c>
      <c r="M640" s="5">
        <v>620</v>
      </c>
      <c r="N640" s="3">
        <f t="shared" si="324"/>
        <v>3410000</v>
      </c>
      <c r="O640" s="5">
        <v>0</v>
      </c>
      <c r="P640" s="5">
        <v>0</v>
      </c>
      <c r="Q640" s="5">
        <v>0</v>
      </c>
      <c r="R640" s="3">
        <f t="shared" si="319"/>
        <v>0</v>
      </c>
      <c r="S640" s="5">
        <v>0</v>
      </c>
      <c r="T640" s="5">
        <v>0</v>
      </c>
      <c r="U640" s="5">
        <v>0</v>
      </c>
      <c r="V640" s="6">
        <f t="shared" si="320"/>
        <v>5500</v>
      </c>
    </row>
    <row r="641" spans="1:22" ht="21.95" customHeight="1" x14ac:dyDescent="0.25">
      <c r="A641" s="37" t="s">
        <v>1850</v>
      </c>
      <c r="B641" s="8" t="s">
        <v>640</v>
      </c>
      <c r="C641" s="2">
        <f t="shared" si="306"/>
        <v>300000</v>
      </c>
      <c r="D641" s="3">
        <f t="shared" si="318"/>
        <v>0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11">
        <v>0</v>
      </c>
      <c r="L641" s="5">
        <v>0</v>
      </c>
      <c r="M641" s="5">
        <v>0</v>
      </c>
      <c r="N641" s="3">
        <f t="shared" si="324"/>
        <v>0</v>
      </c>
      <c r="O641" s="5">
        <v>0</v>
      </c>
      <c r="P641" s="5">
        <v>0</v>
      </c>
      <c r="Q641" s="5">
        <v>0</v>
      </c>
      <c r="R641" s="3">
        <f t="shared" si="319"/>
        <v>0</v>
      </c>
      <c r="S641" s="5">
        <v>0</v>
      </c>
      <c r="T641" s="5">
        <v>0</v>
      </c>
      <c r="U641" s="5">
        <v>300000</v>
      </c>
      <c r="V641" s="6" t="e">
        <f t="shared" si="320"/>
        <v>#DIV/0!</v>
      </c>
    </row>
    <row r="642" spans="1:22" ht="21.95" customHeight="1" x14ac:dyDescent="0.25">
      <c r="A642" s="37" t="s">
        <v>1851</v>
      </c>
      <c r="B642" s="8" t="s">
        <v>430</v>
      </c>
      <c r="C642" s="2">
        <f t="shared" si="306"/>
        <v>5952150</v>
      </c>
      <c r="D642" s="3">
        <f t="shared" si="318"/>
        <v>1112150</v>
      </c>
      <c r="E642" s="3">
        <f>350*855.5</f>
        <v>299425</v>
      </c>
      <c r="F642" s="3">
        <v>0</v>
      </c>
      <c r="G642" s="3">
        <f>300*855.5</f>
        <v>256650</v>
      </c>
      <c r="H642" s="3">
        <f>400*855.5</f>
        <v>342200</v>
      </c>
      <c r="I642" s="3">
        <f>250*855.5</f>
        <v>213875</v>
      </c>
      <c r="J642" s="3">
        <v>0</v>
      </c>
      <c r="K642" s="4">
        <v>0</v>
      </c>
      <c r="L642" s="3">
        <v>0</v>
      </c>
      <c r="M642" s="3">
        <v>480</v>
      </c>
      <c r="N642" s="3">
        <f t="shared" si="324"/>
        <v>2640000</v>
      </c>
      <c r="O642" s="3">
        <v>0</v>
      </c>
      <c r="P642" s="3">
        <v>0</v>
      </c>
      <c r="Q642" s="3">
        <v>700</v>
      </c>
      <c r="R642" s="3">
        <f t="shared" si="319"/>
        <v>2100000</v>
      </c>
      <c r="S642" s="3">
        <v>0</v>
      </c>
      <c r="T642" s="5">
        <v>0</v>
      </c>
      <c r="U642" s="3">
        <v>100000</v>
      </c>
      <c r="V642" s="6">
        <f t="shared" si="320"/>
        <v>5500</v>
      </c>
    </row>
    <row r="643" spans="1:22" ht="21.95" customHeight="1" x14ac:dyDescent="0.25">
      <c r="A643" s="37" t="s">
        <v>1852</v>
      </c>
      <c r="B643" s="8" t="s">
        <v>545</v>
      </c>
      <c r="C643" s="2">
        <f t="shared" si="306"/>
        <v>3080000</v>
      </c>
      <c r="D643" s="3">
        <f t="shared" si="318"/>
        <v>0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11">
        <v>0</v>
      </c>
      <c r="L643" s="5">
        <v>0</v>
      </c>
      <c r="M643" s="5">
        <v>560</v>
      </c>
      <c r="N643" s="3">
        <f t="shared" si="324"/>
        <v>3080000</v>
      </c>
      <c r="O643" s="5">
        <v>0</v>
      </c>
      <c r="P643" s="5">
        <v>0</v>
      </c>
      <c r="Q643" s="5">
        <v>0</v>
      </c>
      <c r="R643" s="3">
        <f t="shared" si="319"/>
        <v>0</v>
      </c>
      <c r="S643" s="5">
        <v>0</v>
      </c>
      <c r="T643" s="5">
        <v>0</v>
      </c>
      <c r="U643" s="5">
        <v>0</v>
      </c>
      <c r="V643" s="6">
        <f t="shared" si="320"/>
        <v>5500</v>
      </c>
    </row>
    <row r="644" spans="1:22" ht="21.95" customHeight="1" x14ac:dyDescent="0.25">
      <c r="A644" s="37" t="s">
        <v>1853</v>
      </c>
      <c r="B644" s="23" t="s">
        <v>546</v>
      </c>
      <c r="C644" s="2">
        <f t="shared" ref="C644:C713" si="326">D644+L644+N644+P644+R644+S644+T644+U644</f>
        <v>4418700</v>
      </c>
      <c r="D644" s="3">
        <f t="shared" si="318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11">
        <v>0</v>
      </c>
      <c r="L644" s="5">
        <v>0</v>
      </c>
      <c r="M644" s="5">
        <v>803.4</v>
      </c>
      <c r="N644" s="3">
        <f t="shared" si="324"/>
        <v>4418700</v>
      </c>
      <c r="O644" s="5">
        <v>0</v>
      </c>
      <c r="P644" s="5">
        <v>0</v>
      </c>
      <c r="Q644" s="5">
        <v>0</v>
      </c>
      <c r="R644" s="3">
        <f t="shared" si="319"/>
        <v>0</v>
      </c>
      <c r="S644" s="5">
        <v>0</v>
      </c>
      <c r="T644" s="5">
        <v>0</v>
      </c>
      <c r="U644" s="5">
        <v>0</v>
      </c>
      <c r="V644" s="6">
        <f t="shared" si="320"/>
        <v>5500</v>
      </c>
    </row>
    <row r="645" spans="1:22" ht="21.95" customHeight="1" x14ac:dyDescent="0.25">
      <c r="A645" s="37" t="s">
        <v>1854</v>
      </c>
      <c r="B645" s="23" t="s">
        <v>547</v>
      </c>
      <c r="C645" s="2">
        <f t="shared" si="326"/>
        <v>4512200</v>
      </c>
      <c r="D645" s="3">
        <f t="shared" si="318"/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11">
        <v>0</v>
      </c>
      <c r="L645" s="5">
        <v>0</v>
      </c>
      <c r="M645" s="5">
        <v>820.4</v>
      </c>
      <c r="N645" s="3">
        <f t="shared" si="324"/>
        <v>4512200</v>
      </c>
      <c r="O645" s="5">
        <v>0</v>
      </c>
      <c r="P645" s="5">
        <v>0</v>
      </c>
      <c r="Q645" s="5">
        <v>0</v>
      </c>
      <c r="R645" s="3">
        <f t="shared" si="319"/>
        <v>0</v>
      </c>
      <c r="S645" s="5">
        <v>0</v>
      </c>
      <c r="T645" s="5">
        <v>0</v>
      </c>
      <c r="U645" s="5">
        <v>0</v>
      </c>
      <c r="V645" s="6">
        <f t="shared" si="320"/>
        <v>5500</v>
      </c>
    </row>
    <row r="646" spans="1:22" ht="21.95" customHeight="1" x14ac:dyDescent="0.25">
      <c r="A646" s="37" t="s">
        <v>1855</v>
      </c>
      <c r="B646" s="24" t="s">
        <v>1045</v>
      </c>
      <c r="C646" s="2">
        <f t="shared" ref="C646:C651" si="327">D646+L646+N646+P646+R646+S646+T646+U646</f>
        <v>17241194.879999999</v>
      </c>
      <c r="D646" s="3">
        <f t="shared" ref="D646:D651" si="328">SUM(E646:J646)</f>
        <v>0</v>
      </c>
      <c r="E646" s="3">
        <v>0</v>
      </c>
      <c r="F646" s="3">
        <v>0</v>
      </c>
      <c r="G646" s="3">
        <v>0</v>
      </c>
      <c r="H646" s="3">
        <v>0</v>
      </c>
      <c r="I646" s="3">
        <v>0</v>
      </c>
      <c r="J646" s="3">
        <v>0</v>
      </c>
      <c r="K646" s="4">
        <v>0</v>
      </c>
      <c r="L646" s="3">
        <v>0</v>
      </c>
      <c r="M646" s="3">
        <v>1081</v>
      </c>
      <c r="N646" s="3">
        <f>M646*6600</f>
        <v>7134600</v>
      </c>
      <c r="O646" s="3">
        <v>0</v>
      </c>
      <c r="P646" s="3">
        <v>0</v>
      </c>
      <c r="Q646" s="3">
        <v>2900</v>
      </c>
      <c r="R646" s="3">
        <f>Q646*3200</f>
        <v>9280000</v>
      </c>
      <c r="S646" s="3">
        <v>0</v>
      </c>
      <c r="T646" s="3">
        <v>0</v>
      </c>
      <c r="U646" s="3">
        <v>826594.88</v>
      </c>
      <c r="V646" s="6">
        <f t="shared" ref="V646:V651" si="329">N646/M646</f>
        <v>6600</v>
      </c>
    </row>
    <row r="647" spans="1:22" ht="21.95" customHeight="1" x14ac:dyDescent="0.25">
      <c r="A647" s="37" t="s">
        <v>1856</v>
      </c>
      <c r="B647" s="8" t="s">
        <v>381</v>
      </c>
      <c r="C647" s="2">
        <f t="shared" si="327"/>
        <v>25418544.739999998</v>
      </c>
      <c r="D647" s="3">
        <f t="shared" si="328"/>
        <v>6196500</v>
      </c>
      <c r="E647" s="3">
        <f>700*3645</f>
        <v>2551500</v>
      </c>
      <c r="F647" s="3">
        <v>0</v>
      </c>
      <c r="G647" s="3">
        <f>300*3645</f>
        <v>1093500</v>
      </c>
      <c r="H647" s="3">
        <f>400*3645</f>
        <v>1458000</v>
      </c>
      <c r="I647" s="3">
        <f>300*3645</f>
        <v>1093500</v>
      </c>
      <c r="J647" s="3">
        <f>350*0</f>
        <v>0</v>
      </c>
      <c r="K647" s="4">
        <v>0</v>
      </c>
      <c r="L647" s="3">
        <v>0</v>
      </c>
      <c r="M647" s="3">
        <v>1296</v>
      </c>
      <c r="N647" s="3">
        <f>M647*6600</f>
        <v>8553600</v>
      </c>
      <c r="O647" s="3">
        <v>0</v>
      </c>
      <c r="P647" s="3">
        <v>0</v>
      </c>
      <c r="Q647" s="3">
        <v>3020</v>
      </c>
      <c r="R647" s="3">
        <f>Q647*3200</f>
        <v>9664000</v>
      </c>
      <c r="S647" s="3">
        <v>0</v>
      </c>
      <c r="T647" s="3">
        <v>0</v>
      </c>
      <c r="U647" s="3">
        <v>1004444.74</v>
      </c>
      <c r="V647" s="6">
        <f t="shared" si="329"/>
        <v>6600</v>
      </c>
    </row>
    <row r="648" spans="1:22" ht="21.95" customHeight="1" x14ac:dyDescent="0.25">
      <c r="A648" s="37" t="s">
        <v>1857</v>
      </c>
      <c r="B648" s="24" t="s">
        <v>1046</v>
      </c>
      <c r="C648" s="2">
        <f t="shared" si="327"/>
        <v>11943825.199999999</v>
      </c>
      <c r="D648" s="3">
        <f t="shared" si="328"/>
        <v>0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4">
        <v>0</v>
      </c>
      <c r="L648" s="3">
        <v>0</v>
      </c>
      <c r="M648" s="3">
        <v>637</v>
      </c>
      <c r="N648" s="3">
        <f>M648*6600</f>
        <v>4204200</v>
      </c>
      <c r="O648" s="3">
        <v>0</v>
      </c>
      <c r="P648" s="3">
        <v>0</v>
      </c>
      <c r="Q648" s="3">
        <v>2200</v>
      </c>
      <c r="R648" s="3">
        <f>Q648*3200</f>
        <v>7040000</v>
      </c>
      <c r="S648" s="3">
        <v>0</v>
      </c>
      <c r="T648" s="3">
        <v>0</v>
      </c>
      <c r="U648" s="3">
        <v>699625.2</v>
      </c>
      <c r="V648" s="6">
        <f t="shared" si="329"/>
        <v>6600</v>
      </c>
    </row>
    <row r="649" spans="1:22" ht="21.95" customHeight="1" x14ac:dyDescent="0.25">
      <c r="A649" s="37" t="s">
        <v>1858</v>
      </c>
      <c r="B649" s="8" t="s">
        <v>388</v>
      </c>
      <c r="C649" s="2">
        <f t="shared" si="327"/>
        <v>9328900</v>
      </c>
      <c r="D649" s="3">
        <f t="shared" si="328"/>
        <v>8478900</v>
      </c>
      <c r="E649" s="3">
        <f>700*2826.3</f>
        <v>1978410.0000000002</v>
      </c>
      <c r="F649" s="3">
        <f>1300*2826.3</f>
        <v>3674190.0000000005</v>
      </c>
      <c r="G649" s="3">
        <f>300*2826.3</f>
        <v>847890</v>
      </c>
      <c r="H649" s="3">
        <f>400*2826.3</f>
        <v>1130520</v>
      </c>
      <c r="I649" s="3">
        <f>300*2826.3</f>
        <v>847890</v>
      </c>
      <c r="J649" s="3">
        <f>350*0</f>
        <v>0</v>
      </c>
      <c r="K649" s="4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850000</v>
      </c>
      <c r="V649" s="6" t="e">
        <f t="shared" si="329"/>
        <v>#DIV/0!</v>
      </c>
    </row>
    <row r="650" spans="1:22" ht="21.95" customHeight="1" x14ac:dyDescent="0.25">
      <c r="A650" s="37" t="s">
        <v>1859</v>
      </c>
      <c r="B650" s="8" t="s">
        <v>451</v>
      </c>
      <c r="C650" s="2">
        <f t="shared" si="327"/>
        <v>16148800.000000002</v>
      </c>
      <c r="D650" s="3">
        <f t="shared" si="328"/>
        <v>15298800.000000002</v>
      </c>
      <c r="E650" s="3">
        <f>700*5099.6</f>
        <v>3569720.0000000005</v>
      </c>
      <c r="F650" s="3">
        <f>1300*5099.6</f>
        <v>6629480.0000000009</v>
      </c>
      <c r="G650" s="3">
        <f>300*5099.6</f>
        <v>1529880</v>
      </c>
      <c r="H650" s="3">
        <f>400*5099.6</f>
        <v>2039840.0000000002</v>
      </c>
      <c r="I650" s="3">
        <f>300*5099.6</f>
        <v>1529880</v>
      </c>
      <c r="J650" s="3">
        <f>350*0</f>
        <v>0</v>
      </c>
      <c r="K650" s="4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850000</v>
      </c>
      <c r="V650" s="6" t="e">
        <f t="shared" si="329"/>
        <v>#DIV/0!</v>
      </c>
    </row>
    <row r="651" spans="1:22" ht="21.95" customHeight="1" x14ac:dyDescent="0.25">
      <c r="A651" s="37" t="s">
        <v>1860</v>
      </c>
      <c r="B651" s="8" t="s">
        <v>399</v>
      </c>
      <c r="C651" s="2">
        <f t="shared" si="327"/>
        <v>2242614.54</v>
      </c>
      <c r="D651" s="3">
        <f t="shared" si="328"/>
        <v>2242614.54</v>
      </c>
      <c r="E651" s="3">
        <v>520846.5</v>
      </c>
      <c r="F651" s="3">
        <v>1069624.2</v>
      </c>
      <c r="G651" s="3">
        <v>296593.74</v>
      </c>
      <c r="H651" s="3">
        <v>0</v>
      </c>
      <c r="I651" s="3">
        <v>355550.1</v>
      </c>
      <c r="J651" s="3">
        <f>350*0</f>
        <v>0</v>
      </c>
      <c r="K651" s="4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6" t="e">
        <f t="shared" si="329"/>
        <v>#DIV/0!</v>
      </c>
    </row>
    <row r="652" spans="1:22" ht="21.95" customHeight="1" x14ac:dyDescent="0.25">
      <c r="A652" s="37" t="s">
        <v>1861</v>
      </c>
      <c r="B652" s="8" t="s">
        <v>548</v>
      </c>
      <c r="C652" s="2">
        <f t="shared" si="326"/>
        <v>19305508.32</v>
      </c>
      <c r="D652" s="3">
        <f t="shared" si="318"/>
        <v>9942850</v>
      </c>
      <c r="E652" s="3">
        <f>350*4231</f>
        <v>1480850</v>
      </c>
      <c r="F652" s="3">
        <f>1050*4231</f>
        <v>4442550</v>
      </c>
      <c r="G652" s="3">
        <f>300*4231</f>
        <v>1269300</v>
      </c>
      <c r="H652" s="3">
        <f>400*4231</f>
        <v>1692400</v>
      </c>
      <c r="I652" s="3">
        <f>250*4231</f>
        <v>1057750</v>
      </c>
      <c r="J652" s="3">
        <v>0</v>
      </c>
      <c r="K652" s="11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3020</v>
      </c>
      <c r="R652" s="3">
        <f t="shared" si="319"/>
        <v>9060000</v>
      </c>
      <c r="S652" s="5">
        <v>0</v>
      </c>
      <c r="T652" s="5">
        <v>0</v>
      </c>
      <c r="U652" s="5">
        <v>302658.32</v>
      </c>
      <c r="V652" s="6" t="e">
        <f t="shared" si="320"/>
        <v>#DIV/0!</v>
      </c>
    </row>
    <row r="653" spans="1:22" ht="21.95" customHeight="1" x14ac:dyDescent="0.25">
      <c r="A653" s="37" t="s">
        <v>1862</v>
      </c>
      <c r="B653" s="8" t="s">
        <v>452</v>
      </c>
      <c r="C653" s="2">
        <f t="shared" si="326"/>
        <v>750416.4</v>
      </c>
      <c r="D653" s="3">
        <f t="shared" ref="D653" si="330">SUM(E653:J653)</f>
        <v>750416.4</v>
      </c>
      <c r="E653" s="3">
        <v>750416.4</v>
      </c>
      <c r="F653" s="3">
        <v>0</v>
      </c>
      <c r="G653" s="3">
        <v>0</v>
      </c>
      <c r="H653" s="3">
        <v>0</v>
      </c>
      <c r="I653" s="3">
        <v>0</v>
      </c>
      <c r="J653" s="3">
        <f>350*0</f>
        <v>0</v>
      </c>
      <c r="K653" s="4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6" t="e">
        <f t="shared" si="320"/>
        <v>#DIV/0!</v>
      </c>
    </row>
    <row r="654" spans="1:22" ht="21.95" customHeight="1" x14ac:dyDescent="0.25">
      <c r="A654" s="37" t="s">
        <v>1863</v>
      </c>
      <c r="B654" s="8" t="s">
        <v>375</v>
      </c>
      <c r="C654" s="2">
        <f>D654+L654+N654+P654+R654+S654+T654+U654</f>
        <v>4023750</v>
      </c>
      <c r="D654" s="3">
        <f>SUM(E654:J654)</f>
        <v>0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4">
        <v>0</v>
      </c>
      <c r="L654" s="3">
        <v>0</v>
      </c>
      <c r="M654" s="3">
        <v>622.5</v>
      </c>
      <c r="N654" s="3">
        <f>M654*5500</f>
        <v>3423750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600000</v>
      </c>
      <c r="V654" s="6">
        <f>N654/M654</f>
        <v>5500</v>
      </c>
    </row>
    <row r="655" spans="1:22" ht="21.95" customHeight="1" x14ac:dyDescent="0.25">
      <c r="A655" s="37" t="s">
        <v>1864</v>
      </c>
      <c r="B655" s="23" t="s">
        <v>642</v>
      </c>
      <c r="C655" s="2">
        <f>D655+L655+N655+P655+R655+S655+T655+U655</f>
        <v>3853300</v>
      </c>
      <c r="D655" s="3">
        <f>SUM(E655:J655)</f>
        <v>0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11">
        <v>0</v>
      </c>
      <c r="L655" s="5">
        <v>0</v>
      </c>
      <c r="M655" s="5">
        <v>700.6</v>
      </c>
      <c r="N655" s="3">
        <f>M655*5500</f>
        <v>3853300</v>
      </c>
      <c r="O655" s="5">
        <v>0</v>
      </c>
      <c r="P655" s="5">
        <v>0</v>
      </c>
      <c r="Q655" s="5">
        <v>0</v>
      </c>
      <c r="R655" s="3">
        <f>Q655*3000</f>
        <v>0</v>
      </c>
      <c r="S655" s="5">
        <v>0</v>
      </c>
      <c r="T655" s="5">
        <v>0</v>
      </c>
      <c r="U655" s="5">
        <v>0</v>
      </c>
      <c r="V655" s="6">
        <f>N655/M655</f>
        <v>5500</v>
      </c>
    </row>
    <row r="656" spans="1:22" ht="21.95" customHeight="1" x14ac:dyDescent="0.25">
      <c r="A656" s="37" t="s">
        <v>1865</v>
      </c>
      <c r="B656" s="23" t="s">
        <v>641</v>
      </c>
      <c r="C656" s="2">
        <f t="shared" si="326"/>
        <v>4922500</v>
      </c>
      <c r="D656" s="3">
        <f t="shared" si="318"/>
        <v>0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11">
        <v>0</v>
      </c>
      <c r="L656" s="5">
        <v>0</v>
      </c>
      <c r="M656" s="5">
        <v>895</v>
      </c>
      <c r="N656" s="3">
        <f t="shared" ref="N656:N658" si="331">M656*5500</f>
        <v>4922500</v>
      </c>
      <c r="O656" s="5">
        <v>0</v>
      </c>
      <c r="P656" s="5">
        <v>0</v>
      </c>
      <c r="Q656" s="5">
        <v>0</v>
      </c>
      <c r="R656" s="3">
        <f t="shared" si="319"/>
        <v>0</v>
      </c>
      <c r="S656" s="5">
        <v>0</v>
      </c>
      <c r="T656" s="5">
        <v>0</v>
      </c>
      <c r="U656" s="5">
        <v>0</v>
      </c>
      <c r="V656" s="6">
        <f t="shared" si="320"/>
        <v>5500</v>
      </c>
    </row>
    <row r="657" spans="1:22" ht="21.95" customHeight="1" x14ac:dyDescent="0.25">
      <c r="A657" s="37" t="s">
        <v>1866</v>
      </c>
      <c r="B657" s="8" t="s">
        <v>464</v>
      </c>
      <c r="C657" s="2">
        <f t="shared" si="326"/>
        <v>1782000</v>
      </c>
      <c r="D657" s="3">
        <f t="shared" si="318"/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324</v>
      </c>
      <c r="N657" s="3">
        <f t="shared" si="331"/>
        <v>1782000</v>
      </c>
      <c r="O657" s="3">
        <v>0</v>
      </c>
      <c r="P657" s="3">
        <v>0</v>
      </c>
      <c r="Q657" s="3">
        <v>0</v>
      </c>
      <c r="R657" s="3">
        <f t="shared" si="319"/>
        <v>0</v>
      </c>
      <c r="S657" s="3">
        <v>0</v>
      </c>
      <c r="T657" s="5">
        <v>0</v>
      </c>
      <c r="U657" s="3">
        <v>0</v>
      </c>
      <c r="V657" s="6">
        <f t="shared" si="320"/>
        <v>5500</v>
      </c>
    </row>
    <row r="658" spans="1:22" ht="21.95" customHeight="1" x14ac:dyDescent="0.25">
      <c r="A658" s="37" t="s">
        <v>1867</v>
      </c>
      <c r="B658" s="8" t="s">
        <v>400</v>
      </c>
      <c r="C658" s="2">
        <f t="shared" si="326"/>
        <v>4796904</v>
      </c>
      <c r="D658" s="3">
        <f t="shared" si="318"/>
        <v>446904</v>
      </c>
      <c r="E658" s="5">
        <f>350*496.56</f>
        <v>173796</v>
      </c>
      <c r="F658" s="5">
        <v>0</v>
      </c>
      <c r="G658" s="5">
        <f>300*496.56</f>
        <v>148968</v>
      </c>
      <c r="H658" s="5">
        <f>400*0</f>
        <v>0</v>
      </c>
      <c r="I658" s="5">
        <f>250*496.56</f>
        <v>124140</v>
      </c>
      <c r="J658" s="5">
        <f>350*0</f>
        <v>0</v>
      </c>
      <c r="K658" s="4">
        <v>0</v>
      </c>
      <c r="L658" s="3">
        <v>0</v>
      </c>
      <c r="M658" s="3">
        <v>500</v>
      </c>
      <c r="N658" s="3">
        <f t="shared" si="331"/>
        <v>2750000</v>
      </c>
      <c r="O658" s="3">
        <v>0</v>
      </c>
      <c r="P658" s="3">
        <v>0</v>
      </c>
      <c r="Q658" s="3">
        <v>500</v>
      </c>
      <c r="R658" s="3">
        <f t="shared" si="319"/>
        <v>1500000</v>
      </c>
      <c r="S658" s="3">
        <v>0</v>
      </c>
      <c r="T658" s="5">
        <v>0</v>
      </c>
      <c r="U658" s="3">
        <v>100000</v>
      </c>
      <c r="V658" s="6">
        <f t="shared" si="320"/>
        <v>5500</v>
      </c>
    </row>
    <row r="659" spans="1:22" ht="21.95" customHeight="1" x14ac:dyDescent="0.25">
      <c r="A659" s="37" t="s">
        <v>1868</v>
      </c>
      <c r="B659" s="8" t="s">
        <v>643</v>
      </c>
      <c r="C659" s="2">
        <f t="shared" si="326"/>
        <v>3410153.43</v>
      </c>
      <c r="D659" s="3">
        <f t="shared" si="318"/>
        <v>3251695</v>
      </c>
      <c r="E659" s="3">
        <f>350*1383.7</f>
        <v>484295</v>
      </c>
      <c r="F659" s="3">
        <f>1050*1383.7</f>
        <v>1452885</v>
      </c>
      <c r="G659" s="3">
        <f>300*1383.7</f>
        <v>415110</v>
      </c>
      <c r="H659" s="3">
        <f>400*1383.7</f>
        <v>553480</v>
      </c>
      <c r="I659" s="3">
        <f>250*1383.7</f>
        <v>345925</v>
      </c>
      <c r="J659" s="3">
        <v>0</v>
      </c>
      <c r="K659" s="11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3">
        <f t="shared" si="319"/>
        <v>0</v>
      </c>
      <c r="S659" s="5">
        <v>0</v>
      </c>
      <c r="T659" s="5">
        <v>0</v>
      </c>
      <c r="U659" s="5">
        <v>158458.43</v>
      </c>
      <c r="V659" s="6" t="e">
        <f t="shared" si="320"/>
        <v>#DIV/0!</v>
      </c>
    </row>
    <row r="660" spans="1:22" ht="21.95" customHeight="1" x14ac:dyDescent="0.25">
      <c r="A660" s="37" t="s">
        <v>1869</v>
      </c>
      <c r="B660" s="8" t="s">
        <v>549</v>
      </c>
      <c r="C660" s="2">
        <f t="shared" si="326"/>
        <v>6039728.04</v>
      </c>
      <c r="D660" s="3">
        <f t="shared" si="318"/>
        <v>5827342</v>
      </c>
      <c r="E660" s="3">
        <f>350*2479.72</f>
        <v>867901.99999999988</v>
      </c>
      <c r="F660" s="3">
        <f>1050*2479.72</f>
        <v>2603706</v>
      </c>
      <c r="G660" s="3">
        <f>300*2479.72</f>
        <v>743915.99999999988</v>
      </c>
      <c r="H660" s="3">
        <f>400*2479.72</f>
        <v>991887.99999999988</v>
      </c>
      <c r="I660" s="3">
        <f>250*2479.72</f>
        <v>619930</v>
      </c>
      <c r="J660" s="3">
        <v>0</v>
      </c>
      <c r="K660" s="11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3">
        <f t="shared" si="319"/>
        <v>0</v>
      </c>
      <c r="S660" s="5">
        <v>0</v>
      </c>
      <c r="T660" s="5">
        <v>0</v>
      </c>
      <c r="U660" s="5">
        <v>212386.04</v>
      </c>
      <c r="V660" s="6" t="e">
        <f t="shared" si="320"/>
        <v>#DIV/0!</v>
      </c>
    </row>
    <row r="661" spans="1:22" ht="21.95" customHeight="1" x14ac:dyDescent="0.25">
      <c r="A661" s="37" t="s">
        <v>1870</v>
      </c>
      <c r="B661" s="8" t="s">
        <v>644</v>
      </c>
      <c r="C661" s="2">
        <f t="shared" si="326"/>
        <v>2878729.18</v>
      </c>
      <c r="D661" s="3">
        <f t="shared" si="318"/>
        <v>2718495</v>
      </c>
      <c r="E661" s="3">
        <f>350*1394.1</f>
        <v>487934.99999999994</v>
      </c>
      <c r="F661" s="3">
        <f>1050*1394.1</f>
        <v>1463805</v>
      </c>
      <c r="G661" s="3">
        <f>300*1394.1</f>
        <v>418230</v>
      </c>
      <c r="H661" s="3">
        <v>0</v>
      </c>
      <c r="I661" s="3">
        <f>250*1394.1</f>
        <v>348525</v>
      </c>
      <c r="J661" s="3">
        <v>0</v>
      </c>
      <c r="K661" s="11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3">
        <f t="shared" si="319"/>
        <v>0</v>
      </c>
      <c r="S661" s="5">
        <v>0</v>
      </c>
      <c r="T661" s="5">
        <v>0</v>
      </c>
      <c r="U661" s="5">
        <v>160234.18</v>
      </c>
      <c r="V661" s="6" t="e">
        <f t="shared" si="320"/>
        <v>#DIV/0!</v>
      </c>
    </row>
    <row r="662" spans="1:22" ht="21.95" customHeight="1" x14ac:dyDescent="0.25">
      <c r="A662" s="37" t="s">
        <v>1871</v>
      </c>
      <c r="B662" s="8" t="s">
        <v>645</v>
      </c>
      <c r="C662" s="2">
        <f t="shared" si="326"/>
        <v>2871542.15</v>
      </c>
      <c r="D662" s="3">
        <f t="shared" si="318"/>
        <v>2711767.5</v>
      </c>
      <c r="E662" s="3">
        <f>350*1390.65</f>
        <v>486727.50000000006</v>
      </c>
      <c r="F662" s="3">
        <f>1050*1390.65</f>
        <v>1460182.5</v>
      </c>
      <c r="G662" s="3">
        <f>300*1390.65</f>
        <v>417195</v>
      </c>
      <c r="H662" s="3">
        <v>0</v>
      </c>
      <c r="I662" s="3">
        <f>250*1390.65</f>
        <v>347662.5</v>
      </c>
      <c r="J662" s="3">
        <v>0</v>
      </c>
      <c r="K662" s="11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3">
        <f t="shared" si="319"/>
        <v>0</v>
      </c>
      <c r="S662" s="5">
        <v>0</v>
      </c>
      <c r="T662" s="5">
        <v>0</v>
      </c>
      <c r="U662" s="5">
        <v>159774.65</v>
      </c>
      <c r="V662" s="6" t="e">
        <f t="shared" si="320"/>
        <v>#DIV/0!</v>
      </c>
    </row>
    <row r="663" spans="1:22" ht="21.95" customHeight="1" x14ac:dyDescent="0.25">
      <c r="A663" s="37" t="s">
        <v>1872</v>
      </c>
      <c r="B663" s="8" t="s">
        <v>550</v>
      </c>
      <c r="C663" s="2">
        <f t="shared" si="326"/>
        <v>300000</v>
      </c>
      <c r="D663" s="3">
        <f t="shared" si="318"/>
        <v>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11">
        <v>0</v>
      </c>
      <c r="L663" s="5">
        <v>0</v>
      </c>
      <c r="M663" s="5">
        <v>0</v>
      </c>
      <c r="N663" s="3">
        <f t="shared" ref="N663" si="332">M663*5500</f>
        <v>0</v>
      </c>
      <c r="O663" s="5">
        <v>0</v>
      </c>
      <c r="P663" s="5">
        <v>0</v>
      </c>
      <c r="Q663" s="5">
        <v>0</v>
      </c>
      <c r="R663" s="3">
        <f t="shared" si="319"/>
        <v>0</v>
      </c>
      <c r="S663" s="5">
        <v>0</v>
      </c>
      <c r="T663" s="5">
        <v>0</v>
      </c>
      <c r="U663" s="5">
        <v>300000</v>
      </c>
      <c r="V663" s="6" t="e">
        <f t="shared" si="320"/>
        <v>#DIV/0!</v>
      </c>
    </row>
    <row r="664" spans="1:22" ht="21.95" customHeight="1" x14ac:dyDescent="0.25">
      <c r="A664" s="37" t="s">
        <v>1873</v>
      </c>
      <c r="B664" s="8" t="s">
        <v>646</v>
      </c>
      <c r="C664" s="2">
        <f t="shared" si="326"/>
        <v>1394305.44</v>
      </c>
      <c r="D664" s="3">
        <f t="shared" si="318"/>
        <v>0</v>
      </c>
      <c r="E664" s="3">
        <v>0</v>
      </c>
      <c r="F664" s="3">
        <v>0</v>
      </c>
      <c r="G664" s="3">
        <v>0</v>
      </c>
      <c r="H664" s="3">
        <v>0</v>
      </c>
      <c r="I664" s="3">
        <v>0</v>
      </c>
      <c r="J664" s="3">
        <v>0</v>
      </c>
      <c r="K664" s="11">
        <v>0</v>
      </c>
      <c r="L664" s="5">
        <v>0</v>
      </c>
      <c r="M664" s="5">
        <v>255.11</v>
      </c>
      <c r="N664" s="3">
        <v>1394305.44</v>
      </c>
      <c r="O664" s="5">
        <v>0</v>
      </c>
      <c r="P664" s="5">
        <v>0</v>
      </c>
      <c r="Q664" s="5">
        <v>0</v>
      </c>
      <c r="R664" s="3">
        <f t="shared" si="319"/>
        <v>0</v>
      </c>
      <c r="S664" s="5">
        <v>0</v>
      </c>
      <c r="T664" s="5">
        <v>0</v>
      </c>
      <c r="U664" s="5">
        <v>0</v>
      </c>
      <c r="V664" s="6">
        <f t="shared" si="320"/>
        <v>5465.5068009878087</v>
      </c>
    </row>
    <row r="665" spans="1:22" ht="21.95" customHeight="1" x14ac:dyDescent="0.25">
      <c r="A665" s="37" t="s">
        <v>1874</v>
      </c>
      <c r="B665" s="8" t="s">
        <v>647</v>
      </c>
      <c r="C665" s="2">
        <f t="shared" si="326"/>
        <v>4983000</v>
      </c>
      <c r="D665" s="3">
        <f t="shared" si="318"/>
        <v>0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11">
        <v>0</v>
      </c>
      <c r="L665" s="5">
        <v>0</v>
      </c>
      <c r="M665" s="5">
        <v>906</v>
      </c>
      <c r="N665" s="3">
        <f t="shared" ref="N665:N681" si="333">M665*5500</f>
        <v>4983000</v>
      </c>
      <c r="O665" s="5">
        <v>0</v>
      </c>
      <c r="P665" s="5">
        <v>0</v>
      </c>
      <c r="Q665" s="5">
        <v>0</v>
      </c>
      <c r="R665" s="3">
        <f t="shared" si="319"/>
        <v>0</v>
      </c>
      <c r="S665" s="5">
        <v>0</v>
      </c>
      <c r="T665" s="5">
        <v>0</v>
      </c>
      <c r="U665" s="5">
        <v>0</v>
      </c>
      <c r="V665" s="6">
        <f t="shared" si="320"/>
        <v>5500</v>
      </c>
    </row>
    <row r="666" spans="1:22" ht="21.95" customHeight="1" x14ac:dyDescent="0.25">
      <c r="A666" s="37" t="s">
        <v>1875</v>
      </c>
      <c r="B666" s="8" t="s">
        <v>551</v>
      </c>
      <c r="C666" s="2">
        <f t="shared" si="326"/>
        <v>1768084.63</v>
      </c>
      <c r="D666" s="3">
        <f t="shared" si="318"/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11">
        <v>0</v>
      </c>
      <c r="L666" s="5">
        <v>0</v>
      </c>
      <c r="M666" s="5">
        <v>321.47000000000003</v>
      </c>
      <c r="N666" s="3">
        <v>1768084.63</v>
      </c>
      <c r="O666" s="5">
        <v>0</v>
      </c>
      <c r="P666" s="5">
        <v>0</v>
      </c>
      <c r="Q666" s="5">
        <v>0</v>
      </c>
      <c r="R666" s="3">
        <f t="shared" si="319"/>
        <v>0</v>
      </c>
      <c r="S666" s="5">
        <v>0</v>
      </c>
      <c r="T666" s="5">
        <v>0</v>
      </c>
      <c r="U666" s="5">
        <v>0</v>
      </c>
      <c r="V666" s="6">
        <f t="shared" si="320"/>
        <v>5499.9988490372343</v>
      </c>
    </row>
    <row r="667" spans="1:22" ht="21.95" customHeight="1" x14ac:dyDescent="0.25">
      <c r="A667" s="37" t="s">
        <v>1876</v>
      </c>
      <c r="B667" s="8" t="s">
        <v>454</v>
      </c>
      <c r="C667" s="2">
        <f t="shared" si="326"/>
        <v>4888007.1500000004</v>
      </c>
      <c r="D667" s="3">
        <f t="shared" ref="D667" si="334">SUM(E667:J667)</f>
        <v>0</v>
      </c>
      <c r="E667" s="3">
        <v>0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4">
        <v>0</v>
      </c>
      <c r="L667" s="3">
        <v>0</v>
      </c>
      <c r="M667" s="3">
        <v>806</v>
      </c>
      <c r="N667" s="3">
        <v>4888007.1500000004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6">
        <f t="shared" si="320"/>
        <v>6064.5250000000005</v>
      </c>
    </row>
    <row r="668" spans="1:22" ht="21.95" customHeight="1" x14ac:dyDescent="0.25">
      <c r="A668" s="37" t="s">
        <v>1877</v>
      </c>
      <c r="B668" s="8" t="s">
        <v>552</v>
      </c>
      <c r="C668" s="2">
        <f t="shared" si="326"/>
        <v>3550323</v>
      </c>
      <c r="D668" s="3">
        <f t="shared" si="318"/>
        <v>836823</v>
      </c>
      <c r="E668" s="3">
        <f>350*429.14</f>
        <v>150199</v>
      </c>
      <c r="F668" s="3">
        <f>1050*429.14</f>
        <v>450597</v>
      </c>
      <c r="G668" s="3">
        <f>300*429.14</f>
        <v>128742</v>
      </c>
      <c r="H668" s="3">
        <v>0</v>
      </c>
      <c r="I668" s="3">
        <f>250*429.14</f>
        <v>107285</v>
      </c>
      <c r="J668" s="3">
        <v>0</v>
      </c>
      <c r="K668" s="11">
        <v>0</v>
      </c>
      <c r="L668" s="5">
        <v>0</v>
      </c>
      <c r="M668" s="5">
        <v>251</v>
      </c>
      <c r="N668" s="3">
        <f t="shared" si="333"/>
        <v>1380500</v>
      </c>
      <c r="O668" s="5">
        <v>0</v>
      </c>
      <c r="P668" s="5">
        <v>0</v>
      </c>
      <c r="Q668" s="5">
        <v>411</v>
      </c>
      <c r="R668" s="3">
        <f t="shared" si="319"/>
        <v>1233000</v>
      </c>
      <c r="S668" s="5">
        <v>0</v>
      </c>
      <c r="T668" s="5">
        <v>0</v>
      </c>
      <c r="U668" s="5">
        <v>100000</v>
      </c>
      <c r="V668" s="6">
        <f t="shared" si="320"/>
        <v>5500</v>
      </c>
    </row>
    <row r="669" spans="1:22" ht="21.95" customHeight="1" x14ac:dyDescent="0.25">
      <c r="A669" s="37" t="s">
        <v>1878</v>
      </c>
      <c r="B669" s="8" t="s">
        <v>648</v>
      </c>
      <c r="C669" s="2">
        <f t="shared" si="326"/>
        <v>2502500</v>
      </c>
      <c r="D669" s="3">
        <f t="shared" si="318"/>
        <v>0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11">
        <v>0</v>
      </c>
      <c r="L669" s="5">
        <v>0</v>
      </c>
      <c r="M669" s="5">
        <v>455</v>
      </c>
      <c r="N669" s="3">
        <f t="shared" si="333"/>
        <v>2502500</v>
      </c>
      <c r="O669" s="5">
        <v>0</v>
      </c>
      <c r="P669" s="5">
        <v>0</v>
      </c>
      <c r="Q669" s="5">
        <v>0</v>
      </c>
      <c r="R669" s="3">
        <f t="shared" si="319"/>
        <v>0</v>
      </c>
      <c r="S669" s="5">
        <v>0</v>
      </c>
      <c r="T669" s="5">
        <v>0</v>
      </c>
      <c r="U669" s="5">
        <v>0</v>
      </c>
      <c r="V669" s="6">
        <f t="shared" si="320"/>
        <v>5500</v>
      </c>
    </row>
    <row r="670" spans="1:22" ht="21.95" customHeight="1" x14ac:dyDescent="0.25">
      <c r="A670" s="37" t="s">
        <v>1879</v>
      </c>
      <c r="B670" s="24" t="s">
        <v>1066</v>
      </c>
      <c r="C670" s="2">
        <f>D670+L670+N670+P670+R670+S670+T670+U670</f>
        <v>1914000</v>
      </c>
      <c r="D670" s="3">
        <f>SUM(E670:J670)</f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4">
        <v>0</v>
      </c>
      <c r="L670" s="3">
        <v>0</v>
      </c>
      <c r="M670" s="3">
        <v>348</v>
      </c>
      <c r="N670" s="3">
        <f>M670*5500</f>
        <v>1914000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6">
        <f>N670/M670</f>
        <v>5500</v>
      </c>
    </row>
    <row r="671" spans="1:22" ht="21.95" customHeight="1" x14ac:dyDescent="0.25">
      <c r="A671" s="37" t="s">
        <v>1880</v>
      </c>
      <c r="B671" s="8" t="s">
        <v>425</v>
      </c>
      <c r="C671" s="2">
        <f>D671+L671+N671+P671+R671+S671+T671+U671</f>
        <v>5722137.5499999998</v>
      </c>
      <c r="D671" s="3">
        <f>SUM(E671:J671)</f>
        <v>2008053.29</v>
      </c>
      <c r="E671" s="3">
        <v>547907.69999999995</v>
      </c>
      <c r="F671" s="3">
        <v>1284033.57</v>
      </c>
      <c r="G671" s="3">
        <v>81922.33</v>
      </c>
      <c r="H671" s="3">
        <v>0</v>
      </c>
      <c r="I671" s="3">
        <v>94189.69</v>
      </c>
      <c r="J671" s="3">
        <f>350*0</f>
        <v>0</v>
      </c>
      <c r="K671" s="4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1462.5</v>
      </c>
      <c r="R671" s="3">
        <v>3515084.26</v>
      </c>
      <c r="S671" s="3">
        <v>0</v>
      </c>
      <c r="T671" s="3">
        <v>0</v>
      </c>
      <c r="U671" s="3">
        <v>199000</v>
      </c>
      <c r="V671" s="6" t="e">
        <f>N671/M671</f>
        <v>#DIV/0!</v>
      </c>
    </row>
    <row r="672" spans="1:22" ht="21.95" customHeight="1" x14ac:dyDescent="0.25">
      <c r="A672" s="37" t="s">
        <v>1881</v>
      </c>
      <c r="B672" s="8" t="s">
        <v>652</v>
      </c>
      <c r="C672" s="2">
        <f>D672+L672+N672+P672+R672+S672+T672+U672</f>
        <v>1341562.31</v>
      </c>
      <c r="D672" s="3">
        <f>SUM(E672:J672)</f>
        <v>0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11">
        <v>0</v>
      </c>
      <c r="L672" s="5">
        <v>0</v>
      </c>
      <c r="M672" s="5">
        <v>254.8</v>
      </c>
      <c r="N672" s="3">
        <v>1341562.31</v>
      </c>
      <c r="O672" s="5">
        <v>0</v>
      </c>
      <c r="P672" s="5">
        <v>0</v>
      </c>
      <c r="Q672" s="5">
        <v>0</v>
      </c>
      <c r="R672" s="3">
        <f>Q672*3000</f>
        <v>0</v>
      </c>
      <c r="S672" s="5">
        <v>0</v>
      </c>
      <c r="T672" s="5">
        <v>0</v>
      </c>
      <c r="U672" s="5">
        <v>0</v>
      </c>
      <c r="V672" s="6">
        <f>N672/M672</f>
        <v>5265.1582025117741</v>
      </c>
    </row>
    <row r="673" spans="1:22" ht="21.95" customHeight="1" x14ac:dyDescent="0.25">
      <c r="A673" s="37" t="s">
        <v>1882</v>
      </c>
      <c r="B673" s="8" t="s">
        <v>649</v>
      </c>
      <c r="C673" s="2">
        <f t="shared" si="326"/>
        <v>300000</v>
      </c>
      <c r="D673" s="3">
        <f t="shared" si="318"/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11">
        <v>0</v>
      </c>
      <c r="L673" s="5">
        <v>0</v>
      </c>
      <c r="M673" s="5">
        <v>0</v>
      </c>
      <c r="N673" s="3">
        <v>0</v>
      </c>
      <c r="O673" s="5">
        <v>0</v>
      </c>
      <c r="P673" s="5">
        <v>0</v>
      </c>
      <c r="Q673" s="5">
        <v>0</v>
      </c>
      <c r="R673" s="3">
        <f t="shared" si="319"/>
        <v>0</v>
      </c>
      <c r="S673" s="5">
        <v>0</v>
      </c>
      <c r="T673" s="5">
        <v>0</v>
      </c>
      <c r="U673" s="5">
        <v>300000</v>
      </c>
      <c r="V673" s="6" t="e">
        <f t="shared" si="320"/>
        <v>#DIV/0!</v>
      </c>
    </row>
    <row r="674" spans="1:22" ht="21.95" customHeight="1" x14ac:dyDescent="0.25">
      <c r="A674" s="37" t="s">
        <v>1883</v>
      </c>
      <c r="B674" s="8" t="s">
        <v>650</v>
      </c>
      <c r="C674" s="2">
        <f t="shared" si="326"/>
        <v>1392424</v>
      </c>
      <c r="D674" s="3">
        <f t="shared" si="318"/>
        <v>0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11">
        <v>0</v>
      </c>
      <c r="L674" s="5">
        <v>0</v>
      </c>
      <c r="M674" s="5">
        <v>258.5</v>
      </c>
      <c r="N674" s="3">
        <v>1392424</v>
      </c>
      <c r="O674" s="5">
        <v>0</v>
      </c>
      <c r="P674" s="5">
        <v>0</v>
      </c>
      <c r="Q674" s="5">
        <v>0</v>
      </c>
      <c r="R674" s="3">
        <f t="shared" si="319"/>
        <v>0</v>
      </c>
      <c r="S674" s="5">
        <v>0</v>
      </c>
      <c r="T674" s="5">
        <v>0</v>
      </c>
      <c r="U674" s="5">
        <v>0</v>
      </c>
      <c r="V674" s="6">
        <f t="shared" si="320"/>
        <v>5386.5531914893618</v>
      </c>
    </row>
    <row r="675" spans="1:22" ht="21.95" customHeight="1" x14ac:dyDescent="0.25">
      <c r="A675" s="37" t="s">
        <v>1884</v>
      </c>
      <c r="B675" s="8" t="s">
        <v>651</v>
      </c>
      <c r="C675" s="2">
        <f t="shared" si="326"/>
        <v>1377172.24</v>
      </c>
      <c r="D675" s="3">
        <f t="shared" si="318"/>
        <v>0</v>
      </c>
      <c r="E675" s="3">
        <v>0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11">
        <v>0</v>
      </c>
      <c r="L675" s="5">
        <v>0</v>
      </c>
      <c r="M675" s="5">
        <v>258</v>
      </c>
      <c r="N675" s="3">
        <v>1377172.24</v>
      </c>
      <c r="O675" s="5">
        <v>0</v>
      </c>
      <c r="P675" s="5">
        <v>0</v>
      </c>
      <c r="Q675" s="5">
        <v>0</v>
      </c>
      <c r="R675" s="3">
        <f t="shared" si="319"/>
        <v>0</v>
      </c>
      <c r="S675" s="5">
        <v>0</v>
      </c>
      <c r="T675" s="5">
        <v>0</v>
      </c>
      <c r="U675" s="5">
        <v>0</v>
      </c>
      <c r="V675" s="6">
        <f t="shared" si="320"/>
        <v>5337.876899224806</v>
      </c>
    </row>
    <row r="676" spans="1:22" ht="21.95" customHeight="1" x14ac:dyDescent="0.25">
      <c r="A676" s="37" t="s">
        <v>1885</v>
      </c>
      <c r="B676" s="8" t="s">
        <v>560</v>
      </c>
      <c r="C676" s="2">
        <f>D676+L676+N676+P676+R676+S676+T676+U676</f>
        <v>2104850</v>
      </c>
      <c r="D676" s="3">
        <f>SUM(E676:J676)</f>
        <v>0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11">
        <v>0</v>
      </c>
      <c r="L676" s="5">
        <v>0</v>
      </c>
      <c r="M676" s="5">
        <v>382.7</v>
      </c>
      <c r="N676" s="3">
        <f>M676*5500</f>
        <v>2104850</v>
      </c>
      <c r="O676" s="5">
        <v>0</v>
      </c>
      <c r="P676" s="5">
        <v>0</v>
      </c>
      <c r="Q676" s="5">
        <v>0</v>
      </c>
      <c r="R676" s="3">
        <f>Q676*3000</f>
        <v>0</v>
      </c>
      <c r="S676" s="5">
        <v>0</v>
      </c>
      <c r="T676" s="5">
        <v>0</v>
      </c>
      <c r="U676" s="5">
        <v>0</v>
      </c>
      <c r="V676" s="6">
        <f>N676/M676</f>
        <v>5500</v>
      </c>
    </row>
    <row r="677" spans="1:22" ht="21.95" customHeight="1" x14ac:dyDescent="0.25">
      <c r="A677" s="37" t="s">
        <v>1886</v>
      </c>
      <c r="B677" s="8" t="s">
        <v>561</v>
      </c>
      <c r="C677" s="2">
        <f>D677+L677+N677+P677+R677+S677+T677+U677</f>
        <v>2112000</v>
      </c>
      <c r="D677" s="3">
        <f>SUM(E677:J677)</f>
        <v>0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11">
        <v>0</v>
      </c>
      <c r="L677" s="5">
        <v>0</v>
      </c>
      <c r="M677" s="5">
        <v>384</v>
      </c>
      <c r="N677" s="3">
        <f>M677*5500</f>
        <v>2112000</v>
      </c>
      <c r="O677" s="5">
        <v>0</v>
      </c>
      <c r="P677" s="5">
        <v>0</v>
      </c>
      <c r="Q677" s="5">
        <v>0</v>
      </c>
      <c r="R677" s="3">
        <f>Q677*3000</f>
        <v>0</v>
      </c>
      <c r="S677" s="5">
        <v>0</v>
      </c>
      <c r="T677" s="5">
        <v>0</v>
      </c>
      <c r="U677" s="5">
        <v>0</v>
      </c>
      <c r="V677" s="6">
        <f>N677/M677</f>
        <v>5500</v>
      </c>
    </row>
    <row r="678" spans="1:22" ht="21.95" customHeight="1" x14ac:dyDescent="0.25">
      <c r="A678" s="37" t="s">
        <v>1887</v>
      </c>
      <c r="B678" s="8" t="s">
        <v>553</v>
      </c>
      <c r="C678" s="2">
        <f t="shared" si="326"/>
        <v>2326115</v>
      </c>
      <c r="D678" s="3">
        <f t="shared" si="318"/>
        <v>0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11">
        <v>0</v>
      </c>
      <c r="L678" s="5">
        <v>0</v>
      </c>
      <c r="M678" s="5">
        <v>434.8</v>
      </c>
      <c r="N678" s="3">
        <v>2326115</v>
      </c>
      <c r="O678" s="5">
        <v>0</v>
      </c>
      <c r="P678" s="5">
        <v>0</v>
      </c>
      <c r="Q678" s="5">
        <v>0</v>
      </c>
      <c r="R678" s="3">
        <f t="shared" si="319"/>
        <v>0</v>
      </c>
      <c r="S678" s="5">
        <v>0</v>
      </c>
      <c r="T678" s="5">
        <v>0</v>
      </c>
      <c r="U678" s="5">
        <v>0</v>
      </c>
      <c r="V678" s="6">
        <f t="shared" si="320"/>
        <v>5349.8505059797608</v>
      </c>
    </row>
    <row r="679" spans="1:22" ht="21.95" customHeight="1" x14ac:dyDescent="0.25">
      <c r="A679" s="37" t="s">
        <v>1888</v>
      </c>
      <c r="B679" s="8" t="s">
        <v>653</v>
      </c>
      <c r="C679" s="2">
        <f t="shared" si="326"/>
        <v>300000</v>
      </c>
      <c r="D679" s="3">
        <f t="shared" si="318"/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11">
        <v>0</v>
      </c>
      <c r="L679" s="5">
        <v>0</v>
      </c>
      <c r="M679" s="5">
        <v>0</v>
      </c>
      <c r="N679" s="3">
        <f t="shared" si="333"/>
        <v>0</v>
      </c>
      <c r="O679" s="5">
        <v>0</v>
      </c>
      <c r="P679" s="5">
        <v>0</v>
      </c>
      <c r="Q679" s="5">
        <v>0</v>
      </c>
      <c r="R679" s="3">
        <f t="shared" si="319"/>
        <v>0</v>
      </c>
      <c r="S679" s="5">
        <v>0</v>
      </c>
      <c r="T679" s="5">
        <v>0</v>
      </c>
      <c r="U679" s="5">
        <v>300000</v>
      </c>
      <c r="V679" s="6" t="e">
        <f t="shared" si="320"/>
        <v>#DIV/0!</v>
      </c>
    </row>
    <row r="680" spans="1:22" ht="21.95" customHeight="1" x14ac:dyDescent="0.25">
      <c r="A680" s="37" t="s">
        <v>1889</v>
      </c>
      <c r="B680" s="8" t="s">
        <v>654</v>
      </c>
      <c r="C680" s="2">
        <f t="shared" si="326"/>
        <v>300000</v>
      </c>
      <c r="D680" s="3">
        <f t="shared" si="318"/>
        <v>0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0</v>
      </c>
      <c r="K680" s="11">
        <v>0</v>
      </c>
      <c r="L680" s="5">
        <v>0</v>
      </c>
      <c r="M680" s="5">
        <v>0</v>
      </c>
      <c r="N680" s="3">
        <f t="shared" si="333"/>
        <v>0</v>
      </c>
      <c r="O680" s="5">
        <v>0</v>
      </c>
      <c r="P680" s="5">
        <v>0</v>
      </c>
      <c r="Q680" s="5">
        <v>0</v>
      </c>
      <c r="R680" s="3">
        <f t="shared" si="319"/>
        <v>0</v>
      </c>
      <c r="S680" s="5">
        <v>0</v>
      </c>
      <c r="T680" s="5">
        <v>0</v>
      </c>
      <c r="U680" s="5">
        <v>300000</v>
      </c>
      <c r="V680" s="6" t="e">
        <f t="shared" si="320"/>
        <v>#DIV/0!</v>
      </c>
    </row>
    <row r="681" spans="1:22" ht="21.95" customHeight="1" x14ac:dyDescent="0.25">
      <c r="A681" s="37" t="s">
        <v>1890</v>
      </c>
      <c r="B681" s="8" t="s">
        <v>655</v>
      </c>
      <c r="C681" s="2">
        <f t="shared" si="326"/>
        <v>300000</v>
      </c>
      <c r="D681" s="3">
        <f t="shared" si="318"/>
        <v>0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11">
        <v>0</v>
      </c>
      <c r="L681" s="5">
        <v>0</v>
      </c>
      <c r="M681" s="5">
        <v>0</v>
      </c>
      <c r="N681" s="3">
        <f t="shared" si="333"/>
        <v>0</v>
      </c>
      <c r="O681" s="5">
        <v>0</v>
      </c>
      <c r="P681" s="5">
        <v>0</v>
      </c>
      <c r="Q681" s="5">
        <v>0</v>
      </c>
      <c r="R681" s="3">
        <f t="shared" si="319"/>
        <v>0</v>
      </c>
      <c r="S681" s="5">
        <v>0</v>
      </c>
      <c r="T681" s="5">
        <v>0</v>
      </c>
      <c r="U681" s="5">
        <v>300000</v>
      </c>
      <c r="V681" s="6" t="e">
        <f t="shared" si="320"/>
        <v>#DIV/0!</v>
      </c>
    </row>
    <row r="682" spans="1:22" ht="21.95" customHeight="1" x14ac:dyDescent="0.25">
      <c r="A682" s="37" t="s">
        <v>1891</v>
      </c>
      <c r="B682" s="8" t="s">
        <v>467</v>
      </c>
      <c r="C682" s="2">
        <f t="shared" si="326"/>
        <v>1729200</v>
      </c>
      <c r="D682" s="3">
        <f t="shared" si="318"/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4">
        <v>0</v>
      </c>
      <c r="L682" s="3">
        <v>0</v>
      </c>
      <c r="M682" s="3">
        <v>262</v>
      </c>
      <c r="N682" s="3">
        <f>M682*6600</f>
        <v>1729200</v>
      </c>
      <c r="O682" s="3">
        <v>0</v>
      </c>
      <c r="P682" s="3">
        <v>0</v>
      </c>
      <c r="Q682" s="3">
        <v>0</v>
      </c>
      <c r="R682" s="3">
        <f t="shared" si="319"/>
        <v>0</v>
      </c>
      <c r="S682" s="3">
        <v>0</v>
      </c>
      <c r="T682" s="5">
        <v>0</v>
      </c>
      <c r="U682" s="3">
        <v>0</v>
      </c>
      <c r="V682" s="6">
        <f t="shared" si="320"/>
        <v>6600</v>
      </c>
    </row>
    <row r="683" spans="1:22" ht="21.95" customHeight="1" x14ac:dyDescent="0.25">
      <c r="A683" s="37" t="s">
        <v>1892</v>
      </c>
      <c r="B683" s="8" t="s">
        <v>656</v>
      </c>
      <c r="C683" s="2">
        <f t="shared" si="326"/>
        <v>1805462.52</v>
      </c>
      <c r="D683" s="3">
        <f t="shared" si="318"/>
        <v>0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11">
        <v>0</v>
      </c>
      <c r="L683" s="5">
        <v>0</v>
      </c>
      <c r="M683" s="5">
        <v>399</v>
      </c>
      <c r="N683" s="3">
        <v>1805462.52</v>
      </c>
      <c r="O683" s="5">
        <v>0</v>
      </c>
      <c r="P683" s="5">
        <v>0</v>
      </c>
      <c r="Q683" s="5">
        <v>0</v>
      </c>
      <c r="R683" s="3">
        <f t="shared" si="319"/>
        <v>0</v>
      </c>
      <c r="S683" s="5">
        <v>0</v>
      </c>
      <c r="T683" s="5">
        <v>0</v>
      </c>
      <c r="U683" s="5">
        <v>0</v>
      </c>
      <c r="V683" s="6">
        <f t="shared" si="320"/>
        <v>4524.968721804511</v>
      </c>
    </row>
    <row r="684" spans="1:22" ht="21.95" customHeight="1" x14ac:dyDescent="0.25">
      <c r="A684" s="37" t="s">
        <v>1893</v>
      </c>
      <c r="B684" s="8" t="s">
        <v>554</v>
      </c>
      <c r="C684" s="2">
        <f t="shared" si="326"/>
        <v>1411850</v>
      </c>
      <c r="D684" s="3">
        <f t="shared" si="318"/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11">
        <v>0</v>
      </c>
      <c r="L684" s="5">
        <v>0</v>
      </c>
      <c r="M684" s="5">
        <v>256.7</v>
      </c>
      <c r="N684" s="3">
        <f t="shared" ref="N684:N694" si="335">M684*5500</f>
        <v>1411850</v>
      </c>
      <c r="O684" s="5">
        <v>0</v>
      </c>
      <c r="P684" s="5">
        <v>0</v>
      </c>
      <c r="Q684" s="5">
        <v>0</v>
      </c>
      <c r="R684" s="3">
        <f t="shared" si="319"/>
        <v>0</v>
      </c>
      <c r="S684" s="5">
        <v>0</v>
      </c>
      <c r="T684" s="5">
        <v>0</v>
      </c>
      <c r="U684" s="5">
        <v>0</v>
      </c>
      <c r="V684" s="6">
        <f t="shared" si="320"/>
        <v>5500</v>
      </c>
    </row>
    <row r="685" spans="1:22" ht="21.95" customHeight="1" x14ac:dyDescent="0.25">
      <c r="A685" s="37" t="s">
        <v>1894</v>
      </c>
      <c r="B685" s="8" t="s">
        <v>555</v>
      </c>
      <c r="C685" s="2">
        <f t="shared" si="326"/>
        <v>1221124.1200000001</v>
      </c>
      <c r="D685" s="3">
        <f t="shared" ref="D685:D694" si="336">SUM(E685:J685)</f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1">
        <v>0</v>
      </c>
      <c r="L685" s="5">
        <v>0</v>
      </c>
      <c r="M685" s="5">
        <v>243</v>
      </c>
      <c r="N685" s="3">
        <v>1221124.1200000001</v>
      </c>
      <c r="O685" s="5">
        <v>0</v>
      </c>
      <c r="P685" s="5">
        <v>0</v>
      </c>
      <c r="Q685" s="5">
        <v>0</v>
      </c>
      <c r="R685" s="3">
        <f t="shared" si="319"/>
        <v>0</v>
      </c>
      <c r="S685" s="5">
        <v>0</v>
      </c>
      <c r="T685" s="5">
        <v>0</v>
      </c>
      <c r="U685" s="5">
        <v>0</v>
      </c>
      <c r="V685" s="6">
        <f t="shared" si="320"/>
        <v>5025.2021399176956</v>
      </c>
    </row>
    <row r="686" spans="1:22" ht="21.95" customHeight="1" x14ac:dyDescent="0.25">
      <c r="A686" s="37" t="s">
        <v>1895</v>
      </c>
      <c r="B686" s="8" t="s">
        <v>556</v>
      </c>
      <c r="C686" s="2">
        <f t="shared" si="326"/>
        <v>1345300</v>
      </c>
      <c r="D686" s="3">
        <f t="shared" si="336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11">
        <v>0</v>
      </c>
      <c r="L686" s="5">
        <v>0</v>
      </c>
      <c r="M686" s="5">
        <v>244.6</v>
      </c>
      <c r="N686" s="3">
        <f t="shared" si="335"/>
        <v>1345300</v>
      </c>
      <c r="O686" s="5">
        <v>0</v>
      </c>
      <c r="P686" s="5">
        <v>0</v>
      </c>
      <c r="Q686" s="5">
        <v>0</v>
      </c>
      <c r="R686" s="3">
        <f t="shared" ref="R686:R694" si="337">Q686*3000</f>
        <v>0</v>
      </c>
      <c r="S686" s="5">
        <v>0</v>
      </c>
      <c r="T686" s="5">
        <v>0</v>
      </c>
      <c r="U686" s="5">
        <v>0</v>
      </c>
      <c r="V686" s="6">
        <f t="shared" ref="V686:V694" si="338">N686/M686</f>
        <v>5500</v>
      </c>
    </row>
    <row r="687" spans="1:22" ht="21.95" customHeight="1" x14ac:dyDescent="0.25">
      <c r="A687" s="37" t="s">
        <v>1896</v>
      </c>
      <c r="B687" s="8" t="s">
        <v>557</v>
      </c>
      <c r="C687" s="2">
        <f t="shared" si="326"/>
        <v>1463550.0000000002</v>
      </c>
      <c r="D687" s="3">
        <f t="shared" si="336"/>
        <v>0</v>
      </c>
      <c r="E687" s="3">
        <v>0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11">
        <v>0</v>
      </c>
      <c r="L687" s="5">
        <v>0</v>
      </c>
      <c r="M687" s="5">
        <v>266.10000000000002</v>
      </c>
      <c r="N687" s="3">
        <f t="shared" si="335"/>
        <v>1463550.0000000002</v>
      </c>
      <c r="O687" s="5">
        <v>0</v>
      </c>
      <c r="P687" s="5">
        <v>0</v>
      </c>
      <c r="Q687" s="5">
        <v>0</v>
      </c>
      <c r="R687" s="3">
        <f t="shared" si="337"/>
        <v>0</v>
      </c>
      <c r="S687" s="5">
        <v>0</v>
      </c>
      <c r="T687" s="5">
        <v>0</v>
      </c>
      <c r="U687" s="5">
        <v>0</v>
      </c>
      <c r="V687" s="6">
        <f t="shared" si="338"/>
        <v>5500</v>
      </c>
    </row>
    <row r="688" spans="1:22" ht="21.95" customHeight="1" x14ac:dyDescent="0.25">
      <c r="A688" s="37" t="s">
        <v>1897</v>
      </c>
      <c r="B688" s="8" t="s">
        <v>558</v>
      </c>
      <c r="C688" s="2">
        <f t="shared" si="326"/>
        <v>1531199.9999999998</v>
      </c>
      <c r="D688" s="3">
        <f t="shared" si="336"/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11">
        <v>0</v>
      </c>
      <c r="L688" s="5">
        <v>0</v>
      </c>
      <c r="M688" s="5">
        <v>278.39999999999998</v>
      </c>
      <c r="N688" s="3">
        <f t="shared" si="335"/>
        <v>1531199.9999999998</v>
      </c>
      <c r="O688" s="5">
        <v>0</v>
      </c>
      <c r="P688" s="5">
        <v>0</v>
      </c>
      <c r="Q688" s="5">
        <v>0</v>
      </c>
      <c r="R688" s="3">
        <f t="shared" si="337"/>
        <v>0</v>
      </c>
      <c r="S688" s="5">
        <v>0</v>
      </c>
      <c r="T688" s="5">
        <v>0</v>
      </c>
      <c r="U688" s="5">
        <v>0</v>
      </c>
      <c r="V688" s="6">
        <f t="shared" si="338"/>
        <v>5500</v>
      </c>
    </row>
    <row r="689" spans="1:22" ht="21.95" customHeight="1" x14ac:dyDescent="0.25">
      <c r="A689" s="37" t="s">
        <v>1898</v>
      </c>
      <c r="B689" s="8" t="s">
        <v>559</v>
      </c>
      <c r="C689" s="2">
        <f t="shared" si="326"/>
        <v>1283749.17</v>
      </c>
      <c r="D689" s="3">
        <f t="shared" si="336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11">
        <v>0</v>
      </c>
      <c r="L689" s="5">
        <v>0</v>
      </c>
      <c r="M689" s="5">
        <v>254.27</v>
      </c>
      <c r="N689" s="3">
        <v>1283749.17</v>
      </c>
      <c r="O689" s="5">
        <v>0</v>
      </c>
      <c r="P689" s="5">
        <v>0</v>
      </c>
      <c r="Q689" s="5">
        <v>0</v>
      </c>
      <c r="R689" s="3">
        <f t="shared" si="337"/>
        <v>0</v>
      </c>
      <c r="S689" s="5">
        <v>0</v>
      </c>
      <c r="T689" s="5">
        <v>0</v>
      </c>
      <c r="U689" s="5">
        <v>0</v>
      </c>
      <c r="V689" s="6">
        <f t="shared" si="338"/>
        <v>5048.763794391788</v>
      </c>
    </row>
    <row r="690" spans="1:22" ht="21.95" customHeight="1" x14ac:dyDescent="0.25">
      <c r="A690" s="37" t="s">
        <v>1899</v>
      </c>
      <c r="B690" s="8" t="s">
        <v>562</v>
      </c>
      <c r="C690" s="2">
        <f t="shared" si="326"/>
        <v>1533400</v>
      </c>
      <c r="D690" s="3">
        <f t="shared" si="336"/>
        <v>0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  <c r="J690" s="3">
        <v>0</v>
      </c>
      <c r="K690" s="11">
        <v>0</v>
      </c>
      <c r="L690" s="5">
        <v>0</v>
      </c>
      <c r="M690" s="5">
        <v>278.8</v>
      </c>
      <c r="N690" s="3">
        <f t="shared" si="335"/>
        <v>1533400</v>
      </c>
      <c r="O690" s="5">
        <v>0</v>
      </c>
      <c r="P690" s="5">
        <v>0</v>
      </c>
      <c r="Q690" s="5">
        <v>0</v>
      </c>
      <c r="R690" s="3">
        <f t="shared" si="337"/>
        <v>0</v>
      </c>
      <c r="S690" s="5">
        <v>0</v>
      </c>
      <c r="T690" s="5">
        <v>0</v>
      </c>
      <c r="U690" s="5">
        <v>0</v>
      </c>
      <c r="V690" s="6">
        <f t="shared" si="338"/>
        <v>5500</v>
      </c>
    </row>
    <row r="691" spans="1:22" ht="21.95" customHeight="1" x14ac:dyDescent="0.25">
      <c r="A691" s="37" t="s">
        <v>1900</v>
      </c>
      <c r="B691" s="8" t="s">
        <v>563</v>
      </c>
      <c r="C691" s="2">
        <f t="shared" si="326"/>
        <v>1533400</v>
      </c>
      <c r="D691" s="3">
        <f t="shared" si="336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11">
        <v>0</v>
      </c>
      <c r="L691" s="5">
        <v>0</v>
      </c>
      <c r="M691" s="5">
        <v>278.8</v>
      </c>
      <c r="N691" s="3">
        <f t="shared" si="335"/>
        <v>1533400</v>
      </c>
      <c r="O691" s="5">
        <v>0</v>
      </c>
      <c r="P691" s="5">
        <v>0</v>
      </c>
      <c r="Q691" s="5">
        <v>0</v>
      </c>
      <c r="R691" s="3">
        <f t="shared" si="337"/>
        <v>0</v>
      </c>
      <c r="S691" s="5">
        <v>0</v>
      </c>
      <c r="T691" s="5">
        <v>0</v>
      </c>
      <c r="U691" s="5">
        <v>0</v>
      </c>
      <c r="V691" s="6">
        <f t="shared" si="338"/>
        <v>5500</v>
      </c>
    </row>
    <row r="692" spans="1:22" ht="21.95" customHeight="1" x14ac:dyDescent="0.25">
      <c r="A692" s="37" t="s">
        <v>1901</v>
      </c>
      <c r="B692" s="8" t="s">
        <v>564</v>
      </c>
      <c r="C692" s="2">
        <f t="shared" si="326"/>
        <v>300000</v>
      </c>
      <c r="D692" s="3">
        <f t="shared" si="336"/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11">
        <v>0</v>
      </c>
      <c r="L692" s="5">
        <v>0</v>
      </c>
      <c r="M692" s="5">
        <v>0</v>
      </c>
      <c r="N692" s="3">
        <f t="shared" si="335"/>
        <v>0</v>
      </c>
      <c r="O692" s="5">
        <v>0</v>
      </c>
      <c r="P692" s="5">
        <v>0</v>
      </c>
      <c r="Q692" s="5">
        <v>0</v>
      </c>
      <c r="R692" s="3">
        <f t="shared" si="337"/>
        <v>0</v>
      </c>
      <c r="S692" s="5">
        <v>0</v>
      </c>
      <c r="T692" s="5">
        <v>0</v>
      </c>
      <c r="U692" s="5">
        <v>300000</v>
      </c>
      <c r="V692" s="6" t="e">
        <f t="shared" si="338"/>
        <v>#DIV/0!</v>
      </c>
    </row>
    <row r="693" spans="1:22" ht="21.95" customHeight="1" x14ac:dyDescent="0.25">
      <c r="A693" s="37" t="s">
        <v>1902</v>
      </c>
      <c r="B693" s="8" t="s">
        <v>565</v>
      </c>
      <c r="C693" s="2">
        <f t="shared" si="326"/>
        <v>2805000</v>
      </c>
      <c r="D693" s="3">
        <f t="shared" si="336"/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11">
        <v>0</v>
      </c>
      <c r="L693" s="5">
        <v>0</v>
      </c>
      <c r="M693" s="5">
        <v>510</v>
      </c>
      <c r="N693" s="3">
        <f t="shared" si="335"/>
        <v>2805000</v>
      </c>
      <c r="O693" s="5">
        <v>0</v>
      </c>
      <c r="P693" s="5">
        <v>0</v>
      </c>
      <c r="Q693" s="5">
        <v>0</v>
      </c>
      <c r="R693" s="3">
        <f t="shared" si="337"/>
        <v>0</v>
      </c>
      <c r="S693" s="5">
        <v>0</v>
      </c>
      <c r="T693" s="5">
        <v>0</v>
      </c>
      <c r="U693" s="5">
        <v>0</v>
      </c>
      <c r="V693" s="6">
        <f t="shared" si="338"/>
        <v>5500</v>
      </c>
    </row>
    <row r="694" spans="1:22" ht="21.95" customHeight="1" x14ac:dyDescent="0.25">
      <c r="A694" s="37" t="s">
        <v>1903</v>
      </c>
      <c r="B694" s="8" t="s">
        <v>566</v>
      </c>
      <c r="C694" s="2">
        <f t="shared" si="326"/>
        <v>2805000</v>
      </c>
      <c r="D694" s="3">
        <f t="shared" si="336"/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11">
        <v>0</v>
      </c>
      <c r="L694" s="5">
        <v>0</v>
      </c>
      <c r="M694" s="5">
        <v>510</v>
      </c>
      <c r="N694" s="3">
        <f t="shared" si="335"/>
        <v>2805000</v>
      </c>
      <c r="O694" s="5">
        <v>0</v>
      </c>
      <c r="P694" s="5">
        <v>0</v>
      </c>
      <c r="Q694" s="5">
        <v>0</v>
      </c>
      <c r="R694" s="3">
        <f t="shared" si="337"/>
        <v>0</v>
      </c>
      <c r="S694" s="5">
        <v>0</v>
      </c>
      <c r="T694" s="5">
        <v>0</v>
      </c>
      <c r="U694" s="5">
        <v>0</v>
      </c>
      <c r="V694" s="6">
        <f t="shared" si="338"/>
        <v>5500</v>
      </c>
    </row>
    <row r="695" spans="1:22" ht="45" customHeight="1" x14ac:dyDescent="0.25">
      <c r="A695" s="54" t="s">
        <v>279</v>
      </c>
      <c r="B695" s="54"/>
      <c r="C695" s="2">
        <f>SUM(C696:C698)</f>
        <v>13661467.629999999</v>
      </c>
      <c r="D695" s="2">
        <f t="shared" ref="D695:U695" si="339">SUM(D696:D698)</f>
        <v>2453530</v>
      </c>
      <c r="E695" s="2">
        <f t="shared" si="339"/>
        <v>432530</v>
      </c>
      <c r="F695" s="2">
        <f t="shared" si="339"/>
        <v>1061025</v>
      </c>
      <c r="G695" s="2">
        <f t="shared" si="339"/>
        <v>303150</v>
      </c>
      <c r="H695" s="2">
        <f t="shared" si="339"/>
        <v>404200</v>
      </c>
      <c r="I695" s="2">
        <f t="shared" si="339"/>
        <v>252625</v>
      </c>
      <c r="J695" s="2">
        <f t="shared" si="339"/>
        <v>0</v>
      </c>
      <c r="K695" s="14">
        <f t="shared" si="339"/>
        <v>0</v>
      </c>
      <c r="L695" s="2">
        <f t="shared" si="339"/>
        <v>0</v>
      </c>
      <c r="M695" s="2">
        <f t="shared" si="339"/>
        <v>1123.7</v>
      </c>
      <c r="N695" s="2">
        <f t="shared" si="339"/>
        <v>6180350</v>
      </c>
      <c r="O695" s="2">
        <f t="shared" si="339"/>
        <v>0</v>
      </c>
      <c r="P695" s="2">
        <f t="shared" si="339"/>
        <v>0</v>
      </c>
      <c r="Q695" s="2">
        <f t="shared" si="339"/>
        <v>1570.6</v>
      </c>
      <c r="R695" s="2">
        <f t="shared" si="339"/>
        <v>4711800</v>
      </c>
      <c r="S695" s="2">
        <f t="shared" si="339"/>
        <v>0</v>
      </c>
      <c r="T695" s="2">
        <f t="shared" si="339"/>
        <v>0</v>
      </c>
      <c r="U695" s="2">
        <f t="shared" si="339"/>
        <v>315787.63</v>
      </c>
    </row>
    <row r="696" spans="1:22" ht="21.95" customHeight="1" x14ac:dyDescent="0.25">
      <c r="A696" s="37" t="s">
        <v>1904</v>
      </c>
      <c r="B696" s="8" t="s">
        <v>280</v>
      </c>
      <c r="C696" s="2">
        <f t="shared" si="326"/>
        <v>5403620.9500000002</v>
      </c>
      <c r="D696" s="3">
        <f t="shared" ref="D696:D698" si="340">SUM(E696:J696)</f>
        <v>1217535</v>
      </c>
      <c r="E696" s="3">
        <f>350*518.1</f>
        <v>181335</v>
      </c>
      <c r="F696" s="3">
        <f>1050*518.1</f>
        <v>544005</v>
      </c>
      <c r="G696" s="3">
        <f>300*518.1</f>
        <v>155430</v>
      </c>
      <c r="H696" s="3">
        <f>400*518.1</f>
        <v>207240</v>
      </c>
      <c r="I696" s="3">
        <f>250*518.1</f>
        <v>129525</v>
      </c>
      <c r="J696" s="3">
        <v>0</v>
      </c>
      <c r="K696" s="4">
        <v>0</v>
      </c>
      <c r="L696" s="3">
        <v>0</v>
      </c>
      <c r="M696" s="3">
        <v>437.7</v>
      </c>
      <c r="N696" s="3">
        <f t="shared" ref="N696:N698" si="341">M696*5500</f>
        <v>2407350</v>
      </c>
      <c r="O696" s="5">
        <v>0</v>
      </c>
      <c r="P696" s="5">
        <v>0</v>
      </c>
      <c r="Q696" s="3">
        <v>556.79999999999995</v>
      </c>
      <c r="R696" s="3">
        <f t="shared" ref="R696:R698" si="342">Q696*3000</f>
        <v>1670399.9999999998</v>
      </c>
      <c r="S696" s="3">
        <v>0</v>
      </c>
      <c r="T696" s="3">
        <v>0</v>
      </c>
      <c r="U696" s="3">
        <v>108335.95</v>
      </c>
      <c r="V696" s="6">
        <f t="shared" ref="V696:V698" si="343">N696/M696</f>
        <v>5500</v>
      </c>
    </row>
    <row r="697" spans="1:22" ht="21.95" customHeight="1" x14ac:dyDescent="0.25">
      <c r="A697" s="37" t="s">
        <v>1905</v>
      </c>
      <c r="B697" s="8" t="s">
        <v>281</v>
      </c>
      <c r="C697" s="2">
        <f t="shared" si="326"/>
        <v>5273691.68</v>
      </c>
      <c r="D697" s="3">
        <f t="shared" si="340"/>
        <v>1157140</v>
      </c>
      <c r="E697" s="3">
        <f>350*492.4</f>
        <v>172340</v>
      </c>
      <c r="F697" s="3">
        <f>1050*492.4</f>
        <v>517020</v>
      </c>
      <c r="G697" s="3">
        <f>300*492.4</f>
        <v>147720</v>
      </c>
      <c r="H697" s="3">
        <f>400*492.4</f>
        <v>196960</v>
      </c>
      <c r="I697" s="3">
        <f>250*492.4</f>
        <v>123100</v>
      </c>
      <c r="J697" s="3">
        <v>0</v>
      </c>
      <c r="K697" s="4">
        <v>0</v>
      </c>
      <c r="L697" s="3">
        <v>0</v>
      </c>
      <c r="M697" s="3">
        <v>429.8</v>
      </c>
      <c r="N697" s="3">
        <f t="shared" si="341"/>
        <v>2363900</v>
      </c>
      <c r="O697" s="5">
        <v>0</v>
      </c>
      <c r="P697" s="5">
        <v>0</v>
      </c>
      <c r="Q697" s="3">
        <v>548.4</v>
      </c>
      <c r="R697" s="3">
        <f t="shared" si="342"/>
        <v>1645200</v>
      </c>
      <c r="S697" s="3">
        <v>0</v>
      </c>
      <c r="T697" s="3">
        <v>0</v>
      </c>
      <c r="U697" s="3">
        <v>107451.68</v>
      </c>
      <c r="V697" s="6">
        <f t="shared" si="343"/>
        <v>5500</v>
      </c>
    </row>
    <row r="698" spans="1:22" ht="21.95" customHeight="1" x14ac:dyDescent="0.25">
      <c r="A698" s="37" t="s">
        <v>1906</v>
      </c>
      <c r="B698" s="8" t="s">
        <v>305</v>
      </c>
      <c r="C698" s="2">
        <f t="shared" si="326"/>
        <v>2984155</v>
      </c>
      <c r="D698" s="3">
        <f t="shared" si="340"/>
        <v>78855</v>
      </c>
      <c r="E698" s="3">
        <f>350*225.3</f>
        <v>78855</v>
      </c>
      <c r="F698" s="3">
        <f>1050*0</f>
        <v>0</v>
      </c>
      <c r="G698" s="3">
        <f>300*0</f>
        <v>0</v>
      </c>
      <c r="H698" s="3">
        <f>400*0</f>
        <v>0</v>
      </c>
      <c r="I698" s="3">
        <f>250*0</f>
        <v>0</v>
      </c>
      <c r="J698" s="3">
        <v>0</v>
      </c>
      <c r="K698" s="4">
        <v>0</v>
      </c>
      <c r="L698" s="3">
        <v>0</v>
      </c>
      <c r="M698" s="3">
        <v>256.2</v>
      </c>
      <c r="N698" s="3">
        <f t="shared" si="341"/>
        <v>1409100</v>
      </c>
      <c r="O698" s="3">
        <v>0</v>
      </c>
      <c r="P698" s="3">
        <v>0</v>
      </c>
      <c r="Q698" s="3">
        <v>465.4</v>
      </c>
      <c r="R698" s="3">
        <f t="shared" si="342"/>
        <v>1396200</v>
      </c>
      <c r="S698" s="3">
        <v>0</v>
      </c>
      <c r="T698" s="3">
        <v>0</v>
      </c>
      <c r="U698" s="3">
        <v>100000</v>
      </c>
      <c r="V698" s="6">
        <f t="shared" si="343"/>
        <v>5500</v>
      </c>
    </row>
    <row r="699" spans="1:22" ht="45" customHeight="1" x14ac:dyDescent="0.25">
      <c r="A699" s="54" t="s">
        <v>1202</v>
      </c>
      <c r="B699" s="54"/>
      <c r="C699" s="2">
        <f>SUM(C700)</f>
        <v>4295066</v>
      </c>
      <c r="D699" s="2">
        <f t="shared" ref="D699:U699" si="344">SUM(D700)</f>
        <v>1246050</v>
      </c>
      <c r="E699" s="2">
        <f t="shared" si="344"/>
        <v>223650</v>
      </c>
      <c r="F699" s="2">
        <f t="shared" si="344"/>
        <v>670950</v>
      </c>
      <c r="G699" s="2">
        <f t="shared" si="344"/>
        <v>191700</v>
      </c>
      <c r="H699" s="2">
        <f t="shared" si="344"/>
        <v>0</v>
      </c>
      <c r="I699" s="2">
        <f t="shared" si="344"/>
        <v>159750</v>
      </c>
      <c r="J699" s="2">
        <f t="shared" si="344"/>
        <v>0</v>
      </c>
      <c r="K699" s="14">
        <f t="shared" si="344"/>
        <v>0</v>
      </c>
      <c r="L699" s="2">
        <f t="shared" si="344"/>
        <v>0</v>
      </c>
      <c r="M699" s="2">
        <f t="shared" si="344"/>
        <v>356</v>
      </c>
      <c r="N699" s="2">
        <f t="shared" si="344"/>
        <v>1312216</v>
      </c>
      <c r="O699" s="2">
        <f t="shared" si="344"/>
        <v>0</v>
      </c>
      <c r="P699" s="2">
        <f t="shared" si="344"/>
        <v>0</v>
      </c>
      <c r="Q699" s="2">
        <f t="shared" si="344"/>
        <v>545.6</v>
      </c>
      <c r="R699" s="2">
        <f t="shared" si="344"/>
        <v>1636800</v>
      </c>
      <c r="S699" s="2">
        <f t="shared" si="344"/>
        <v>0</v>
      </c>
      <c r="T699" s="2">
        <f t="shared" si="344"/>
        <v>0</v>
      </c>
      <c r="U699" s="2">
        <f t="shared" si="344"/>
        <v>100000</v>
      </c>
    </row>
    <row r="700" spans="1:22" ht="21.95" customHeight="1" x14ac:dyDescent="0.25">
      <c r="A700" s="37" t="s">
        <v>1907</v>
      </c>
      <c r="B700" s="8" t="s">
        <v>1203</v>
      </c>
      <c r="C700" s="2">
        <f t="shared" si="326"/>
        <v>4295066</v>
      </c>
      <c r="D700" s="3">
        <f t="shared" ref="D700" si="345">SUM(E700:J700)</f>
        <v>1246050</v>
      </c>
      <c r="E700" s="3">
        <f>350*639</f>
        <v>223650</v>
      </c>
      <c r="F700" s="3">
        <f>1050*639</f>
        <v>670950</v>
      </c>
      <c r="G700" s="3">
        <f>300*639</f>
        <v>191700</v>
      </c>
      <c r="H700" s="3">
        <v>0</v>
      </c>
      <c r="I700" s="3">
        <f>250*639</f>
        <v>159750</v>
      </c>
      <c r="J700" s="3">
        <v>0</v>
      </c>
      <c r="K700" s="4">
        <v>0</v>
      </c>
      <c r="L700" s="3">
        <v>0</v>
      </c>
      <c r="M700" s="3">
        <v>356</v>
      </c>
      <c r="N700" s="3">
        <f>M700*3686</f>
        <v>1312216</v>
      </c>
      <c r="O700" s="5">
        <v>0</v>
      </c>
      <c r="P700" s="5">
        <v>0</v>
      </c>
      <c r="Q700" s="3">
        <v>545.6</v>
      </c>
      <c r="R700" s="3">
        <f>Q700*3000</f>
        <v>1636800</v>
      </c>
      <c r="S700" s="3">
        <v>0</v>
      </c>
      <c r="T700" s="3">
        <v>0</v>
      </c>
      <c r="U700" s="3">
        <v>100000</v>
      </c>
      <c r="V700" s="6">
        <f t="shared" ref="V700" si="346">N700/M700</f>
        <v>3686</v>
      </c>
    </row>
    <row r="701" spans="1:22" ht="45" customHeight="1" x14ac:dyDescent="0.25">
      <c r="A701" s="54" t="s">
        <v>284</v>
      </c>
      <c r="B701" s="54"/>
      <c r="C701" s="2">
        <f>SUM(C702:C703)</f>
        <v>8726130</v>
      </c>
      <c r="D701" s="2">
        <f t="shared" ref="D701:U701" si="347">SUM(D702:D703)</f>
        <v>1326280</v>
      </c>
      <c r="E701" s="2">
        <f t="shared" si="347"/>
        <v>297080</v>
      </c>
      <c r="F701" s="2">
        <f t="shared" si="347"/>
        <v>540330</v>
      </c>
      <c r="G701" s="2">
        <f t="shared" si="347"/>
        <v>154380</v>
      </c>
      <c r="H701" s="2">
        <f t="shared" si="347"/>
        <v>205840</v>
      </c>
      <c r="I701" s="2">
        <f t="shared" si="347"/>
        <v>128650</v>
      </c>
      <c r="J701" s="2">
        <f t="shared" si="347"/>
        <v>0</v>
      </c>
      <c r="K701" s="14">
        <f t="shared" si="347"/>
        <v>0</v>
      </c>
      <c r="L701" s="2">
        <f t="shared" si="347"/>
        <v>0</v>
      </c>
      <c r="M701" s="2">
        <f t="shared" si="347"/>
        <v>755.7</v>
      </c>
      <c r="N701" s="2">
        <f t="shared" si="347"/>
        <v>4156350</v>
      </c>
      <c r="O701" s="2">
        <f t="shared" si="347"/>
        <v>0</v>
      </c>
      <c r="P701" s="2">
        <f t="shared" si="347"/>
        <v>0</v>
      </c>
      <c r="Q701" s="2">
        <f t="shared" si="347"/>
        <v>1014.5</v>
      </c>
      <c r="R701" s="2">
        <f t="shared" si="347"/>
        <v>3043500</v>
      </c>
      <c r="S701" s="2">
        <f t="shared" si="347"/>
        <v>0</v>
      </c>
      <c r="T701" s="2">
        <f t="shared" si="347"/>
        <v>0</v>
      </c>
      <c r="U701" s="2">
        <f t="shared" si="347"/>
        <v>200000</v>
      </c>
    </row>
    <row r="702" spans="1:22" ht="21.95" customHeight="1" x14ac:dyDescent="0.25">
      <c r="A702" s="37" t="s">
        <v>1908</v>
      </c>
      <c r="B702" s="8" t="s">
        <v>287</v>
      </c>
      <c r="C702" s="2">
        <f t="shared" si="326"/>
        <v>3289820</v>
      </c>
      <c r="D702" s="3">
        <f t="shared" ref="D702:D703" si="348">SUM(E702:J702)</f>
        <v>116970</v>
      </c>
      <c r="E702" s="3">
        <f>350*334.2</f>
        <v>116970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4">
        <v>0</v>
      </c>
      <c r="L702" s="3">
        <v>0</v>
      </c>
      <c r="M702" s="3">
        <v>318.7</v>
      </c>
      <c r="N702" s="3">
        <f t="shared" ref="N702:N703" si="349">M702*5500</f>
        <v>1752850</v>
      </c>
      <c r="O702" s="3">
        <v>0</v>
      </c>
      <c r="P702" s="3">
        <v>0</v>
      </c>
      <c r="Q702" s="3">
        <v>440</v>
      </c>
      <c r="R702" s="3">
        <f t="shared" ref="R702:R703" si="350">Q702*3000</f>
        <v>1320000</v>
      </c>
      <c r="S702" s="3">
        <v>0</v>
      </c>
      <c r="T702" s="3">
        <v>0</v>
      </c>
      <c r="U702" s="3">
        <v>100000</v>
      </c>
      <c r="V702" s="6">
        <f t="shared" ref="V702:V703" si="351">N702/M702</f>
        <v>5500</v>
      </c>
    </row>
    <row r="703" spans="1:22" ht="21.95" customHeight="1" x14ac:dyDescent="0.25">
      <c r="A703" s="37" t="s">
        <v>1909</v>
      </c>
      <c r="B703" s="8" t="s">
        <v>288</v>
      </c>
      <c r="C703" s="2">
        <f t="shared" si="326"/>
        <v>5436310</v>
      </c>
      <c r="D703" s="3">
        <f t="shared" si="348"/>
        <v>1209310</v>
      </c>
      <c r="E703" s="3">
        <f>350*514.6</f>
        <v>180110</v>
      </c>
      <c r="F703" s="3">
        <f>1050*514.6</f>
        <v>540330</v>
      </c>
      <c r="G703" s="3">
        <f>300*514.6</f>
        <v>154380</v>
      </c>
      <c r="H703" s="3">
        <f>400*514.6</f>
        <v>205840</v>
      </c>
      <c r="I703" s="3">
        <f>250*514.6</f>
        <v>128650</v>
      </c>
      <c r="J703" s="3">
        <v>0</v>
      </c>
      <c r="K703" s="4">
        <v>0</v>
      </c>
      <c r="L703" s="3">
        <v>0</v>
      </c>
      <c r="M703" s="3">
        <v>437</v>
      </c>
      <c r="N703" s="3">
        <f t="shared" si="349"/>
        <v>2403500</v>
      </c>
      <c r="O703" s="3">
        <v>0</v>
      </c>
      <c r="P703" s="3">
        <v>0</v>
      </c>
      <c r="Q703" s="3">
        <v>574.5</v>
      </c>
      <c r="R703" s="3">
        <f t="shared" si="350"/>
        <v>1723500</v>
      </c>
      <c r="S703" s="3">
        <v>0</v>
      </c>
      <c r="T703" s="3">
        <v>0</v>
      </c>
      <c r="U703" s="3">
        <v>100000</v>
      </c>
      <c r="V703" s="6">
        <f t="shared" si="351"/>
        <v>5500</v>
      </c>
    </row>
    <row r="704" spans="1:22" ht="45" customHeight="1" x14ac:dyDescent="0.25">
      <c r="A704" s="54" t="s">
        <v>289</v>
      </c>
      <c r="B704" s="54"/>
      <c r="C704" s="2">
        <f>SUM(C705:C714)</f>
        <v>29415580.539999999</v>
      </c>
      <c r="D704" s="2">
        <f t="shared" ref="D704:U704" si="352">SUM(D705:D714)</f>
        <v>2349920</v>
      </c>
      <c r="E704" s="2">
        <f t="shared" si="352"/>
        <v>728000</v>
      </c>
      <c r="F704" s="2">
        <f t="shared" si="352"/>
        <v>1064385</v>
      </c>
      <c r="G704" s="2">
        <f t="shared" si="352"/>
        <v>304110</v>
      </c>
      <c r="H704" s="2">
        <f t="shared" si="352"/>
        <v>0</v>
      </c>
      <c r="I704" s="2">
        <f t="shared" si="352"/>
        <v>253425</v>
      </c>
      <c r="J704" s="2">
        <f t="shared" si="352"/>
        <v>0</v>
      </c>
      <c r="K704" s="14">
        <f t="shared" si="352"/>
        <v>0</v>
      </c>
      <c r="L704" s="2">
        <f t="shared" si="352"/>
        <v>0</v>
      </c>
      <c r="M704" s="2">
        <f t="shared" si="352"/>
        <v>3081.4900000000002</v>
      </c>
      <c r="N704" s="2">
        <f t="shared" si="352"/>
        <v>16268389.569999998</v>
      </c>
      <c r="O704" s="2">
        <f t="shared" si="352"/>
        <v>0</v>
      </c>
      <c r="P704" s="2">
        <f t="shared" si="352"/>
        <v>0</v>
      </c>
      <c r="Q704" s="2">
        <f t="shared" si="352"/>
        <v>3412</v>
      </c>
      <c r="R704" s="2">
        <f t="shared" si="352"/>
        <v>10236000</v>
      </c>
      <c r="S704" s="2">
        <f t="shared" si="352"/>
        <v>0</v>
      </c>
      <c r="T704" s="2">
        <f t="shared" si="352"/>
        <v>0</v>
      </c>
      <c r="U704" s="2">
        <f t="shared" si="352"/>
        <v>561270.97</v>
      </c>
    </row>
    <row r="705" spans="1:22" ht="21.95" customHeight="1" x14ac:dyDescent="0.25">
      <c r="A705" s="37" t="s">
        <v>1910</v>
      </c>
      <c r="B705" s="8" t="s">
        <v>290</v>
      </c>
      <c r="C705" s="2">
        <f t="shared" si="326"/>
        <v>1766970.54</v>
      </c>
      <c r="D705" s="3">
        <f t="shared" ref="D705:D713" si="353">SUM(E705:J705)</f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4">
        <v>0</v>
      </c>
      <c r="L705" s="3">
        <v>0</v>
      </c>
      <c r="M705" s="3">
        <v>365.11</v>
      </c>
      <c r="N705" s="3">
        <v>1766970.54</v>
      </c>
      <c r="O705" s="3">
        <v>0</v>
      </c>
      <c r="P705" s="3">
        <v>0</v>
      </c>
      <c r="Q705" s="3">
        <v>0</v>
      </c>
      <c r="R705" s="3">
        <f t="shared" ref="R705:R713" si="354">Q705*3000</f>
        <v>0</v>
      </c>
      <c r="S705" s="3">
        <v>0</v>
      </c>
      <c r="T705" s="3">
        <v>0</v>
      </c>
      <c r="U705" s="3">
        <v>0</v>
      </c>
      <c r="V705" s="6">
        <f t="shared" ref="V705:V713" si="355">N705/M705</f>
        <v>4839.556681548027</v>
      </c>
    </row>
    <row r="706" spans="1:22" ht="21.95" customHeight="1" x14ac:dyDescent="0.25">
      <c r="A706" s="37" t="s">
        <v>1911</v>
      </c>
      <c r="B706" s="8" t="s">
        <v>291</v>
      </c>
      <c r="C706" s="2">
        <f t="shared" si="326"/>
        <v>1828658.93</v>
      </c>
      <c r="D706" s="3">
        <f t="shared" si="353"/>
        <v>0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4">
        <v>0</v>
      </c>
      <c r="L706" s="3">
        <v>0</v>
      </c>
      <c r="M706" s="3">
        <v>374.08</v>
      </c>
      <c r="N706" s="3">
        <v>1828658.93</v>
      </c>
      <c r="O706" s="3">
        <v>0</v>
      </c>
      <c r="P706" s="3">
        <v>0</v>
      </c>
      <c r="Q706" s="3">
        <v>0</v>
      </c>
      <c r="R706" s="3">
        <f t="shared" si="354"/>
        <v>0</v>
      </c>
      <c r="S706" s="3">
        <v>0</v>
      </c>
      <c r="T706" s="3">
        <v>0</v>
      </c>
      <c r="U706" s="3">
        <v>0</v>
      </c>
      <c r="V706" s="6">
        <f t="shared" si="355"/>
        <v>4888.4167290419164</v>
      </c>
    </row>
    <row r="707" spans="1:22" ht="21.95" customHeight="1" x14ac:dyDescent="0.25">
      <c r="A707" s="37" t="s">
        <v>1912</v>
      </c>
      <c r="B707" s="8" t="s">
        <v>294</v>
      </c>
      <c r="C707" s="2">
        <f t="shared" si="326"/>
        <v>4100165.37</v>
      </c>
      <c r="D707" s="3">
        <f t="shared" si="353"/>
        <v>0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4">
        <v>0</v>
      </c>
      <c r="L707" s="3">
        <v>0</v>
      </c>
      <c r="M707" s="3">
        <v>427</v>
      </c>
      <c r="N707" s="3">
        <f t="shared" ref="N707:N710" si="356">M707*5500</f>
        <v>2348500</v>
      </c>
      <c r="O707" s="3">
        <v>0</v>
      </c>
      <c r="P707" s="3">
        <v>0</v>
      </c>
      <c r="Q707" s="3">
        <v>567</v>
      </c>
      <c r="R707" s="3">
        <f t="shared" si="354"/>
        <v>1701000</v>
      </c>
      <c r="S707" s="3">
        <v>0</v>
      </c>
      <c r="T707" s="3">
        <v>0</v>
      </c>
      <c r="U707" s="3">
        <v>50665.37</v>
      </c>
      <c r="V707" s="6">
        <f t="shared" si="355"/>
        <v>5500</v>
      </c>
    </row>
    <row r="708" spans="1:22" ht="21.95" customHeight="1" x14ac:dyDescent="0.25">
      <c r="A708" s="37" t="s">
        <v>1913</v>
      </c>
      <c r="B708" s="8" t="s">
        <v>295</v>
      </c>
      <c r="C708" s="2">
        <f t="shared" si="326"/>
        <v>4118265.18</v>
      </c>
      <c r="D708" s="3">
        <f t="shared" si="353"/>
        <v>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4">
        <v>0</v>
      </c>
      <c r="L708" s="3">
        <v>0</v>
      </c>
      <c r="M708" s="3">
        <v>427</v>
      </c>
      <c r="N708" s="3">
        <f t="shared" si="356"/>
        <v>2348500</v>
      </c>
      <c r="O708" s="3">
        <v>0</v>
      </c>
      <c r="P708" s="3">
        <v>0</v>
      </c>
      <c r="Q708" s="3">
        <v>573</v>
      </c>
      <c r="R708" s="3">
        <f t="shared" si="354"/>
        <v>1719000</v>
      </c>
      <c r="S708" s="3">
        <v>0</v>
      </c>
      <c r="T708" s="3">
        <v>0</v>
      </c>
      <c r="U708" s="3">
        <v>50765.18</v>
      </c>
      <c r="V708" s="6">
        <f t="shared" si="355"/>
        <v>5500</v>
      </c>
    </row>
    <row r="709" spans="1:22" ht="21.95" customHeight="1" x14ac:dyDescent="0.25">
      <c r="A709" s="37" t="s">
        <v>1914</v>
      </c>
      <c r="B709" s="8" t="s">
        <v>296</v>
      </c>
      <c r="C709" s="2">
        <f t="shared" si="326"/>
        <v>5125776.66</v>
      </c>
      <c r="D709" s="3">
        <f t="shared" si="353"/>
        <v>996840</v>
      </c>
      <c r="E709" s="3">
        <f>350*511.2</f>
        <v>178920</v>
      </c>
      <c r="F709" s="3">
        <f>1050*511.2</f>
        <v>536760</v>
      </c>
      <c r="G709" s="3">
        <f>300*511.2</f>
        <v>153360</v>
      </c>
      <c r="H709" s="3">
        <f>400*0</f>
        <v>0</v>
      </c>
      <c r="I709" s="3">
        <f>250*511.2</f>
        <v>127800</v>
      </c>
      <c r="J709" s="3">
        <v>0</v>
      </c>
      <c r="K709" s="4">
        <v>0</v>
      </c>
      <c r="L709" s="3">
        <v>0</v>
      </c>
      <c r="M709" s="3">
        <v>427</v>
      </c>
      <c r="N709" s="3">
        <f t="shared" si="356"/>
        <v>2348500</v>
      </c>
      <c r="O709" s="3">
        <v>0</v>
      </c>
      <c r="P709" s="3">
        <v>0</v>
      </c>
      <c r="Q709" s="3">
        <v>550</v>
      </c>
      <c r="R709" s="3">
        <f t="shared" si="354"/>
        <v>1650000</v>
      </c>
      <c r="S709" s="3">
        <v>0</v>
      </c>
      <c r="T709" s="3">
        <v>0</v>
      </c>
      <c r="U709" s="3">
        <v>130436.66</v>
      </c>
      <c r="V709" s="6">
        <f t="shared" si="355"/>
        <v>5500</v>
      </c>
    </row>
    <row r="710" spans="1:22" ht="21.95" customHeight="1" x14ac:dyDescent="0.25">
      <c r="A710" s="37" t="s">
        <v>1915</v>
      </c>
      <c r="B710" s="8" t="s">
        <v>297</v>
      </c>
      <c r="C710" s="2">
        <f t="shared" si="326"/>
        <v>2299000</v>
      </c>
      <c r="D710" s="3">
        <f t="shared" si="353"/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4">
        <v>0</v>
      </c>
      <c r="L710" s="3">
        <v>0</v>
      </c>
      <c r="M710" s="3">
        <v>418</v>
      </c>
      <c r="N710" s="3">
        <f t="shared" si="356"/>
        <v>2299000</v>
      </c>
      <c r="O710" s="3">
        <v>0</v>
      </c>
      <c r="P710" s="3">
        <v>0</v>
      </c>
      <c r="Q710" s="3">
        <v>0</v>
      </c>
      <c r="R710" s="3">
        <f t="shared" si="354"/>
        <v>0</v>
      </c>
      <c r="S710" s="3">
        <v>0</v>
      </c>
      <c r="T710" s="3">
        <v>0</v>
      </c>
      <c r="U710" s="3">
        <v>0</v>
      </c>
      <c r="V710" s="6">
        <f t="shared" si="355"/>
        <v>5500</v>
      </c>
    </row>
    <row r="711" spans="1:22" ht="23.1" customHeight="1" x14ac:dyDescent="0.25">
      <c r="A711" s="37" t="s">
        <v>1916</v>
      </c>
      <c r="B711" s="8" t="s">
        <v>298</v>
      </c>
      <c r="C711" s="2">
        <f>D711+L711+N711+P711+R711+S711+T711+U711</f>
        <v>4979278.76</v>
      </c>
      <c r="D711" s="3">
        <f>SUM(E711:J711)</f>
        <v>979875</v>
      </c>
      <c r="E711" s="3">
        <f>350*502.5</f>
        <v>175875</v>
      </c>
      <c r="F711" s="3">
        <f>1050*502.5</f>
        <v>527625</v>
      </c>
      <c r="G711" s="3">
        <f>300*502.5</f>
        <v>150750</v>
      </c>
      <c r="H711" s="3">
        <f>400*0</f>
        <v>0</v>
      </c>
      <c r="I711" s="3">
        <f>250*502.5</f>
        <v>125625</v>
      </c>
      <c r="J711" s="3">
        <v>0</v>
      </c>
      <c r="K711" s="4">
        <v>0</v>
      </c>
      <c r="L711" s="3">
        <v>0</v>
      </c>
      <c r="M711" s="3">
        <v>390</v>
      </c>
      <c r="N711" s="3">
        <f>M711*5500</f>
        <v>2145000</v>
      </c>
      <c r="O711" s="3">
        <v>0</v>
      </c>
      <c r="P711" s="3">
        <v>0</v>
      </c>
      <c r="Q711" s="3">
        <v>575</v>
      </c>
      <c r="R711" s="3">
        <f>Q711*3000</f>
        <v>1725000</v>
      </c>
      <c r="S711" s="3">
        <v>0</v>
      </c>
      <c r="T711" s="3">
        <v>0</v>
      </c>
      <c r="U711" s="3">
        <v>129403.76</v>
      </c>
      <c r="V711" s="6">
        <f>N711/M711</f>
        <v>5500</v>
      </c>
    </row>
    <row r="712" spans="1:22" ht="21.95" customHeight="1" x14ac:dyDescent="0.25">
      <c r="A712" s="37" t="s">
        <v>1917</v>
      </c>
      <c r="B712" s="8" t="s">
        <v>299</v>
      </c>
      <c r="C712" s="2">
        <f t="shared" si="326"/>
        <v>2038970</v>
      </c>
      <c r="D712" s="3">
        <f t="shared" si="353"/>
        <v>186970.00000000003</v>
      </c>
      <c r="E712" s="3">
        <f>350*534.2</f>
        <v>186970.00000000003</v>
      </c>
      <c r="F712" s="3">
        <v>0</v>
      </c>
      <c r="G712" s="3">
        <v>0</v>
      </c>
      <c r="H712" s="3">
        <f>400*0</f>
        <v>0</v>
      </c>
      <c r="I712" s="3">
        <v>0</v>
      </c>
      <c r="J712" s="3">
        <v>0</v>
      </c>
      <c r="K712" s="4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584</v>
      </c>
      <c r="R712" s="3">
        <f t="shared" si="354"/>
        <v>1752000</v>
      </c>
      <c r="S712" s="3">
        <v>0</v>
      </c>
      <c r="T712" s="3">
        <v>0</v>
      </c>
      <c r="U712" s="3">
        <v>100000</v>
      </c>
      <c r="V712" s="6" t="e">
        <f t="shared" si="355"/>
        <v>#DIV/0!</v>
      </c>
    </row>
    <row r="713" spans="1:22" ht="21.95" customHeight="1" x14ac:dyDescent="0.25">
      <c r="A713" s="37" t="s">
        <v>1918</v>
      </c>
      <c r="B713" s="8" t="s">
        <v>301</v>
      </c>
      <c r="C713" s="2">
        <f t="shared" si="326"/>
        <v>1975235</v>
      </c>
      <c r="D713" s="3">
        <f t="shared" si="353"/>
        <v>186235</v>
      </c>
      <c r="E713" s="3">
        <f>350*532.1</f>
        <v>186235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4">
        <v>0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563</v>
      </c>
      <c r="R713" s="3">
        <f t="shared" si="354"/>
        <v>1689000</v>
      </c>
      <c r="S713" s="3">
        <v>0</v>
      </c>
      <c r="T713" s="3">
        <v>0</v>
      </c>
      <c r="U713" s="3">
        <v>100000</v>
      </c>
      <c r="V713" s="6" t="e">
        <f t="shared" si="355"/>
        <v>#DIV/0!</v>
      </c>
    </row>
    <row r="714" spans="1:22" ht="21.95" customHeight="1" x14ac:dyDescent="0.25">
      <c r="A714" s="37" t="s">
        <v>1919</v>
      </c>
      <c r="B714" s="8" t="s">
        <v>300</v>
      </c>
      <c r="C714" s="2">
        <f>D714+L714+N714+P714+R714+S714+T714+U714</f>
        <v>1183260.1000000001</v>
      </c>
      <c r="D714" s="3">
        <f>SUM(E714:J714)</f>
        <v>0</v>
      </c>
      <c r="E714" s="3">
        <v>0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4">
        <v>0</v>
      </c>
      <c r="L714" s="3">
        <v>0</v>
      </c>
      <c r="M714" s="3">
        <v>253.3</v>
      </c>
      <c r="N714" s="3">
        <v>1183260.1000000001</v>
      </c>
      <c r="O714" s="3">
        <v>0</v>
      </c>
      <c r="P714" s="3">
        <v>0</v>
      </c>
      <c r="Q714" s="3">
        <v>0</v>
      </c>
      <c r="R714" s="3">
        <f>Q714*3000</f>
        <v>0</v>
      </c>
      <c r="S714" s="3">
        <v>0</v>
      </c>
      <c r="T714" s="3">
        <v>0</v>
      </c>
      <c r="U714" s="3">
        <v>0</v>
      </c>
      <c r="V714" s="6">
        <f>N714/M714</f>
        <v>4671.3782076589023</v>
      </c>
    </row>
    <row r="715" spans="1:22" ht="45" customHeight="1" x14ac:dyDescent="0.25">
      <c r="A715" s="54" t="s">
        <v>307</v>
      </c>
      <c r="B715" s="54"/>
      <c r="C715" s="2">
        <f>SUM(C716)</f>
        <v>200000</v>
      </c>
      <c r="D715" s="2">
        <f t="shared" ref="D715:U715" si="357">SUM(D716)</f>
        <v>0</v>
      </c>
      <c r="E715" s="2">
        <f t="shared" si="357"/>
        <v>0</v>
      </c>
      <c r="F715" s="2">
        <f t="shared" si="357"/>
        <v>0</v>
      </c>
      <c r="G715" s="2">
        <f t="shared" si="357"/>
        <v>0</v>
      </c>
      <c r="H715" s="2">
        <f t="shared" si="357"/>
        <v>0</v>
      </c>
      <c r="I715" s="2">
        <f t="shared" si="357"/>
        <v>0</v>
      </c>
      <c r="J715" s="2">
        <f t="shared" si="357"/>
        <v>0</v>
      </c>
      <c r="K715" s="14">
        <f t="shared" si="357"/>
        <v>0</v>
      </c>
      <c r="L715" s="2">
        <f t="shared" si="357"/>
        <v>0</v>
      </c>
      <c r="M715" s="2">
        <f t="shared" si="357"/>
        <v>0</v>
      </c>
      <c r="N715" s="2">
        <f t="shared" si="357"/>
        <v>0</v>
      </c>
      <c r="O715" s="2">
        <f t="shared" si="357"/>
        <v>0</v>
      </c>
      <c r="P715" s="2">
        <f t="shared" si="357"/>
        <v>0</v>
      </c>
      <c r="Q715" s="2">
        <f t="shared" si="357"/>
        <v>0</v>
      </c>
      <c r="R715" s="2">
        <f t="shared" si="357"/>
        <v>0</v>
      </c>
      <c r="S715" s="2">
        <f t="shared" si="357"/>
        <v>0</v>
      </c>
      <c r="T715" s="2">
        <f t="shared" si="357"/>
        <v>0</v>
      </c>
      <c r="U715" s="2">
        <f t="shared" si="357"/>
        <v>200000</v>
      </c>
    </row>
    <row r="716" spans="1:22" ht="21.95" customHeight="1" x14ac:dyDescent="0.25">
      <c r="A716" s="36" t="s">
        <v>1920</v>
      </c>
      <c r="B716" s="8" t="s">
        <v>311</v>
      </c>
      <c r="C716" s="2">
        <f t="shared" ref="C716:C755" si="358">D716+L716+N716+P716+R716+S716+T716+U716</f>
        <v>200000</v>
      </c>
      <c r="D716" s="3">
        <f t="shared" ref="D716" si="359">SUM(E716:J716)</f>
        <v>0</v>
      </c>
      <c r="E716" s="5">
        <v>0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11">
        <v>0</v>
      </c>
      <c r="L716" s="5">
        <v>0</v>
      </c>
      <c r="M716" s="5">
        <v>0</v>
      </c>
      <c r="N716" s="3">
        <f t="shared" ref="N716" si="360">M716*5500</f>
        <v>0</v>
      </c>
      <c r="O716" s="5">
        <v>0</v>
      </c>
      <c r="P716" s="5">
        <v>0</v>
      </c>
      <c r="Q716" s="5">
        <v>0</v>
      </c>
      <c r="R716" s="3">
        <f>Q716*3000</f>
        <v>0</v>
      </c>
      <c r="S716" s="5">
        <v>0</v>
      </c>
      <c r="T716" s="5">
        <v>0</v>
      </c>
      <c r="U716" s="5">
        <v>200000</v>
      </c>
      <c r="V716" s="6" t="e">
        <f t="shared" ref="V716" si="361">N716/M716</f>
        <v>#DIV/0!</v>
      </c>
    </row>
    <row r="717" spans="1:22" ht="45" customHeight="1" x14ac:dyDescent="0.25">
      <c r="A717" s="54" t="s">
        <v>312</v>
      </c>
      <c r="B717" s="54"/>
      <c r="C717" s="2">
        <f>SUM(C718:C720)</f>
        <v>10219835</v>
      </c>
      <c r="D717" s="2">
        <f t="shared" ref="D717:U717" si="362">SUM(D718:D720)</f>
        <v>478065</v>
      </c>
      <c r="E717" s="2">
        <f t="shared" si="362"/>
        <v>478065</v>
      </c>
      <c r="F717" s="2">
        <f t="shared" si="362"/>
        <v>0</v>
      </c>
      <c r="G717" s="2">
        <f t="shared" si="362"/>
        <v>0</v>
      </c>
      <c r="H717" s="2">
        <f t="shared" si="362"/>
        <v>0</v>
      </c>
      <c r="I717" s="2">
        <f t="shared" si="362"/>
        <v>0</v>
      </c>
      <c r="J717" s="2">
        <f t="shared" si="362"/>
        <v>0</v>
      </c>
      <c r="K717" s="14">
        <f t="shared" si="362"/>
        <v>0</v>
      </c>
      <c r="L717" s="2">
        <f t="shared" si="362"/>
        <v>0</v>
      </c>
      <c r="M717" s="2">
        <f t="shared" si="362"/>
        <v>986.24</v>
      </c>
      <c r="N717" s="2">
        <f t="shared" si="362"/>
        <v>5424320</v>
      </c>
      <c r="O717" s="2">
        <f t="shared" si="362"/>
        <v>0</v>
      </c>
      <c r="P717" s="2">
        <f t="shared" si="362"/>
        <v>0</v>
      </c>
      <c r="Q717" s="2">
        <f t="shared" si="362"/>
        <v>1287</v>
      </c>
      <c r="R717" s="2">
        <f t="shared" si="362"/>
        <v>3861000</v>
      </c>
      <c r="S717" s="2">
        <f t="shared" si="362"/>
        <v>156450</v>
      </c>
      <c r="T717" s="2">
        <f t="shared" si="362"/>
        <v>0</v>
      </c>
      <c r="U717" s="2">
        <f t="shared" si="362"/>
        <v>300000</v>
      </c>
    </row>
    <row r="718" spans="1:22" ht="21.95" customHeight="1" x14ac:dyDescent="0.25">
      <c r="A718" s="36" t="s">
        <v>1921</v>
      </c>
      <c r="B718" s="8" t="s">
        <v>313</v>
      </c>
      <c r="C718" s="2">
        <f t="shared" si="358"/>
        <v>3435800</v>
      </c>
      <c r="D718" s="3">
        <f t="shared" ref="D718:D720" si="363">SUM(E718:J718)</f>
        <v>205800</v>
      </c>
      <c r="E718" s="5">
        <f>588*350</f>
        <v>205800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11">
        <v>0</v>
      </c>
      <c r="L718" s="5">
        <v>0</v>
      </c>
      <c r="M718" s="5">
        <v>334</v>
      </c>
      <c r="N718" s="3">
        <f t="shared" ref="N718:N720" si="364">M718*5500</f>
        <v>1837000</v>
      </c>
      <c r="O718" s="5">
        <v>0</v>
      </c>
      <c r="P718" s="5">
        <v>0</v>
      </c>
      <c r="Q718" s="5">
        <v>431</v>
      </c>
      <c r="R718" s="3">
        <f t="shared" ref="R718:R720" si="365">Q718*3000</f>
        <v>1293000</v>
      </c>
      <c r="S718" s="5">
        <v>0</v>
      </c>
      <c r="T718" s="5">
        <v>0</v>
      </c>
      <c r="U718" s="3">
        <v>100000</v>
      </c>
      <c r="V718" s="6">
        <f t="shared" ref="V718:V720" si="366">N718/M718</f>
        <v>5500</v>
      </c>
    </row>
    <row r="719" spans="1:22" ht="21.95" customHeight="1" x14ac:dyDescent="0.25">
      <c r="A719" s="36" t="s">
        <v>1922</v>
      </c>
      <c r="B719" s="8" t="s">
        <v>314</v>
      </c>
      <c r="C719" s="2">
        <f t="shared" si="358"/>
        <v>2208860</v>
      </c>
      <c r="D719" s="3">
        <f t="shared" si="363"/>
        <v>78540</v>
      </c>
      <c r="E719" s="5">
        <f>308*255</f>
        <v>78540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11">
        <v>0</v>
      </c>
      <c r="L719" s="5">
        <v>0</v>
      </c>
      <c r="M719" s="5">
        <v>202.24</v>
      </c>
      <c r="N719" s="3">
        <f t="shared" si="364"/>
        <v>1112320</v>
      </c>
      <c r="O719" s="5">
        <v>0</v>
      </c>
      <c r="P719" s="5">
        <v>0</v>
      </c>
      <c r="Q719" s="5">
        <v>306</v>
      </c>
      <c r="R719" s="3">
        <f t="shared" si="365"/>
        <v>918000</v>
      </c>
      <c r="S719" s="5">
        <v>0</v>
      </c>
      <c r="T719" s="5">
        <v>0</v>
      </c>
      <c r="U719" s="3">
        <v>100000</v>
      </c>
      <c r="V719" s="6">
        <f t="shared" si="366"/>
        <v>5500</v>
      </c>
    </row>
    <row r="720" spans="1:22" ht="21.95" customHeight="1" x14ac:dyDescent="0.25">
      <c r="A720" s="36" t="s">
        <v>1923</v>
      </c>
      <c r="B720" s="8" t="s">
        <v>316</v>
      </c>
      <c r="C720" s="2">
        <f t="shared" si="358"/>
        <v>4575175</v>
      </c>
      <c r="D720" s="3">
        <f t="shared" si="363"/>
        <v>193725</v>
      </c>
      <c r="E720" s="3">
        <f>553.5*350</f>
        <v>193725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4">
        <v>0</v>
      </c>
      <c r="L720" s="3">
        <v>0</v>
      </c>
      <c r="M720" s="5">
        <v>450</v>
      </c>
      <c r="N720" s="3">
        <f t="shared" si="364"/>
        <v>2475000</v>
      </c>
      <c r="O720" s="3">
        <v>0</v>
      </c>
      <c r="P720" s="3">
        <v>0</v>
      </c>
      <c r="Q720" s="3">
        <v>550</v>
      </c>
      <c r="R720" s="3">
        <f t="shared" si="365"/>
        <v>1650000</v>
      </c>
      <c r="S720" s="3">
        <v>156450</v>
      </c>
      <c r="T720" s="3">
        <v>0</v>
      </c>
      <c r="U720" s="3">
        <v>100000</v>
      </c>
      <c r="V720" s="6">
        <f t="shared" si="366"/>
        <v>5500</v>
      </c>
    </row>
    <row r="721" spans="1:22" ht="45" customHeight="1" x14ac:dyDescent="0.25">
      <c r="A721" s="54" t="s">
        <v>970</v>
      </c>
      <c r="B721" s="54"/>
      <c r="C721" s="2">
        <f>SUM(C722)</f>
        <v>3374720</v>
      </c>
      <c r="D721" s="2">
        <f t="shared" ref="D721:U721" si="367">SUM(D722)</f>
        <v>245000</v>
      </c>
      <c r="E721" s="2">
        <f t="shared" si="367"/>
        <v>245000</v>
      </c>
      <c r="F721" s="2">
        <f t="shared" si="367"/>
        <v>0</v>
      </c>
      <c r="G721" s="2">
        <f t="shared" si="367"/>
        <v>0</v>
      </c>
      <c r="H721" s="2">
        <f t="shared" si="367"/>
        <v>0</v>
      </c>
      <c r="I721" s="2">
        <f t="shared" si="367"/>
        <v>0</v>
      </c>
      <c r="J721" s="2">
        <f t="shared" si="367"/>
        <v>0</v>
      </c>
      <c r="K721" s="14">
        <f t="shared" si="367"/>
        <v>0</v>
      </c>
      <c r="L721" s="2">
        <f t="shared" si="367"/>
        <v>0</v>
      </c>
      <c r="M721" s="2">
        <f t="shared" si="367"/>
        <v>262.2</v>
      </c>
      <c r="N721" s="2">
        <f t="shared" si="367"/>
        <v>1730520</v>
      </c>
      <c r="O721" s="2">
        <f t="shared" si="367"/>
        <v>0</v>
      </c>
      <c r="P721" s="2">
        <f t="shared" si="367"/>
        <v>0</v>
      </c>
      <c r="Q721" s="2">
        <f t="shared" si="367"/>
        <v>406</v>
      </c>
      <c r="R721" s="2">
        <f t="shared" si="367"/>
        <v>1299200</v>
      </c>
      <c r="S721" s="2">
        <f t="shared" si="367"/>
        <v>0</v>
      </c>
      <c r="T721" s="2">
        <f t="shared" si="367"/>
        <v>0</v>
      </c>
      <c r="U721" s="2">
        <f t="shared" si="367"/>
        <v>100000</v>
      </c>
    </row>
    <row r="722" spans="1:22" ht="21.95" customHeight="1" x14ac:dyDescent="0.25">
      <c r="A722" s="37" t="s">
        <v>1924</v>
      </c>
      <c r="B722" s="8" t="s">
        <v>321</v>
      </c>
      <c r="C722" s="2">
        <f t="shared" si="358"/>
        <v>3374720</v>
      </c>
      <c r="D722" s="3">
        <f t="shared" ref="D722" si="368">SUM(E722:J722)</f>
        <v>245000</v>
      </c>
      <c r="E722" s="3">
        <f>350*700</f>
        <v>245000</v>
      </c>
      <c r="F722" s="3">
        <v>0</v>
      </c>
      <c r="G722" s="3">
        <f>350*0</f>
        <v>0</v>
      </c>
      <c r="H722" s="3">
        <f>400*0</f>
        <v>0</v>
      </c>
      <c r="I722" s="3">
        <f>250*0</f>
        <v>0</v>
      </c>
      <c r="J722" s="3">
        <v>0</v>
      </c>
      <c r="K722" s="4">
        <v>0</v>
      </c>
      <c r="L722" s="3">
        <v>0</v>
      </c>
      <c r="M722" s="3">
        <v>262.2</v>
      </c>
      <c r="N722" s="3">
        <f>M722*6600</f>
        <v>1730520</v>
      </c>
      <c r="O722" s="3">
        <v>0</v>
      </c>
      <c r="P722" s="3">
        <v>0</v>
      </c>
      <c r="Q722" s="3">
        <v>406</v>
      </c>
      <c r="R722" s="3">
        <f>Q722*3200</f>
        <v>1299200</v>
      </c>
      <c r="S722" s="3">
        <v>0</v>
      </c>
      <c r="T722" s="3">
        <v>0</v>
      </c>
      <c r="U722" s="3">
        <v>100000</v>
      </c>
      <c r="V722" s="6">
        <f t="shared" ref="V722" si="369">N722/M722</f>
        <v>6600</v>
      </c>
    </row>
    <row r="723" spans="1:22" ht="45" customHeight="1" x14ac:dyDescent="0.25">
      <c r="A723" s="54" t="s">
        <v>324</v>
      </c>
      <c r="B723" s="54"/>
      <c r="C723" s="2">
        <f>SUM(C724:C726)</f>
        <v>11754548</v>
      </c>
      <c r="D723" s="2">
        <f t="shared" ref="D723:U723" si="370">SUM(D724:D726)</f>
        <v>329000</v>
      </c>
      <c r="E723" s="2">
        <f t="shared" si="370"/>
        <v>329000</v>
      </c>
      <c r="F723" s="2">
        <f t="shared" si="370"/>
        <v>0</v>
      </c>
      <c r="G723" s="2">
        <f t="shared" si="370"/>
        <v>0</v>
      </c>
      <c r="H723" s="2">
        <f t="shared" si="370"/>
        <v>0</v>
      </c>
      <c r="I723" s="2">
        <f t="shared" si="370"/>
        <v>0</v>
      </c>
      <c r="J723" s="2">
        <f t="shared" si="370"/>
        <v>0</v>
      </c>
      <c r="K723" s="14">
        <f t="shared" si="370"/>
        <v>0</v>
      </c>
      <c r="L723" s="2">
        <f t="shared" si="370"/>
        <v>0</v>
      </c>
      <c r="M723" s="2">
        <f t="shared" si="370"/>
        <v>1634.1999999999998</v>
      </c>
      <c r="N723" s="2">
        <f t="shared" si="370"/>
        <v>8896748</v>
      </c>
      <c r="O723" s="2">
        <f t="shared" si="370"/>
        <v>0</v>
      </c>
      <c r="P723" s="2">
        <f t="shared" si="370"/>
        <v>0</v>
      </c>
      <c r="Q723" s="2">
        <f t="shared" si="370"/>
        <v>809.6</v>
      </c>
      <c r="R723" s="2">
        <f t="shared" si="370"/>
        <v>2428800</v>
      </c>
      <c r="S723" s="2">
        <f t="shared" si="370"/>
        <v>0</v>
      </c>
      <c r="T723" s="2">
        <f t="shared" si="370"/>
        <v>0</v>
      </c>
      <c r="U723" s="2">
        <f t="shared" si="370"/>
        <v>100000</v>
      </c>
    </row>
    <row r="724" spans="1:22" ht="21.95" customHeight="1" x14ac:dyDescent="0.25">
      <c r="A724" s="37" t="s">
        <v>1925</v>
      </c>
      <c r="B724" s="8" t="s">
        <v>325</v>
      </c>
      <c r="C724" s="2">
        <f t="shared" si="358"/>
        <v>6466900</v>
      </c>
      <c r="D724" s="3">
        <f t="shared" ref="D724:D726" si="371">SUM(E724:J724)</f>
        <v>329000</v>
      </c>
      <c r="E724" s="3">
        <f>350*940</f>
        <v>329000</v>
      </c>
      <c r="F724" s="3">
        <v>0</v>
      </c>
      <c r="G724" s="3">
        <f>350*0</f>
        <v>0</v>
      </c>
      <c r="H724" s="3">
        <f>400*0</f>
        <v>0</v>
      </c>
      <c r="I724" s="3">
        <f>250*0</f>
        <v>0</v>
      </c>
      <c r="J724" s="3">
        <v>0</v>
      </c>
      <c r="K724" s="4">
        <v>0</v>
      </c>
      <c r="L724" s="3">
        <v>0</v>
      </c>
      <c r="M724" s="3">
        <v>656.2</v>
      </c>
      <c r="N724" s="3">
        <f t="shared" ref="N724" si="372">M724*5500</f>
        <v>3609100.0000000005</v>
      </c>
      <c r="O724" s="3">
        <v>0</v>
      </c>
      <c r="P724" s="3">
        <v>0</v>
      </c>
      <c r="Q724" s="3">
        <v>809.6</v>
      </c>
      <c r="R724" s="3">
        <f t="shared" ref="R724:R726" si="373">Q724*3000</f>
        <v>2428800</v>
      </c>
      <c r="S724" s="3">
        <v>0</v>
      </c>
      <c r="T724" s="3">
        <v>0</v>
      </c>
      <c r="U724" s="3">
        <v>100000</v>
      </c>
      <c r="V724" s="6">
        <f t="shared" ref="V724:V726" si="374">N724/M724</f>
        <v>5500</v>
      </c>
    </row>
    <row r="725" spans="1:22" ht="21.95" customHeight="1" x14ac:dyDescent="0.25">
      <c r="A725" s="37" t="s">
        <v>1926</v>
      </c>
      <c r="B725" s="8" t="s">
        <v>974</v>
      </c>
      <c r="C725" s="2">
        <f t="shared" si="358"/>
        <v>3390200</v>
      </c>
      <c r="D725" s="3">
        <f t="shared" si="371"/>
        <v>0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4">
        <v>0</v>
      </c>
      <c r="L725" s="3">
        <v>0</v>
      </c>
      <c r="M725" s="3">
        <v>616.4</v>
      </c>
      <c r="N725" s="3">
        <v>3390200</v>
      </c>
      <c r="O725" s="3">
        <v>0</v>
      </c>
      <c r="P725" s="3">
        <v>0</v>
      </c>
      <c r="Q725" s="3">
        <v>0</v>
      </c>
      <c r="R725" s="3">
        <f t="shared" si="373"/>
        <v>0</v>
      </c>
      <c r="S725" s="3">
        <v>0</v>
      </c>
      <c r="T725" s="3">
        <v>0</v>
      </c>
      <c r="U725" s="3">
        <v>0</v>
      </c>
      <c r="V725" s="6">
        <f t="shared" si="374"/>
        <v>5500</v>
      </c>
    </row>
    <row r="726" spans="1:22" ht="21.95" customHeight="1" x14ac:dyDescent="0.25">
      <c r="A726" s="37" t="s">
        <v>1927</v>
      </c>
      <c r="B726" s="8" t="s">
        <v>326</v>
      </c>
      <c r="C726" s="2">
        <f t="shared" si="358"/>
        <v>1897448</v>
      </c>
      <c r="D726" s="3">
        <f t="shared" si="371"/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4">
        <v>0</v>
      </c>
      <c r="L726" s="3">
        <v>0</v>
      </c>
      <c r="M726" s="3">
        <v>361.6</v>
      </c>
      <c r="N726" s="3">
        <v>1897448</v>
      </c>
      <c r="O726" s="3">
        <v>0</v>
      </c>
      <c r="P726" s="3">
        <v>0</v>
      </c>
      <c r="Q726" s="3">
        <v>0</v>
      </c>
      <c r="R726" s="3">
        <f t="shared" si="373"/>
        <v>0</v>
      </c>
      <c r="S726" s="3">
        <v>0</v>
      </c>
      <c r="T726" s="3">
        <v>0</v>
      </c>
      <c r="U726" s="3">
        <v>0</v>
      </c>
      <c r="V726" s="6">
        <f t="shared" si="374"/>
        <v>5247.3672566371679</v>
      </c>
    </row>
    <row r="727" spans="1:22" ht="45" customHeight="1" x14ac:dyDescent="0.25">
      <c r="A727" s="54" t="s">
        <v>328</v>
      </c>
      <c r="B727" s="54"/>
      <c r="C727" s="2">
        <f>SUM(C728)</f>
        <v>300000</v>
      </c>
      <c r="D727" s="2">
        <f t="shared" ref="D727:U727" si="375">SUM(D728)</f>
        <v>0</v>
      </c>
      <c r="E727" s="2">
        <f t="shared" si="375"/>
        <v>0</v>
      </c>
      <c r="F727" s="2">
        <f t="shared" si="375"/>
        <v>0</v>
      </c>
      <c r="G727" s="2">
        <f t="shared" si="375"/>
        <v>0</v>
      </c>
      <c r="H727" s="2">
        <f t="shared" si="375"/>
        <v>0</v>
      </c>
      <c r="I727" s="2">
        <f t="shared" si="375"/>
        <v>0</v>
      </c>
      <c r="J727" s="2">
        <f t="shared" si="375"/>
        <v>0</v>
      </c>
      <c r="K727" s="14">
        <f t="shared" si="375"/>
        <v>0</v>
      </c>
      <c r="L727" s="2">
        <f t="shared" si="375"/>
        <v>0</v>
      </c>
      <c r="M727" s="2">
        <f t="shared" si="375"/>
        <v>0</v>
      </c>
      <c r="N727" s="2">
        <f t="shared" si="375"/>
        <v>0</v>
      </c>
      <c r="O727" s="2">
        <f t="shared" si="375"/>
        <v>0</v>
      </c>
      <c r="P727" s="2">
        <f t="shared" si="375"/>
        <v>0</v>
      </c>
      <c r="Q727" s="2">
        <f t="shared" si="375"/>
        <v>0</v>
      </c>
      <c r="R727" s="2">
        <f t="shared" si="375"/>
        <v>0</v>
      </c>
      <c r="S727" s="2">
        <f t="shared" si="375"/>
        <v>0</v>
      </c>
      <c r="T727" s="2">
        <f t="shared" si="375"/>
        <v>0</v>
      </c>
      <c r="U727" s="2">
        <f t="shared" si="375"/>
        <v>300000</v>
      </c>
    </row>
    <row r="728" spans="1:22" ht="21.95" customHeight="1" x14ac:dyDescent="0.25">
      <c r="A728" s="37" t="s">
        <v>1928</v>
      </c>
      <c r="B728" s="1" t="s">
        <v>329</v>
      </c>
      <c r="C728" s="2">
        <f t="shared" si="358"/>
        <v>300000</v>
      </c>
      <c r="D728" s="3">
        <f t="shared" ref="D728" si="376">SUM(E728:J728)</f>
        <v>0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4">
        <v>0</v>
      </c>
      <c r="L728" s="3">
        <v>0</v>
      </c>
      <c r="M728" s="3">
        <v>0</v>
      </c>
      <c r="N728" s="3">
        <f t="shared" ref="N728" si="377">M728*5500</f>
        <v>0</v>
      </c>
      <c r="O728" s="3">
        <v>0</v>
      </c>
      <c r="P728" s="3">
        <v>0</v>
      </c>
      <c r="Q728" s="3">
        <v>0</v>
      </c>
      <c r="R728" s="3">
        <f>Q728*3000</f>
        <v>0</v>
      </c>
      <c r="S728" s="3">
        <v>0</v>
      </c>
      <c r="T728" s="3">
        <v>0</v>
      </c>
      <c r="U728" s="3">
        <v>300000</v>
      </c>
      <c r="V728" s="6" t="e">
        <f t="shared" ref="V728" si="378">N728/M728</f>
        <v>#DIV/0!</v>
      </c>
    </row>
    <row r="729" spans="1:22" ht="35.1" customHeight="1" x14ac:dyDescent="0.25">
      <c r="A729" s="54" t="s">
        <v>331</v>
      </c>
      <c r="B729" s="54"/>
      <c r="C729" s="2">
        <f>SUM(C730)</f>
        <v>3360251.39</v>
      </c>
      <c r="D729" s="2">
        <f t="shared" ref="D729:U729" si="379">SUM(D730)</f>
        <v>210542.89</v>
      </c>
      <c r="E729" s="2">
        <f t="shared" si="379"/>
        <v>210542.89</v>
      </c>
      <c r="F729" s="2">
        <f t="shared" si="379"/>
        <v>0</v>
      </c>
      <c r="G729" s="2">
        <f t="shared" si="379"/>
        <v>0</v>
      </c>
      <c r="H729" s="2">
        <f t="shared" si="379"/>
        <v>0</v>
      </c>
      <c r="I729" s="2">
        <f t="shared" si="379"/>
        <v>0</v>
      </c>
      <c r="J729" s="2">
        <f t="shared" si="379"/>
        <v>0</v>
      </c>
      <c r="K729" s="14">
        <f t="shared" si="379"/>
        <v>0</v>
      </c>
      <c r="L729" s="2">
        <f t="shared" si="379"/>
        <v>0</v>
      </c>
      <c r="M729" s="2">
        <f t="shared" si="379"/>
        <v>372</v>
      </c>
      <c r="N729" s="2">
        <f t="shared" si="379"/>
        <v>1857992.69</v>
      </c>
      <c r="O729" s="2">
        <f t="shared" si="379"/>
        <v>0</v>
      </c>
      <c r="P729" s="2">
        <f t="shared" si="379"/>
        <v>0</v>
      </c>
      <c r="Q729" s="2">
        <f t="shared" si="379"/>
        <v>449.2</v>
      </c>
      <c r="R729" s="2">
        <f t="shared" si="379"/>
        <v>1170166</v>
      </c>
      <c r="S729" s="2">
        <f t="shared" si="379"/>
        <v>0</v>
      </c>
      <c r="T729" s="2">
        <f t="shared" si="379"/>
        <v>0</v>
      </c>
      <c r="U729" s="2">
        <f t="shared" si="379"/>
        <v>121549.81</v>
      </c>
      <c r="V729" s="18">
        <f>C729</f>
        <v>3360251.39</v>
      </c>
    </row>
    <row r="730" spans="1:22" ht="23.1" customHeight="1" x14ac:dyDescent="0.25">
      <c r="A730" s="36" t="s">
        <v>1929</v>
      </c>
      <c r="B730" s="8" t="s">
        <v>332</v>
      </c>
      <c r="C730" s="2">
        <f t="shared" ref="C730" si="380">D730+L730+N730+P730+R730+S730+T730+U730</f>
        <v>3360251.39</v>
      </c>
      <c r="D730" s="3">
        <f t="shared" ref="D730" si="381">SUM(E730:J730)</f>
        <v>210542.89</v>
      </c>
      <c r="E730" s="3">
        <v>210542.89</v>
      </c>
      <c r="F730" s="3">
        <v>0</v>
      </c>
      <c r="G730" s="3">
        <v>0</v>
      </c>
      <c r="H730" s="3">
        <v>0</v>
      </c>
      <c r="I730" s="3">
        <v>0</v>
      </c>
      <c r="J730" s="3">
        <v>0</v>
      </c>
      <c r="K730" s="11">
        <v>0</v>
      </c>
      <c r="L730" s="5">
        <v>0</v>
      </c>
      <c r="M730" s="5">
        <v>372</v>
      </c>
      <c r="N730" s="3">
        <v>1857992.69</v>
      </c>
      <c r="O730" s="5">
        <v>0</v>
      </c>
      <c r="P730" s="5">
        <v>0</v>
      </c>
      <c r="Q730" s="5">
        <v>449.2</v>
      </c>
      <c r="R730" s="5">
        <v>1170166</v>
      </c>
      <c r="S730" s="5">
        <v>0</v>
      </c>
      <c r="T730" s="5">
        <v>0</v>
      </c>
      <c r="U730" s="5">
        <v>121549.81</v>
      </c>
      <c r="V730" s="6">
        <f t="shared" ref="V730" si="382">N730/M730</f>
        <v>4994.6040053763436</v>
      </c>
    </row>
    <row r="731" spans="1:22" ht="45" customHeight="1" x14ac:dyDescent="0.25">
      <c r="A731" s="54" t="s">
        <v>333</v>
      </c>
      <c r="B731" s="54"/>
      <c r="C731" s="2">
        <f>SUM(C732:C733)</f>
        <v>26273820.829999998</v>
      </c>
      <c r="D731" s="2">
        <f t="shared" ref="D731:U731" si="383">SUM(D732:D733)</f>
        <v>1892872.09</v>
      </c>
      <c r="E731" s="2">
        <f t="shared" si="383"/>
        <v>639576.05000000005</v>
      </c>
      <c r="F731" s="2">
        <f t="shared" si="383"/>
        <v>945793.27</v>
      </c>
      <c r="G731" s="2">
        <f t="shared" si="383"/>
        <v>106304.81</v>
      </c>
      <c r="H731" s="2">
        <f t="shared" si="383"/>
        <v>120763.15</v>
      </c>
      <c r="I731" s="2">
        <f t="shared" si="383"/>
        <v>80434.81</v>
      </c>
      <c r="J731" s="2">
        <f t="shared" si="383"/>
        <v>0</v>
      </c>
      <c r="K731" s="14">
        <f t="shared" si="383"/>
        <v>0</v>
      </c>
      <c r="L731" s="2">
        <f t="shared" si="383"/>
        <v>0</v>
      </c>
      <c r="M731" s="2">
        <f t="shared" si="383"/>
        <v>2130.6999999999998</v>
      </c>
      <c r="N731" s="2">
        <f t="shared" si="383"/>
        <v>11718849.999999998</v>
      </c>
      <c r="O731" s="2">
        <f t="shared" si="383"/>
        <v>0</v>
      </c>
      <c r="P731" s="2">
        <f t="shared" si="383"/>
        <v>0</v>
      </c>
      <c r="Q731" s="2">
        <f t="shared" si="383"/>
        <v>4176.6000000000004</v>
      </c>
      <c r="R731" s="2">
        <f t="shared" si="383"/>
        <v>12529800.000000002</v>
      </c>
      <c r="S731" s="2">
        <f t="shared" si="383"/>
        <v>0</v>
      </c>
      <c r="T731" s="2">
        <f t="shared" si="383"/>
        <v>0</v>
      </c>
      <c r="U731" s="2">
        <f t="shared" si="383"/>
        <v>132298.74</v>
      </c>
    </row>
    <row r="732" spans="1:22" ht="21.95" customHeight="1" x14ac:dyDescent="0.25">
      <c r="A732" s="37" t="s">
        <v>1930</v>
      </c>
      <c r="B732" s="8" t="s">
        <v>821</v>
      </c>
      <c r="C732" s="2">
        <f>D732+L732+N732+P732+R732+S732+T732+U732</f>
        <v>2025170.83</v>
      </c>
      <c r="D732" s="3">
        <f t="shared" ref="D732" si="384">SUM(E732:J732)</f>
        <v>1892872.09</v>
      </c>
      <c r="E732" s="3">
        <v>639576.05000000005</v>
      </c>
      <c r="F732" s="3">
        <v>945793.27</v>
      </c>
      <c r="G732" s="3">
        <v>106304.81</v>
      </c>
      <c r="H732" s="3">
        <v>120763.15</v>
      </c>
      <c r="I732" s="3">
        <v>80434.81</v>
      </c>
      <c r="J732" s="3">
        <f>350*0</f>
        <v>0</v>
      </c>
      <c r="K732" s="4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132298.74</v>
      </c>
      <c r="V732" s="6" t="e">
        <f>N732/M732</f>
        <v>#DIV/0!</v>
      </c>
    </row>
    <row r="733" spans="1:22" ht="21.95" customHeight="1" x14ac:dyDescent="0.25">
      <c r="A733" s="37" t="s">
        <v>1931</v>
      </c>
      <c r="B733" s="8" t="s">
        <v>334</v>
      </c>
      <c r="C733" s="2">
        <f t="shared" si="358"/>
        <v>24248650</v>
      </c>
      <c r="D733" s="3">
        <f t="shared" ref="D733" si="385">SUM(E733:J733)</f>
        <v>0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4">
        <v>0</v>
      </c>
      <c r="L733" s="3">
        <v>0</v>
      </c>
      <c r="M733" s="3">
        <v>2130.6999999999998</v>
      </c>
      <c r="N733" s="3">
        <f t="shared" ref="N733" si="386">M733*5500</f>
        <v>11718849.999999998</v>
      </c>
      <c r="O733" s="3">
        <v>0</v>
      </c>
      <c r="P733" s="3">
        <v>0</v>
      </c>
      <c r="Q733" s="3">
        <v>4176.6000000000004</v>
      </c>
      <c r="R733" s="3">
        <f>Q733*3000</f>
        <v>12529800.000000002</v>
      </c>
      <c r="S733" s="3">
        <v>0</v>
      </c>
      <c r="T733" s="3">
        <v>0</v>
      </c>
      <c r="U733" s="3">
        <v>0</v>
      </c>
      <c r="V733" s="6">
        <f t="shared" ref="V733" si="387">N733/M733</f>
        <v>5500</v>
      </c>
    </row>
    <row r="734" spans="1:22" ht="45" customHeight="1" x14ac:dyDescent="0.25">
      <c r="A734" s="54" t="s">
        <v>1281</v>
      </c>
      <c r="B734" s="54"/>
      <c r="C734" s="2">
        <f>SUM(C735:C750)</f>
        <v>135141923.19000003</v>
      </c>
      <c r="D734" s="2">
        <f t="shared" ref="D734:U734" si="388">SUM(D735:D750)</f>
        <v>28265360</v>
      </c>
      <c r="E734" s="2">
        <f t="shared" si="388"/>
        <v>4874380</v>
      </c>
      <c r="F734" s="2">
        <f t="shared" si="388"/>
        <v>14398340</v>
      </c>
      <c r="G734" s="2">
        <f t="shared" si="388"/>
        <v>4093740</v>
      </c>
      <c r="H734" s="2">
        <f t="shared" si="388"/>
        <v>1473400</v>
      </c>
      <c r="I734" s="2">
        <f t="shared" si="388"/>
        <v>3425500</v>
      </c>
      <c r="J734" s="2">
        <f t="shared" si="388"/>
        <v>0</v>
      </c>
      <c r="K734" s="14">
        <f t="shared" si="388"/>
        <v>6</v>
      </c>
      <c r="L734" s="2">
        <f t="shared" si="388"/>
        <v>10694764.24</v>
      </c>
      <c r="M734" s="2">
        <f t="shared" si="388"/>
        <v>9329.7999999999993</v>
      </c>
      <c r="N734" s="2">
        <f t="shared" si="388"/>
        <v>51503615.25</v>
      </c>
      <c r="O734" s="2">
        <f t="shared" si="388"/>
        <v>0</v>
      </c>
      <c r="P734" s="2">
        <f t="shared" si="388"/>
        <v>0</v>
      </c>
      <c r="Q734" s="2">
        <f t="shared" si="388"/>
        <v>13949.8</v>
      </c>
      <c r="R734" s="2">
        <f t="shared" si="388"/>
        <v>42242780</v>
      </c>
      <c r="S734" s="2">
        <f t="shared" si="388"/>
        <v>0</v>
      </c>
      <c r="T734" s="2">
        <f t="shared" si="388"/>
        <v>0</v>
      </c>
      <c r="U734" s="2">
        <f t="shared" si="388"/>
        <v>2435403.7000000002</v>
      </c>
    </row>
    <row r="735" spans="1:22" ht="21.95" customHeight="1" x14ac:dyDescent="0.25">
      <c r="A735" s="37" t="s">
        <v>1932</v>
      </c>
      <c r="B735" s="8" t="s">
        <v>342</v>
      </c>
      <c r="C735" s="2">
        <f t="shared" si="358"/>
        <v>4548680</v>
      </c>
      <c r="D735" s="3">
        <f t="shared" ref="D735:D748" si="389">SUM(E735:J735)</f>
        <v>730600</v>
      </c>
      <c r="E735" s="3">
        <f>700*281</f>
        <v>196700</v>
      </c>
      <c r="F735" s="3">
        <f>1300*281</f>
        <v>365300</v>
      </c>
      <c r="G735" s="3">
        <f>300*281</f>
        <v>84300</v>
      </c>
      <c r="H735" s="3">
        <f t="shared" ref="H735:H741" si="390">400*0</f>
        <v>0</v>
      </c>
      <c r="I735" s="3">
        <f>300*281</f>
        <v>84300</v>
      </c>
      <c r="J735" s="3">
        <v>0</v>
      </c>
      <c r="K735" s="4">
        <v>0</v>
      </c>
      <c r="L735" s="3">
        <v>0</v>
      </c>
      <c r="M735" s="3">
        <v>400</v>
      </c>
      <c r="N735" s="3">
        <f>M735*6600</f>
        <v>2640000</v>
      </c>
      <c r="O735" s="3">
        <v>0</v>
      </c>
      <c r="P735" s="3">
        <v>0</v>
      </c>
      <c r="Q735" s="3">
        <v>336.9</v>
      </c>
      <c r="R735" s="3">
        <f>Q735*3200</f>
        <v>1078080</v>
      </c>
      <c r="S735" s="3">
        <v>0</v>
      </c>
      <c r="T735" s="3">
        <v>0</v>
      </c>
      <c r="U735" s="3">
        <v>100000</v>
      </c>
      <c r="V735" s="6">
        <f t="shared" ref="V735:V750" si="391">N735/M735</f>
        <v>6600</v>
      </c>
    </row>
    <row r="736" spans="1:22" ht="21.95" customHeight="1" x14ac:dyDescent="0.25">
      <c r="A736" s="37" t="s">
        <v>1933</v>
      </c>
      <c r="B736" s="8" t="s">
        <v>1063</v>
      </c>
      <c r="C736" s="2">
        <f t="shared" si="358"/>
        <v>4279515.25</v>
      </c>
      <c r="D736" s="3">
        <f t="shared" ref="D736" si="392">SUM(E736:J736)</f>
        <v>0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4">
        <v>0</v>
      </c>
      <c r="L736" s="3">
        <v>0</v>
      </c>
      <c r="M736" s="5">
        <v>823.6</v>
      </c>
      <c r="N736" s="5">
        <v>4279515.25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6">
        <f t="shared" si="391"/>
        <v>5196.1088513841669</v>
      </c>
    </row>
    <row r="737" spans="1:22" ht="21.95" customHeight="1" x14ac:dyDescent="0.25">
      <c r="A737" s="37" t="s">
        <v>1934</v>
      </c>
      <c r="B737" s="8" t="s">
        <v>346</v>
      </c>
      <c r="C737" s="2">
        <f t="shared" si="358"/>
        <v>7265186.9199999999</v>
      </c>
      <c r="D737" s="3">
        <f t="shared" si="389"/>
        <v>1533480</v>
      </c>
      <c r="E737" s="3">
        <f>350*786.4</f>
        <v>275240</v>
      </c>
      <c r="F737" s="3">
        <f>1050*786.4</f>
        <v>825720</v>
      </c>
      <c r="G737" s="3">
        <f>300*786.4</f>
        <v>235920</v>
      </c>
      <c r="H737" s="3">
        <f t="shared" si="390"/>
        <v>0</v>
      </c>
      <c r="I737" s="3">
        <f>250*786.4</f>
        <v>196600</v>
      </c>
      <c r="J737" s="3">
        <v>0</v>
      </c>
      <c r="K737" s="4">
        <v>0</v>
      </c>
      <c r="L737" s="3">
        <v>0</v>
      </c>
      <c r="M737" s="3">
        <v>613.20000000000005</v>
      </c>
      <c r="N737" s="3">
        <f t="shared" ref="N737:N741" si="393">M737*5500</f>
        <v>3372600.0000000005</v>
      </c>
      <c r="O737" s="3">
        <v>0</v>
      </c>
      <c r="P737" s="3">
        <v>0</v>
      </c>
      <c r="Q737" s="3">
        <v>740</v>
      </c>
      <c r="R737" s="3">
        <f t="shared" ref="R737:R748" si="394">Q737*3000</f>
        <v>2220000</v>
      </c>
      <c r="S737" s="3">
        <v>0</v>
      </c>
      <c r="T737" s="3">
        <v>0</v>
      </c>
      <c r="U737" s="3">
        <v>139106.92000000001</v>
      </c>
      <c r="V737" s="6">
        <f t="shared" si="391"/>
        <v>5500</v>
      </c>
    </row>
    <row r="738" spans="1:22" ht="21.95" customHeight="1" x14ac:dyDescent="0.25">
      <c r="A738" s="37" t="s">
        <v>1935</v>
      </c>
      <c r="B738" s="8" t="s">
        <v>347</v>
      </c>
      <c r="C738" s="2">
        <f t="shared" si="358"/>
        <v>7347597.1799999997</v>
      </c>
      <c r="D738" s="3">
        <f t="shared" si="389"/>
        <v>1533480</v>
      </c>
      <c r="E738" s="3">
        <f>350*786.4</f>
        <v>275240</v>
      </c>
      <c r="F738" s="3">
        <f>1050*786.4</f>
        <v>825720</v>
      </c>
      <c r="G738" s="3">
        <f>300*786.4</f>
        <v>235920</v>
      </c>
      <c r="H738" s="3">
        <f t="shared" si="390"/>
        <v>0</v>
      </c>
      <c r="I738" s="3">
        <f>250*786.4</f>
        <v>196600</v>
      </c>
      <c r="J738" s="3">
        <v>0</v>
      </c>
      <c r="K738" s="4">
        <v>0</v>
      </c>
      <c r="L738" s="3">
        <v>0</v>
      </c>
      <c r="M738" s="3">
        <v>613.20000000000005</v>
      </c>
      <c r="N738" s="3">
        <f t="shared" si="393"/>
        <v>3372600.0000000005</v>
      </c>
      <c r="O738" s="3">
        <v>0</v>
      </c>
      <c r="P738" s="3">
        <v>0</v>
      </c>
      <c r="Q738" s="3">
        <v>767</v>
      </c>
      <c r="R738" s="3">
        <f t="shared" si="394"/>
        <v>2301000</v>
      </c>
      <c r="S738" s="3">
        <v>0</v>
      </c>
      <c r="T738" s="3">
        <v>0</v>
      </c>
      <c r="U738" s="3">
        <v>140517.18</v>
      </c>
      <c r="V738" s="6">
        <f t="shared" si="391"/>
        <v>5500</v>
      </c>
    </row>
    <row r="739" spans="1:22" ht="21.95" customHeight="1" x14ac:dyDescent="0.25">
      <c r="A739" s="37" t="s">
        <v>1936</v>
      </c>
      <c r="B739" s="8" t="s">
        <v>348</v>
      </c>
      <c r="C739" s="2">
        <f t="shared" si="358"/>
        <v>7257639.8200000003</v>
      </c>
      <c r="D739" s="3">
        <f t="shared" si="389"/>
        <v>1524900</v>
      </c>
      <c r="E739" s="3">
        <f>350*782</f>
        <v>273700</v>
      </c>
      <c r="F739" s="3">
        <f>1050*782</f>
        <v>821100</v>
      </c>
      <c r="G739" s="3">
        <f>300*782</f>
        <v>234600</v>
      </c>
      <c r="H739" s="3">
        <f t="shared" si="390"/>
        <v>0</v>
      </c>
      <c r="I739" s="3">
        <f>250*782</f>
        <v>195500</v>
      </c>
      <c r="J739" s="3">
        <v>0</v>
      </c>
      <c r="K739" s="4">
        <v>0</v>
      </c>
      <c r="L739" s="3">
        <v>0</v>
      </c>
      <c r="M739" s="3">
        <v>613.20000000000005</v>
      </c>
      <c r="N739" s="3">
        <f t="shared" si="393"/>
        <v>3372600.0000000005</v>
      </c>
      <c r="O739" s="3">
        <v>0</v>
      </c>
      <c r="P739" s="3">
        <v>0</v>
      </c>
      <c r="Q739" s="3">
        <v>740</v>
      </c>
      <c r="R739" s="3">
        <f t="shared" si="394"/>
        <v>2220000</v>
      </c>
      <c r="S739" s="3">
        <v>0</v>
      </c>
      <c r="T739" s="3">
        <v>0</v>
      </c>
      <c r="U739" s="3">
        <v>140139.82</v>
      </c>
      <c r="V739" s="6">
        <f t="shared" si="391"/>
        <v>5500</v>
      </c>
    </row>
    <row r="740" spans="1:22" ht="21.95" customHeight="1" x14ac:dyDescent="0.25">
      <c r="A740" s="37" t="s">
        <v>1937</v>
      </c>
      <c r="B740" s="8" t="s">
        <v>349</v>
      </c>
      <c r="C740" s="2">
        <f t="shared" si="358"/>
        <v>7325561.0300000003</v>
      </c>
      <c r="D740" s="3">
        <f t="shared" si="389"/>
        <v>1536600</v>
      </c>
      <c r="E740" s="3">
        <f>350*788</f>
        <v>275800</v>
      </c>
      <c r="F740" s="3">
        <f>1050*788</f>
        <v>827400</v>
      </c>
      <c r="G740" s="3">
        <f>300*788</f>
        <v>236400</v>
      </c>
      <c r="H740" s="3">
        <f t="shared" si="390"/>
        <v>0</v>
      </c>
      <c r="I740" s="3">
        <f>250*788</f>
        <v>197000</v>
      </c>
      <c r="J740" s="3">
        <v>0</v>
      </c>
      <c r="K740" s="4">
        <v>0</v>
      </c>
      <c r="L740" s="3">
        <v>0</v>
      </c>
      <c r="M740" s="3">
        <v>618</v>
      </c>
      <c r="N740" s="3">
        <f t="shared" si="393"/>
        <v>3399000</v>
      </c>
      <c r="O740" s="3">
        <v>0</v>
      </c>
      <c r="P740" s="3">
        <v>0</v>
      </c>
      <c r="Q740" s="3">
        <v>750</v>
      </c>
      <c r="R740" s="3">
        <f t="shared" si="394"/>
        <v>2250000</v>
      </c>
      <c r="S740" s="3">
        <v>0</v>
      </c>
      <c r="T740" s="3">
        <v>0</v>
      </c>
      <c r="U740" s="3">
        <v>139961.03</v>
      </c>
      <c r="V740" s="6">
        <f t="shared" si="391"/>
        <v>5500</v>
      </c>
    </row>
    <row r="741" spans="1:22" ht="21.95" customHeight="1" x14ac:dyDescent="0.25">
      <c r="A741" s="37" t="s">
        <v>1938</v>
      </c>
      <c r="B741" s="8" t="s">
        <v>350</v>
      </c>
      <c r="C741" s="2">
        <f t="shared" si="358"/>
        <v>7341928.1299999999</v>
      </c>
      <c r="D741" s="3">
        <f t="shared" si="389"/>
        <v>1540500</v>
      </c>
      <c r="E741" s="3">
        <f>350*790</f>
        <v>276500</v>
      </c>
      <c r="F741" s="3">
        <f>1050*790</f>
        <v>829500</v>
      </c>
      <c r="G741" s="3">
        <f>300*790</f>
        <v>237000</v>
      </c>
      <c r="H741" s="3">
        <f t="shared" si="390"/>
        <v>0</v>
      </c>
      <c r="I741" s="3">
        <f>250*790</f>
        <v>197500</v>
      </c>
      <c r="J741" s="3">
        <v>0</v>
      </c>
      <c r="K741" s="4">
        <v>0</v>
      </c>
      <c r="L741" s="3">
        <v>0</v>
      </c>
      <c r="M741" s="3">
        <v>615</v>
      </c>
      <c r="N741" s="3">
        <f t="shared" si="393"/>
        <v>3382500</v>
      </c>
      <c r="O741" s="3">
        <v>0</v>
      </c>
      <c r="P741" s="3">
        <v>0</v>
      </c>
      <c r="Q741" s="3">
        <v>760</v>
      </c>
      <c r="R741" s="3">
        <f t="shared" si="394"/>
        <v>2280000</v>
      </c>
      <c r="S741" s="3">
        <v>0</v>
      </c>
      <c r="T741" s="3">
        <v>0</v>
      </c>
      <c r="U741" s="3">
        <v>138928.13</v>
      </c>
      <c r="V741" s="6">
        <f t="shared" si="391"/>
        <v>5500</v>
      </c>
    </row>
    <row r="742" spans="1:22" ht="21.95" customHeight="1" x14ac:dyDescent="0.25">
      <c r="A742" s="37" t="s">
        <v>1939</v>
      </c>
      <c r="B742" s="8" t="s">
        <v>351</v>
      </c>
      <c r="C742" s="2">
        <f t="shared" si="358"/>
        <v>300000</v>
      </c>
      <c r="D742" s="3">
        <f t="shared" si="389"/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f t="shared" si="394"/>
        <v>0</v>
      </c>
      <c r="S742" s="3">
        <v>0</v>
      </c>
      <c r="T742" s="3">
        <v>0</v>
      </c>
      <c r="U742" s="3">
        <v>300000</v>
      </c>
      <c r="V742" s="6" t="e">
        <f t="shared" si="391"/>
        <v>#DIV/0!</v>
      </c>
    </row>
    <row r="743" spans="1:22" ht="21.95" customHeight="1" x14ac:dyDescent="0.25">
      <c r="A743" s="37" t="s">
        <v>1940</v>
      </c>
      <c r="B743" s="8" t="s">
        <v>352</v>
      </c>
      <c r="C743" s="2">
        <f t="shared" si="358"/>
        <v>26676525</v>
      </c>
      <c r="D743" s="3">
        <f t="shared" si="389"/>
        <v>8656225</v>
      </c>
      <c r="E743" s="3">
        <f>350*3683.5</f>
        <v>1289225</v>
      </c>
      <c r="F743" s="3">
        <f>1050*3683.5</f>
        <v>3867675</v>
      </c>
      <c r="G743" s="3">
        <f>300*3683.5</f>
        <v>1105050</v>
      </c>
      <c r="H743" s="3">
        <f>400*3683.5</f>
        <v>1473400</v>
      </c>
      <c r="I743" s="3">
        <f>250*3683.5</f>
        <v>920875</v>
      </c>
      <c r="J743" s="3">
        <v>0</v>
      </c>
      <c r="K743" s="4">
        <v>0</v>
      </c>
      <c r="L743" s="3">
        <v>0</v>
      </c>
      <c r="M743" s="5">
        <v>1794.6</v>
      </c>
      <c r="N743" s="5">
        <f>M743*5500</f>
        <v>9870300</v>
      </c>
      <c r="O743" s="3">
        <v>0</v>
      </c>
      <c r="P743" s="3">
        <v>0</v>
      </c>
      <c r="Q743" s="3">
        <v>2650</v>
      </c>
      <c r="R743" s="3">
        <f>Q743*3000</f>
        <v>7950000</v>
      </c>
      <c r="S743" s="3">
        <v>0</v>
      </c>
      <c r="T743" s="3">
        <v>0</v>
      </c>
      <c r="U743" s="3">
        <v>200000</v>
      </c>
      <c r="V743" s="6">
        <f>N743/M743</f>
        <v>5500</v>
      </c>
    </row>
    <row r="744" spans="1:22" ht="21.95" customHeight="1" x14ac:dyDescent="0.25">
      <c r="A744" s="37" t="s">
        <v>1941</v>
      </c>
      <c r="B744" s="8" t="s">
        <v>353</v>
      </c>
      <c r="C744" s="2">
        <f t="shared" si="358"/>
        <v>4674570</v>
      </c>
      <c r="D744" s="3">
        <f t="shared" si="389"/>
        <v>894270</v>
      </c>
      <c r="E744" s="3">
        <f>350*458.6</f>
        <v>160510</v>
      </c>
      <c r="F744" s="3">
        <f>1050*458.6</f>
        <v>481530</v>
      </c>
      <c r="G744" s="3">
        <f>300*458.6</f>
        <v>137580</v>
      </c>
      <c r="H744" s="3">
        <f>400*0</f>
        <v>0</v>
      </c>
      <c r="I744" s="3">
        <f>250*458.6</f>
        <v>114650</v>
      </c>
      <c r="J744" s="3">
        <v>0</v>
      </c>
      <c r="K744" s="4">
        <v>0</v>
      </c>
      <c r="L744" s="3">
        <v>0</v>
      </c>
      <c r="M744" s="3">
        <v>389</v>
      </c>
      <c r="N744" s="3">
        <f t="shared" ref="N744:N748" si="395">M744*5500</f>
        <v>2139500</v>
      </c>
      <c r="O744" s="3">
        <v>0</v>
      </c>
      <c r="P744" s="3">
        <v>0</v>
      </c>
      <c r="Q744" s="3">
        <v>513.6</v>
      </c>
      <c r="R744" s="3">
        <f t="shared" si="394"/>
        <v>1540800</v>
      </c>
      <c r="S744" s="3">
        <v>0</v>
      </c>
      <c r="T744" s="3">
        <v>0</v>
      </c>
      <c r="U744" s="3">
        <v>100000</v>
      </c>
      <c r="V744" s="6">
        <f t="shared" si="391"/>
        <v>5500</v>
      </c>
    </row>
    <row r="745" spans="1:22" ht="21.95" customHeight="1" x14ac:dyDescent="0.25">
      <c r="A745" s="37" t="s">
        <v>1942</v>
      </c>
      <c r="B745" s="8" t="s">
        <v>354</v>
      </c>
      <c r="C745" s="2">
        <f t="shared" si="358"/>
        <v>8656579.0399999991</v>
      </c>
      <c r="D745" s="3">
        <f t="shared" si="389"/>
        <v>2013180</v>
      </c>
      <c r="E745" s="3">
        <f>350*1032.4</f>
        <v>361340.00000000006</v>
      </c>
      <c r="F745" s="3">
        <f>1050*1032.4</f>
        <v>1084020</v>
      </c>
      <c r="G745" s="3">
        <f>300*1032.4</f>
        <v>309720</v>
      </c>
      <c r="H745" s="3">
        <f>400*0</f>
        <v>0</v>
      </c>
      <c r="I745" s="3">
        <f>250*1032.4</f>
        <v>258100.00000000003</v>
      </c>
      <c r="J745" s="3">
        <v>0</v>
      </c>
      <c r="K745" s="4">
        <v>0</v>
      </c>
      <c r="L745" s="3">
        <v>0</v>
      </c>
      <c r="M745" s="3">
        <v>684</v>
      </c>
      <c r="N745" s="3">
        <f t="shared" si="395"/>
        <v>3762000</v>
      </c>
      <c r="O745" s="3">
        <v>0</v>
      </c>
      <c r="P745" s="3">
        <v>0</v>
      </c>
      <c r="Q745" s="3">
        <v>920</v>
      </c>
      <c r="R745" s="3">
        <f t="shared" si="394"/>
        <v>2760000</v>
      </c>
      <c r="S745" s="3">
        <v>0</v>
      </c>
      <c r="T745" s="3">
        <v>0</v>
      </c>
      <c r="U745" s="3">
        <v>121399.03999999999</v>
      </c>
      <c r="V745" s="6">
        <f t="shared" si="391"/>
        <v>5500</v>
      </c>
    </row>
    <row r="746" spans="1:22" ht="21.95" customHeight="1" x14ac:dyDescent="0.25">
      <c r="A746" s="37" t="s">
        <v>1943</v>
      </c>
      <c r="B746" s="8" t="s">
        <v>355</v>
      </c>
      <c r="C746" s="2">
        <f t="shared" si="358"/>
        <v>14115225.710000001</v>
      </c>
      <c r="D746" s="3">
        <f t="shared" si="389"/>
        <v>3696030</v>
      </c>
      <c r="E746" s="3">
        <f>350*1895.4</f>
        <v>663390</v>
      </c>
      <c r="F746" s="3">
        <f>1050*1895.4</f>
        <v>1990170</v>
      </c>
      <c r="G746" s="3">
        <f>300*1895.4</f>
        <v>568620</v>
      </c>
      <c r="H746" s="3">
        <v>0</v>
      </c>
      <c r="I746" s="3">
        <f>250*1895.4</f>
        <v>473850</v>
      </c>
      <c r="J746" s="3">
        <v>0</v>
      </c>
      <c r="K746" s="4">
        <v>0</v>
      </c>
      <c r="L746" s="3">
        <v>0</v>
      </c>
      <c r="M746" s="3">
        <v>886</v>
      </c>
      <c r="N746" s="3">
        <f t="shared" si="395"/>
        <v>4873000</v>
      </c>
      <c r="O746" s="3">
        <v>0</v>
      </c>
      <c r="P746" s="3">
        <v>0</v>
      </c>
      <c r="Q746" s="3">
        <v>1790</v>
      </c>
      <c r="R746" s="3">
        <f t="shared" si="394"/>
        <v>5370000</v>
      </c>
      <c r="S746" s="3">
        <v>0</v>
      </c>
      <c r="T746" s="3">
        <v>0</v>
      </c>
      <c r="U746" s="3">
        <v>176195.71</v>
      </c>
      <c r="V746" s="6">
        <f t="shared" si="391"/>
        <v>5500</v>
      </c>
    </row>
    <row r="747" spans="1:22" ht="21.95" customHeight="1" x14ac:dyDescent="0.25">
      <c r="A747" s="37" t="s">
        <v>1944</v>
      </c>
      <c r="B747" s="8" t="s">
        <v>356</v>
      </c>
      <c r="C747" s="2">
        <f t="shared" si="358"/>
        <v>4919930</v>
      </c>
      <c r="D747" s="3">
        <f t="shared" si="389"/>
        <v>966030</v>
      </c>
      <c r="E747" s="3">
        <f>350*495.4</f>
        <v>173390</v>
      </c>
      <c r="F747" s="3">
        <f>1050*495.4</f>
        <v>520170</v>
      </c>
      <c r="G747" s="3">
        <f>300*495.4</f>
        <v>148620</v>
      </c>
      <c r="H747" s="3">
        <v>0</v>
      </c>
      <c r="I747" s="3">
        <f>250*495.4</f>
        <v>123850</v>
      </c>
      <c r="J747" s="3">
        <v>0</v>
      </c>
      <c r="K747" s="4">
        <v>0</v>
      </c>
      <c r="L747" s="3">
        <v>0</v>
      </c>
      <c r="M747" s="3">
        <v>394</v>
      </c>
      <c r="N747" s="3">
        <f t="shared" si="395"/>
        <v>2167000</v>
      </c>
      <c r="O747" s="3">
        <v>0</v>
      </c>
      <c r="P747" s="3">
        <v>0</v>
      </c>
      <c r="Q747" s="3">
        <v>562.29999999999995</v>
      </c>
      <c r="R747" s="3">
        <f t="shared" si="394"/>
        <v>1686899.9999999998</v>
      </c>
      <c r="S747" s="3">
        <v>0</v>
      </c>
      <c r="T747" s="3">
        <v>0</v>
      </c>
      <c r="U747" s="3">
        <v>100000</v>
      </c>
      <c r="V747" s="6">
        <f t="shared" si="391"/>
        <v>5500</v>
      </c>
    </row>
    <row r="748" spans="1:22" ht="21.95" customHeight="1" x14ac:dyDescent="0.25">
      <c r="A748" s="37" t="s">
        <v>1945</v>
      </c>
      <c r="B748" s="8" t="s">
        <v>357</v>
      </c>
      <c r="C748" s="2">
        <f t="shared" si="358"/>
        <v>14059260.710000001</v>
      </c>
      <c r="D748" s="3">
        <f t="shared" si="389"/>
        <v>3640065</v>
      </c>
      <c r="E748" s="3">
        <f>350*1866.7</f>
        <v>653345</v>
      </c>
      <c r="F748" s="3">
        <f>1050*1866.7</f>
        <v>1960035</v>
      </c>
      <c r="G748" s="3">
        <f>300*1866.7</f>
        <v>560010</v>
      </c>
      <c r="H748" s="3">
        <f>400*0</f>
        <v>0</v>
      </c>
      <c r="I748" s="3">
        <f>250*1866.7</f>
        <v>466675</v>
      </c>
      <c r="J748" s="3">
        <v>0</v>
      </c>
      <c r="K748" s="4">
        <v>0</v>
      </c>
      <c r="L748" s="3">
        <v>0</v>
      </c>
      <c r="M748" s="3">
        <v>886</v>
      </c>
      <c r="N748" s="3">
        <f t="shared" si="395"/>
        <v>4873000</v>
      </c>
      <c r="O748" s="3">
        <v>0</v>
      </c>
      <c r="P748" s="3">
        <v>0</v>
      </c>
      <c r="Q748" s="3">
        <v>1790</v>
      </c>
      <c r="R748" s="3">
        <f t="shared" si="394"/>
        <v>5370000</v>
      </c>
      <c r="S748" s="3">
        <v>0</v>
      </c>
      <c r="T748" s="3">
        <v>0</v>
      </c>
      <c r="U748" s="3">
        <v>176195.71</v>
      </c>
      <c r="V748" s="6">
        <f t="shared" si="391"/>
        <v>5500</v>
      </c>
    </row>
    <row r="749" spans="1:22" ht="21.95" customHeight="1" x14ac:dyDescent="0.25">
      <c r="A749" s="37" t="s">
        <v>1946</v>
      </c>
      <c r="B749" s="52" t="s">
        <v>1302</v>
      </c>
      <c r="C749" s="2">
        <f>D749+L749+N749+P749+R749+S749+T749+U749</f>
        <v>5678960.1600000001</v>
      </c>
      <c r="D749" s="3">
        <f>SUM(E749:J749)</f>
        <v>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  <c r="J749" s="3">
        <v>0</v>
      </c>
      <c r="K749" s="4">
        <v>0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9">
        <v>1630</v>
      </c>
      <c r="R749" s="5">
        <f>Q749*3200</f>
        <v>5216000</v>
      </c>
      <c r="S749" s="3">
        <v>0</v>
      </c>
      <c r="T749" s="3">
        <v>0</v>
      </c>
      <c r="U749" s="3">
        <v>462960.16</v>
      </c>
      <c r="V749" s="6" t="e">
        <f>N749/M749</f>
        <v>#DIV/0!</v>
      </c>
    </row>
    <row r="750" spans="1:22" ht="21.95" customHeight="1" x14ac:dyDescent="0.25">
      <c r="A750" s="37" t="s">
        <v>1947</v>
      </c>
      <c r="B750" s="8" t="s">
        <v>370</v>
      </c>
      <c r="C750" s="2">
        <f>D750+L750+N750+P750+R750+S750+T750+U750</f>
        <v>10694764.24</v>
      </c>
      <c r="D750" s="3">
        <f t="shared" ref="D750" si="396">SUM(E750:J750)</f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4">
        <v>6</v>
      </c>
      <c r="L750" s="3">
        <v>10694764.24</v>
      </c>
      <c r="M750" s="3">
        <v>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6" t="e">
        <f t="shared" si="391"/>
        <v>#DIV/0!</v>
      </c>
    </row>
    <row r="751" spans="1:22" ht="45" customHeight="1" x14ac:dyDescent="0.25">
      <c r="A751" s="54" t="s">
        <v>373</v>
      </c>
      <c r="B751" s="54"/>
      <c r="C751" s="2">
        <f>SUM(C752:C753)</f>
        <v>4114141.8</v>
      </c>
      <c r="D751" s="2">
        <f t="shared" ref="D751:U751" si="397">SUM(D752:D753)</f>
        <v>115255</v>
      </c>
      <c r="E751" s="2">
        <f t="shared" si="397"/>
        <v>115255</v>
      </c>
      <c r="F751" s="2">
        <f t="shared" si="397"/>
        <v>0</v>
      </c>
      <c r="G751" s="2">
        <f t="shared" si="397"/>
        <v>0</v>
      </c>
      <c r="H751" s="2">
        <f t="shared" si="397"/>
        <v>0</v>
      </c>
      <c r="I751" s="2">
        <f t="shared" si="397"/>
        <v>0</v>
      </c>
      <c r="J751" s="2">
        <f t="shared" si="397"/>
        <v>0</v>
      </c>
      <c r="K751" s="14">
        <f t="shared" si="397"/>
        <v>0</v>
      </c>
      <c r="L751" s="2">
        <f t="shared" si="397"/>
        <v>0</v>
      </c>
      <c r="M751" s="2">
        <f t="shared" si="397"/>
        <v>588.79999999999995</v>
      </c>
      <c r="N751" s="2">
        <f t="shared" si="397"/>
        <v>2632886.7999999998</v>
      </c>
      <c r="O751" s="2">
        <f t="shared" si="397"/>
        <v>0</v>
      </c>
      <c r="P751" s="2">
        <f t="shared" si="397"/>
        <v>0</v>
      </c>
      <c r="Q751" s="2">
        <f t="shared" si="397"/>
        <v>422</v>
      </c>
      <c r="R751" s="2">
        <f t="shared" si="397"/>
        <v>1266000</v>
      </c>
      <c r="S751" s="2">
        <f t="shared" si="397"/>
        <v>0</v>
      </c>
      <c r="T751" s="2">
        <f t="shared" si="397"/>
        <v>0</v>
      </c>
      <c r="U751" s="2">
        <f t="shared" si="397"/>
        <v>100000</v>
      </c>
      <c r="V751" s="18">
        <f>C751</f>
        <v>4114141.8</v>
      </c>
    </row>
    <row r="752" spans="1:22" ht="21.95" customHeight="1" x14ac:dyDescent="0.25">
      <c r="A752" s="37" t="s">
        <v>1948</v>
      </c>
      <c r="B752" s="8" t="s">
        <v>371</v>
      </c>
      <c r="C752" s="2">
        <f t="shared" si="358"/>
        <v>2883755</v>
      </c>
      <c r="D752" s="3">
        <f t="shared" ref="D752:D753" si="398">SUM(E752:J752)</f>
        <v>115255</v>
      </c>
      <c r="E752" s="3">
        <f>350*329.3</f>
        <v>115255</v>
      </c>
      <c r="F752" s="3">
        <f>1050*0</f>
        <v>0</v>
      </c>
      <c r="G752" s="3">
        <f>350*0</f>
        <v>0</v>
      </c>
      <c r="H752" s="3">
        <f>400*0</f>
        <v>0</v>
      </c>
      <c r="I752" s="3">
        <f>250*0</f>
        <v>0</v>
      </c>
      <c r="J752" s="3">
        <v>0</v>
      </c>
      <c r="K752" s="4">
        <v>0</v>
      </c>
      <c r="L752" s="3">
        <v>0</v>
      </c>
      <c r="M752" s="3">
        <v>255</v>
      </c>
      <c r="N752" s="3">
        <f t="shared" ref="N752" si="399">M752*5500</f>
        <v>1402500</v>
      </c>
      <c r="O752" s="3">
        <v>0</v>
      </c>
      <c r="P752" s="3">
        <v>0</v>
      </c>
      <c r="Q752" s="3">
        <v>422</v>
      </c>
      <c r="R752" s="3">
        <f>Q752*3000</f>
        <v>1266000</v>
      </c>
      <c r="S752" s="3">
        <v>0</v>
      </c>
      <c r="T752" s="3">
        <v>0</v>
      </c>
      <c r="U752" s="3">
        <v>100000</v>
      </c>
      <c r="V752" s="6">
        <f t="shared" ref="V752:V753" si="400">N752/M752</f>
        <v>5500</v>
      </c>
    </row>
    <row r="753" spans="1:22" ht="21.95" customHeight="1" x14ac:dyDescent="0.25">
      <c r="A753" s="37" t="s">
        <v>1949</v>
      </c>
      <c r="B753" s="8" t="s">
        <v>1223</v>
      </c>
      <c r="C753" s="2">
        <f t="shared" si="358"/>
        <v>1230386.8</v>
      </c>
      <c r="D753" s="3">
        <f t="shared" si="398"/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4">
        <v>0</v>
      </c>
      <c r="L753" s="3">
        <v>0</v>
      </c>
      <c r="M753" s="3">
        <v>333.8</v>
      </c>
      <c r="N753" s="3">
        <f>M753*3686</f>
        <v>1230386.8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6">
        <f t="shared" si="400"/>
        <v>3686</v>
      </c>
    </row>
    <row r="754" spans="1:22" ht="45" customHeight="1" x14ac:dyDescent="0.25">
      <c r="A754" s="54" t="s">
        <v>372</v>
      </c>
      <c r="B754" s="54"/>
      <c r="C754" s="2">
        <f>SUM(C755)</f>
        <v>3402988.92</v>
      </c>
      <c r="D754" s="2">
        <f t="shared" ref="D754:U754" si="401">SUM(D755)</f>
        <v>0</v>
      </c>
      <c r="E754" s="2">
        <f t="shared" si="401"/>
        <v>0</v>
      </c>
      <c r="F754" s="2">
        <f t="shared" si="401"/>
        <v>0</v>
      </c>
      <c r="G754" s="2">
        <f t="shared" si="401"/>
        <v>0</v>
      </c>
      <c r="H754" s="2">
        <f t="shared" si="401"/>
        <v>0</v>
      </c>
      <c r="I754" s="2">
        <f t="shared" si="401"/>
        <v>0</v>
      </c>
      <c r="J754" s="2">
        <f t="shared" si="401"/>
        <v>0</v>
      </c>
      <c r="K754" s="14">
        <f t="shared" si="401"/>
        <v>0</v>
      </c>
      <c r="L754" s="2">
        <f t="shared" si="401"/>
        <v>0</v>
      </c>
      <c r="M754" s="2">
        <f t="shared" si="401"/>
        <v>923.22</v>
      </c>
      <c r="N754" s="2">
        <f t="shared" si="401"/>
        <v>3402988.92</v>
      </c>
      <c r="O754" s="2">
        <f t="shared" si="401"/>
        <v>0</v>
      </c>
      <c r="P754" s="2">
        <f t="shared" si="401"/>
        <v>0</v>
      </c>
      <c r="Q754" s="2">
        <f t="shared" si="401"/>
        <v>0</v>
      </c>
      <c r="R754" s="2">
        <f t="shared" si="401"/>
        <v>0</v>
      </c>
      <c r="S754" s="2">
        <f t="shared" si="401"/>
        <v>0</v>
      </c>
      <c r="T754" s="2">
        <f t="shared" si="401"/>
        <v>0</v>
      </c>
      <c r="U754" s="2">
        <f t="shared" si="401"/>
        <v>0</v>
      </c>
      <c r="V754" s="18">
        <f>C754</f>
        <v>3402988.92</v>
      </c>
    </row>
    <row r="755" spans="1:22" ht="21.95" customHeight="1" x14ac:dyDescent="0.25">
      <c r="A755" s="37" t="s">
        <v>1950</v>
      </c>
      <c r="B755" s="40" t="s">
        <v>1224</v>
      </c>
      <c r="C755" s="2">
        <f t="shared" si="358"/>
        <v>3402988.92</v>
      </c>
      <c r="D755" s="3">
        <f t="shared" ref="D755" si="402">SUM(E755:J755)</f>
        <v>0</v>
      </c>
      <c r="E755" s="3">
        <v>0</v>
      </c>
      <c r="F755" s="3">
        <f>1050*0</f>
        <v>0</v>
      </c>
      <c r="G755" s="3">
        <f>350*0</f>
        <v>0</v>
      </c>
      <c r="H755" s="3">
        <f>400*0</f>
        <v>0</v>
      </c>
      <c r="I755" s="3">
        <f>250*0</f>
        <v>0</v>
      </c>
      <c r="J755" s="3">
        <v>0</v>
      </c>
      <c r="K755" s="4">
        <v>0</v>
      </c>
      <c r="L755" s="3">
        <v>0</v>
      </c>
      <c r="M755" s="3">
        <v>923.22</v>
      </c>
      <c r="N755" s="3">
        <f>M755*3686</f>
        <v>3402988.92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6">
        <f t="shared" ref="V755" si="403">N755/M755</f>
        <v>3686</v>
      </c>
    </row>
    <row r="756" spans="1:22" s="16" customFormat="1" ht="24.95" customHeight="1" x14ac:dyDescent="0.25">
      <c r="A756" s="60" t="s">
        <v>209</v>
      </c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15"/>
    </row>
    <row r="757" spans="1:22" ht="24.95" customHeight="1" x14ac:dyDescent="0.25">
      <c r="A757" s="59" t="s">
        <v>210</v>
      </c>
      <c r="B757" s="59"/>
      <c r="C757" s="2">
        <f>C758+C761+C785+C787+C790+C794+C797+C800+C805+C807+C810+C815+C817+C823+C825+C830+C832+C834+C836+C838+C841+C843+C848+C850+C866+C874+C879+C882+C897+C900+C903+C1108+C1110+C1112+C1114+C1116+C1118+C1122+C1125+C1127+C1130+C1132+C1134+C1137+C1141+C1143+C1145+C1159+C1163</f>
        <v>1833140437</v>
      </c>
      <c r="D757" s="2">
        <f t="shared" ref="D757:U757" si="404">D758+D761+D785+D787+D790+D794+D797+D800+D805+D807+D810+D815+D817+D823+D825+D830+D832+D834+D836+D838+D841+D843+D848+D850+D866+D874+D879+D882+D897+D900+D903+D1108+D1110+D1112+D1114+D1116+D1118+D1122+D1125+D1127+D1130+D1132+D1134+D1137+D1141+D1143+D1145+D1159+D1163</f>
        <v>417049330</v>
      </c>
      <c r="E757" s="2">
        <f t="shared" si="404"/>
        <v>104870815</v>
      </c>
      <c r="F757" s="2">
        <f t="shared" si="404"/>
        <v>192317047</v>
      </c>
      <c r="G757" s="2">
        <f t="shared" si="404"/>
        <v>42466110</v>
      </c>
      <c r="H757" s="2">
        <f t="shared" si="404"/>
        <v>34297628</v>
      </c>
      <c r="I757" s="2">
        <f t="shared" si="404"/>
        <v>43097730</v>
      </c>
      <c r="J757" s="2">
        <f t="shared" si="404"/>
        <v>0</v>
      </c>
      <c r="K757" s="45">
        <f t="shared" si="404"/>
        <v>6</v>
      </c>
      <c r="L757" s="2">
        <f t="shared" si="404"/>
        <v>16400000</v>
      </c>
      <c r="M757" s="2">
        <f t="shared" si="404"/>
        <v>163937.11000000002</v>
      </c>
      <c r="N757" s="2">
        <f t="shared" si="404"/>
        <v>1023396867</v>
      </c>
      <c r="O757" s="2">
        <f t="shared" si="404"/>
        <v>1795.2</v>
      </c>
      <c r="P757" s="2">
        <f t="shared" si="404"/>
        <v>2154240</v>
      </c>
      <c r="Q757" s="2">
        <f t="shared" si="404"/>
        <v>91575.739999999991</v>
      </c>
      <c r="R757" s="2">
        <f t="shared" si="404"/>
        <v>293042368</v>
      </c>
      <c r="S757" s="2">
        <f t="shared" si="404"/>
        <v>3108564</v>
      </c>
      <c r="T757" s="2">
        <f t="shared" si="404"/>
        <v>0</v>
      </c>
      <c r="U757" s="2">
        <f t="shared" si="404"/>
        <v>19550000</v>
      </c>
    </row>
    <row r="758" spans="1:22" ht="45" customHeight="1" x14ac:dyDescent="0.25">
      <c r="A758" s="54" t="s">
        <v>1280</v>
      </c>
      <c r="B758" s="54"/>
      <c r="C758" s="2">
        <f>SUM(C759:C760)</f>
        <v>11807400</v>
      </c>
      <c r="D758" s="2">
        <f t="shared" ref="D758:U758" si="405">SUM(D759:D760)</f>
        <v>0</v>
      </c>
      <c r="E758" s="2">
        <f t="shared" si="405"/>
        <v>0</v>
      </c>
      <c r="F758" s="2">
        <f t="shared" si="405"/>
        <v>0</v>
      </c>
      <c r="G758" s="2">
        <f t="shared" si="405"/>
        <v>0</v>
      </c>
      <c r="H758" s="2">
        <f t="shared" si="405"/>
        <v>0</v>
      </c>
      <c r="I758" s="2">
        <f t="shared" si="405"/>
        <v>0</v>
      </c>
      <c r="J758" s="2">
        <f t="shared" si="405"/>
        <v>0</v>
      </c>
      <c r="K758" s="14">
        <f t="shared" si="405"/>
        <v>0</v>
      </c>
      <c r="L758" s="2">
        <f t="shared" si="405"/>
        <v>0</v>
      </c>
      <c r="M758" s="2">
        <f t="shared" si="405"/>
        <v>1789</v>
      </c>
      <c r="N758" s="2">
        <f t="shared" si="405"/>
        <v>11807400</v>
      </c>
      <c r="O758" s="2">
        <f t="shared" si="405"/>
        <v>0</v>
      </c>
      <c r="P758" s="2">
        <f t="shared" si="405"/>
        <v>0</v>
      </c>
      <c r="Q758" s="2">
        <f t="shared" si="405"/>
        <v>0</v>
      </c>
      <c r="R758" s="2">
        <f t="shared" si="405"/>
        <v>0</v>
      </c>
      <c r="S758" s="2">
        <f t="shared" si="405"/>
        <v>0</v>
      </c>
      <c r="T758" s="2">
        <f t="shared" si="405"/>
        <v>0</v>
      </c>
      <c r="U758" s="2">
        <f t="shared" si="405"/>
        <v>0</v>
      </c>
    </row>
    <row r="759" spans="1:22" ht="21.95" customHeight="1" x14ac:dyDescent="0.25">
      <c r="A759" s="37" t="s">
        <v>1951</v>
      </c>
      <c r="B759" s="38" t="s">
        <v>19</v>
      </c>
      <c r="C759" s="2">
        <f t="shared" ref="C759:C827" si="406">D759+L759+N759+P759+R759+S759+T759+U759</f>
        <v>6237000</v>
      </c>
      <c r="D759" s="3">
        <f t="shared" ref="D759:D760" si="407">SUM(E759:J759)</f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4">
        <v>0</v>
      </c>
      <c r="L759" s="3">
        <v>0</v>
      </c>
      <c r="M759" s="3">
        <v>945</v>
      </c>
      <c r="N759" s="3">
        <f>M759*6600</f>
        <v>6237000</v>
      </c>
      <c r="O759" s="3">
        <v>0</v>
      </c>
      <c r="P759" s="3">
        <v>0</v>
      </c>
      <c r="Q759" s="3">
        <v>0</v>
      </c>
      <c r="R759" s="3">
        <f t="shared" ref="R759:R760" si="408">Q759*3000</f>
        <v>0</v>
      </c>
      <c r="S759" s="3">
        <v>0</v>
      </c>
      <c r="T759" s="3">
        <v>0</v>
      </c>
      <c r="U759" s="3">
        <v>0</v>
      </c>
      <c r="V759" s="6">
        <f t="shared" ref="V759:V760" si="409">N759/M759</f>
        <v>6600</v>
      </c>
    </row>
    <row r="760" spans="1:22" ht="21.95" customHeight="1" x14ac:dyDescent="0.25">
      <c r="A760" s="37" t="s">
        <v>1952</v>
      </c>
      <c r="B760" s="38" t="s">
        <v>24</v>
      </c>
      <c r="C760" s="2">
        <f t="shared" si="406"/>
        <v>5570400</v>
      </c>
      <c r="D760" s="3">
        <f t="shared" si="407"/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4">
        <v>0</v>
      </c>
      <c r="L760" s="3">
        <v>0</v>
      </c>
      <c r="M760" s="3">
        <v>844</v>
      </c>
      <c r="N760" s="3">
        <f>M760*6600</f>
        <v>5570400</v>
      </c>
      <c r="O760" s="3">
        <v>0</v>
      </c>
      <c r="P760" s="3">
        <v>0</v>
      </c>
      <c r="Q760" s="3">
        <v>0</v>
      </c>
      <c r="R760" s="3">
        <f t="shared" si="408"/>
        <v>0</v>
      </c>
      <c r="S760" s="3">
        <v>0</v>
      </c>
      <c r="T760" s="3">
        <v>0</v>
      </c>
      <c r="U760" s="3">
        <v>0</v>
      </c>
      <c r="V760" s="6">
        <f t="shared" si="409"/>
        <v>6600</v>
      </c>
    </row>
    <row r="761" spans="1:22" ht="45" customHeight="1" x14ac:dyDescent="0.25">
      <c r="A761" s="54" t="s">
        <v>0</v>
      </c>
      <c r="B761" s="54"/>
      <c r="C761" s="2">
        <f>SUM(C762:C784)</f>
        <v>167145442.5</v>
      </c>
      <c r="D761" s="2">
        <f t="shared" ref="D761:U761" si="410">SUM(D762:D784)</f>
        <v>28559479</v>
      </c>
      <c r="E761" s="2">
        <f t="shared" si="410"/>
        <v>7148190</v>
      </c>
      <c r="F761" s="2">
        <f t="shared" si="410"/>
        <v>15284269</v>
      </c>
      <c r="G761" s="2">
        <f t="shared" si="410"/>
        <v>3063510</v>
      </c>
      <c r="H761" s="2">
        <f t="shared" si="410"/>
        <v>0</v>
      </c>
      <c r="I761" s="2">
        <f t="shared" si="410"/>
        <v>3063510</v>
      </c>
      <c r="J761" s="2">
        <f t="shared" si="410"/>
        <v>0</v>
      </c>
      <c r="K761" s="14">
        <f t="shared" si="410"/>
        <v>0</v>
      </c>
      <c r="L761" s="2">
        <f t="shared" si="410"/>
        <v>0</v>
      </c>
      <c r="M761" s="2">
        <f t="shared" si="410"/>
        <v>18692.68</v>
      </c>
      <c r="N761" s="2">
        <f t="shared" si="410"/>
        <v>107914155.5</v>
      </c>
      <c r="O761" s="2">
        <f t="shared" si="410"/>
        <v>0</v>
      </c>
      <c r="P761" s="2">
        <f t="shared" si="410"/>
        <v>0</v>
      </c>
      <c r="Q761" s="2">
        <f t="shared" si="410"/>
        <v>9459.9399999999987</v>
      </c>
      <c r="R761" s="2">
        <f t="shared" si="410"/>
        <v>30271808</v>
      </c>
      <c r="S761" s="2">
        <f t="shared" si="410"/>
        <v>0</v>
      </c>
      <c r="T761" s="2">
        <f t="shared" si="410"/>
        <v>0</v>
      </c>
      <c r="U761" s="2">
        <f t="shared" si="410"/>
        <v>400000</v>
      </c>
    </row>
    <row r="762" spans="1:22" ht="24.95" customHeight="1" x14ac:dyDescent="0.25">
      <c r="A762" s="37" t="s">
        <v>1953</v>
      </c>
      <c r="B762" s="8" t="s">
        <v>1013</v>
      </c>
      <c r="C762" s="2">
        <f t="shared" si="406"/>
        <v>14920850</v>
      </c>
      <c r="D762" s="3">
        <f t="shared" ref="D762:D784" si="411">SUM(E762:J762)</f>
        <v>0</v>
      </c>
      <c r="E762" s="3">
        <v>0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11">
        <v>0</v>
      </c>
      <c r="L762" s="5">
        <v>0</v>
      </c>
      <c r="M762" s="5">
        <v>3353</v>
      </c>
      <c r="N762" s="3">
        <f>M762*4450</f>
        <v>14920850</v>
      </c>
      <c r="O762" s="5">
        <v>0</v>
      </c>
      <c r="P762" s="5">
        <v>0</v>
      </c>
      <c r="Q762" s="5">
        <v>0</v>
      </c>
      <c r="R762" s="3">
        <f t="shared" ref="R762" si="412">Q762*3000</f>
        <v>0</v>
      </c>
      <c r="S762" s="5">
        <v>0</v>
      </c>
      <c r="T762" s="5">
        <v>0</v>
      </c>
      <c r="U762" s="5">
        <v>0</v>
      </c>
      <c r="V762" s="6">
        <f t="shared" ref="V762:V784" si="413">N762/M762</f>
        <v>4450</v>
      </c>
    </row>
    <row r="763" spans="1:22" ht="23.1" customHeight="1" x14ac:dyDescent="0.25">
      <c r="A763" s="37" t="s">
        <v>1954</v>
      </c>
      <c r="B763" s="8" t="s">
        <v>17</v>
      </c>
      <c r="C763" s="2">
        <f t="shared" si="406"/>
        <v>2726490.0000000005</v>
      </c>
      <c r="D763" s="3">
        <f t="shared" si="411"/>
        <v>2726490.0000000005</v>
      </c>
      <c r="E763" s="3">
        <v>0</v>
      </c>
      <c r="F763" s="3">
        <f>1300*2097.3</f>
        <v>2726490.0000000005</v>
      </c>
      <c r="G763" s="3">
        <v>0</v>
      </c>
      <c r="H763" s="3">
        <v>0</v>
      </c>
      <c r="I763" s="3">
        <v>0</v>
      </c>
      <c r="J763" s="3">
        <f>350*0</f>
        <v>0</v>
      </c>
      <c r="K763" s="4">
        <v>0</v>
      </c>
      <c r="L763" s="3">
        <v>0</v>
      </c>
      <c r="M763" s="3">
        <v>0</v>
      </c>
      <c r="N763" s="3">
        <f>M763*5500</f>
        <v>0</v>
      </c>
      <c r="O763" s="3">
        <v>0</v>
      </c>
      <c r="P763" s="3">
        <v>0</v>
      </c>
      <c r="Q763" s="3">
        <v>0</v>
      </c>
      <c r="R763" s="3">
        <f>Q763*3000</f>
        <v>0</v>
      </c>
      <c r="S763" s="3">
        <v>0</v>
      </c>
      <c r="T763" s="3">
        <v>0</v>
      </c>
      <c r="U763" s="3">
        <v>0</v>
      </c>
      <c r="V763" s="6" t="e">
        <f t="shared" si="413"/>
        <v>#DIV/0!</v>
      </c>
    </row>
    <row r="764" spans="1:22" ht="24.95" customHeight="1" x14ac:dyDescent="0.25">
      <c r="A764" s="37" t="s">
        <v>1955</v>
      </c>
      <c r="B764" s="8" t="s">
        <v>46</v>
      </c>
      <c r="C764" s="2">
        <f t="shared" si="406"/>
        <v>3016000</v>
      </c>
      <c r="D764" s="3">
        <f t="shared" si="411"/>
        <v>0</v>
      </c>
      <c r="E764" s="3">
        <v>0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4">
        <v>0</v>
      </c>
      <c r="L764" s="3">
        <v>0</v>
      </c>
      <c r="M764" s="3">
        <v>0</v>
      </c>
      <c r="N764" s="20">
        <v>0</v>
      </c>
      <c r="O764" s="3">
        <v>0</v>
      </c>
      <c r="P764" s="3">
        <v>0</v>
      </c>
      <c r="Q764" s="3">
        <v>942.5</v>
      </c>
      <c r="R764" s="3">
        <f>Q764*3200</f>
        <v>3016000</v>
      </c>
      <c r="S764" s="3">
        <v>0</v>
      </c>
      <c r="T764" s="5">
        <v>0</v>
      </c>
      <c r="U764" s="3">
        <v>0</v>
      </c>
      <c r="V764" s="6" t="e">
        <f t="shared" si="413"/>
        <v>#DIV/0!</v>
      </c>
    </row>
    <row r="765" spans="1:22" ht="24.95" customHeight="1" x14ac:dyDescent="0.25">
      <c r="A765" s="37" t="s">
        <v>1956</v>
      </c>
      <c r="B765" s="8" t="s">
        <v>49</v>
      </c>
      <c r="C765" s="2">
        <f t="shared" si="406"/>
        <v>11773256</v>
      </c>
      <c r="D765" s="3">
        <f t="shared" si="411"/>
        <v>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4">
        <v>0</v>
      </c>
      <c r="L765" s="3">
        <v>0</v>
      </c>
      <c r="M765" s="3">
        <v>946.28</v>
      </c>
      <c r="N765" s="3">
        <f>M765*6600</f>
        <v>6245448</v>
      </c>
      <c r="O765" s="3">
        <v>0</v>
      </c>
      <c r="P765" s="3">
        <v>0</v>
      </c>
      <c r="Q765" s="3">
        <v>1727.44</v>
      </c>
      <c r="R765" s="3">
        <f>Q765*3200</f>
        <v>5527808</v>
      </c>
      <c r="S765" s="3">
        <v>0</v>
      </c>
      <c r="T765" s="5">
        <v>0</v>
      </c>
      <c r="U765" s="3">
        <v>0</v>
      </c>
      <c r="V765" s="6">
        <f t="shared" si="413"/>
        <v>6600</v>
      </c>
    </row>
    <row r="766" spans="1:22" ht="24.95" customHeight="1" x14ac:dyDescent="0.25">
      <c r="A766" s="37" t="s">
        <v>1957</v>
      </c>
      <c r="B766" s="8" t="s">
        <v>1014</v>
      </c>
      <c r="C766" s="2">
        <f t="shared" si="406"/>
        <v>10400368</v>
      </c>
      <c r="D766" s="3">
        <f t="shared" si="411"/>
        <v>10300368</v>
      </c>
      <c r="E766" s="3">
        <f>700*3961.68</f>
        <v>2773176</v>
      </c>
      <c r="F766" s="3">
        <f>1300*3961.68</f>
        <v>5150184</v>
      </c>
      <c r="G766" s="3">
        <f>300*3961.68</f>
        <v>1188504</v>
      </c>
      <c r="H766" s="3">
        <f>400*0</f>
        <v>0</v>
      </c>
      <c r="I766" s="3">
        <f>300*3961.68</f>
        <v>1188504</v>
      </c>
      <c r="J766" s="3">
        <v>0</v>
      </c>
      <c r="K766" s="4">
        <v>0</v>
      </c>
      <c r="L766" s="3">
        <v>0</v>
      </c>
      <c r="M766" s="3">
        <v>0</v>
      </c>
      <c r="N766" s="20">
        <v>0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 s="5">
        <v>0</v>
      </c>
      <c r="U766" s="3">
        <v>100000</v>
      </c>
      <c r="V766" s="6" t="e">
        <f t="shared" si="413"/>
        <v>#DIV/0!</v>
      </c>
    </row>
    <row r="767" spans="1:22" ht="24.95" customHeight="1" x14ac:dyDescent="0.25">
      <c r="A767" s="37" t="s">
        <v>1958</v>
      </c>
      <c r="B767" s="8" t="s">
        <v>1017</v>
      </c>
      <c r="C767" s="2">
        <f t="shared" si="406"/>
        <v>25696880</v>
      </c>
      <c r="D767" s="3">
        <f t="shared" si="411"/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4">
        <v>0</v>
      </c>
      <c r="L767" s="3">
        <v>0</v>
      </c>
      <c r="M767" s="3">
        <v>3137.2</v>
      </c>
      <c r="N767" s="3">
        <f>M767*6600</f>
        <v>20705520</v>
      </c>
      <c r="O767" s="3">
        <v>0</v>
      </c>
      <c r="P767" s="3">
        <v>0</v>
      </c>
      <c r="Q767" s="3">
        <v>1559.8</v>
      </c>
      <c r="R767" s="3">
        <f>Q767*3200</f>
        <v>4991360</v>
      </c>
      <c r="S767" s="3">
        <v>0</v>
      </c>
      <c r="T767" s="5">
        <v>0</v>
      </c>
      <c r="U767" s="3">
        <v>0</v>
      </c>
      <c r="V767" s="6">
        <f t="shared" si="413"/>
        <v>6600</v>
      </c>
    </row>
    <row r="768" spans="1:22" ht="24.95" customHeight="1" x14ac:dyDescent="0.25">
      <c r="A768" s="37" t="s">
        <v>1959</v>
      </c>
      <c r="B768" s="8" t="s">
        <v>11</v>
      </c>
      <c r="C768" s="2">
        <f t="shared" si="406"/>
        <v>2804800</v>
      </c>
      <c r="D768" s="3">
        <f t="shared" si="411"/>
        <v>0</v>
      </c>
      <c r="E768" s="3">
        <v>0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4">
        <v>0</v>
      </c>
      <c r="L768" s="3">
        <v>0</v>
      </c>
      <c r="M768" s="3">
        <v>0</v>
      </c>
      <c r="N768" s="20">
        <v>0</v>
      </c>
      <c r="O768" s="3">
        <v>0</v>
      </c>
      <c r="P768" s="3">
        <v>0</v>
      </c>
      <c r="Q768" s="3">
        <v>876.5</v>
      </c>
      <c r="R768" s="3">
        <f>Q768*3200</f>
        <v>2804800</v>
      </c>
      <c r="S768" s="3">
        <v>0</v>
      </c>
      <c r="T768" s="5">
        <v>0</v>
      </c>
      <c r="U768" s="3">
        <v>0</v>
      </c>
      <c r="V768" s="6" t="e">
        <f t="shared" si="413"/>
        <v>#DIV/0!</v>
      </c>
    </row>
    <row r="769" spans="1:22" ht="24.95" customHeight="1" x14ac:dyDescent="0.25">
      <c r="A769" s="37" t="s">
        <v>1960</v>
      </c>
      <c r="B769" s="19" t="s">
        <v>59</v>
      </c>
      <c r="C769" s="2">
        <f t="shared" si="406"/>
        <v>3984530</v>
      </c>
      <c r="D769" s="3">
        <f t="shared" si="411"/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4">
        <v>0</v>
      </c>
      <c r="L769" s="3">
        <v>0</v>
      </c>
      <c r="M769" s="3">
        <v>895.4</v>
      </c>
      <c r="N769" s="3">
        <f>M769*4450</f>
        <v>3984530</v>
      </c>
      <c r="O769" s="3">
        <v>0</v>
      </c>
      <c r="P769" s="3">
        <v>0</v>
      </c>
      <c r="Q769" s="3">
        <v>0</v>
      </c>
      <c r="R769" s="3">
        <f t="shared" ref="R769:R784" si="414">Q769*3200</f>
        <v>0</v>
      </c>
      <c r="S769" s="3">
        <v>0</v>
      </c>
      <c r="T769" s="5">
        <v>0</v>
      </c>
      <c r="U769" s="3">
        <v>0</v>
      </c>
      <c r="V769" s="6">
        <f t="shared" si="413"/>
        <v>4450</v>
      </c>
    </row>
    <row r="770" spans="1:22" ht="24.95" customHeight="1" x14ac:dyDescent="0.25">
      <c r="A770" s="37" t="s">
        <v>1961</v>
      </c>
      <c r="B770" s="41" t="s">
        <v>62</v>
      </c>
      <c r="C770" s="2">
        <f t="shared" si="406"/>
        <v>6337980</v>
      </c>
      <c r="D770" s="3">
        <f t="shared" si="411"/>
        <v>0</v>
      </c>
      <c r="E770" s="3">
        <v>0</v>
      </c>
      <c r="F770" s="3">
        <v>0</v>
      </c>
      <c r="G770" s="3">
        <v>0</v>
      </c>
      <c r="H770" s="3">
        <v>0</v>
      </c>
      <c r="I770" s="3">
        <v>0</v>
      </c>
      <c r="J770" s="3">
        <v>0</v>
      </c>
      <c r="K770" s="4">
        <v>0</v>
      </c>
      <c r="L770" s="3">
        <v>0</v>
      </c>
      <c r="M770" s="3">
        <v>960.3</v>
      </c>
      <c r="N770" s="3">
        <f>M770*6600</f>
        <v>6337980</v>
      </c>
      <c r="O770" s="3">
        <v>0</v>
      </c>
      <c r="P770" s="3">
        <v>0</v>
      </c>
      <c r="Q770" s="3">
        <v>0</v>
      </c>
      <c r="R770" s="3">
        <f t="shared" si="414"/>
        <v>0</v>
      </c>
      <c r="S770" s="3">
        <v>0</v>
      </c>
      <c r="T770" s="5">
        <v>0</v>
      </c>
      <c r="U770" s="3">
        <v>0</v>
      </c>
      <c r="V770" s="6">
        <f t="shared" si="413"/>
        <v>6600</v>
      </c>
    </row>
    <row r="771" spans="1:22" ht="24.95" customHeight="1" x14ac:dyDescent="0.25">
      <c r="A771" s="37" t="s">
        <v>1962</v>
      </c>
      <c r="B771" s="42" t="s">
        <v>63</v>
      </c>
      <c r="C771" s="2">
        <f t="shared" si="406"/>
        <v>4543450</v>
      </c>
      <c r="D771" s="3">
        <f t="shared" si="411"/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4">
        <v>0</v>
      </c>
      <c r="L771" s="3">
        <v>0</v>
      </c>
      <c r="M771" s="3">
        <v>1021</v>
      </c>
      <c r="N771" s="3">
        <f>M771*4450</f>
        <v>4543450</v>
      </c>
      <c r="O771" s="3">
        <v>0</v>
      </c>
      <c r="P771" s="3">
        <v>0</v>
      </c>
      <c r="Q771" s="3">
        <v>0</v>
      </c>
      <c r="R771" s="3">
        <f t="shared" si="414"/>
        <v>0</v>
      </c>
      <c r="S771" s="3">
        <v>0</v>
      </c>
      <c r="T771" s="5">
        <v>0</v>
      </c>
      <c r="U771" s="3">
        <v>0</v>
      </c>
      <c r="V771" s="6">
        <f t="shared" si="413"/>
        <v>4450</v>
      </c>
    </row>
    <row r="772" spans="1:22" ht="24.95" customHeight="1" x14ac:dyDescent="0.25">
      <c r="A772" s="37" t="s">
        <v>1963</v>
      </c>
      <c r="B772" s="8" t="s">
        <v>1529</v>
      </c>
      <c r="C772" s="2">
        <f t="shared" si="406"/>
        <v>1287000</v>
      </c>
      <c r="D772" s="3">
        <f t="shared" si="411"/>
        <v>0</v>
      </c>
      <c r="E772" s="3">
        <v>0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4">
        <v>0</v>
      </c>
      <c r="L772" s="3">
        <v>0</v>
      </c>
      <c r="M772" s="3">
        <v>195</v>
      </c>
      <c r="N772" s="47">
        <f>M772*6600</f>
        <v>1287000</v>
      </c>
      <c r="O772" s="3">
        <v>0</v>
      </c>
      <c r="P772" s="3">
        <v>0</v>
      </c>
      <c r="Q772" s="3">
        <v>0</v>
      </c>
      <c r="R772" s="3">
        <f t="shared" si="414"/>
        <v>0</v>
      </c>
      <c r="S772" s="3">
        <v>0</v>
      </c>
      <c r="T772" s="3">
        <v>0</v>
      </c>
      <c r="U772" s="3">
        <v>0</v>
      </c>
      <c r="V772" s="7"/>
    </row>
    <row r="773" spans="1:22" ht="24.95" customHeight="1" x14ac:dyDescent="0.25">
      <c r="A773" s="37" t="s">
        <v>1964</v>
      </c>
      <c r="B773" s="8" t="s">
        <v>60</v>
      </c>
      <c r="C773" s="2">
        <f t="shared" si="406"/>
        <v>2046660.0000000002</v>
      </c>
      <c r="D773" s="3">
        <f t="shared" si="411"/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4">
        <v>0</v>
      </c>
      <c r="L773" s="3">
        <v>0</v>
      </c>
      <c r="M773" s="3">
        <v>310.10000000000002</v>
      </c>
      <c r="N773" s="3">
        <f>M773*6600</f>
        <v>2046660.0000000002</v>
      </c>
      <c r="O773" s="3">
        <v>0</v>
      </c>
      <c r="P773" s="3">
        <v>0</v>
      </c>
      <c r="Q773" s="3">
        <v>0</v>
      </c>
      <c r="R773" s="3">
        <f t="shared" si="414"/>
        <v>0</v>
      </c>
      <c r="S773" s="3">
        <v>0</v>
      </c>
      <c r="T773" s="3">
        <v>0</v>
      </c>
      <c r="U773" s="3">
        <v>0</v>
      </c>
      <c r="V773" s="6">
        <f t="shared" si="413"/>
        <v>6600</v>
      </c>
    </row>
    <row r="774" spans="1:22" ht="24.95" customHeight="1" x14ac:dyDescent="0.25">
      <c r="A774" s="37" t="s">
        <v>1965</v>
      </c>
      <c r="B774" s="8" t="s">
        <v>35</v>
      </c>
      <c r="C774" s="2">
        <f t="shared" si="406"/>
        <v>30359268</v>
      </c>
      <c r="D774" s="3">
        <f t="shared" si="411"/>
        <v>11976068</v>
      </c>
      <c r="E774" s="3">
        <f>700*4606.18</f>
        <v>3224326</v>
      </c>
      <c r="F774" s="3">
        <f>1300*4606.18</f>
        <v>5988034</v>
      </c>
      <c r="G774" s="3">
        <f>300*4606.18</f>
        <v>1381854</v>
      </c>
      <c r="H774" s="3">
        <f>400*0</f>
        <v>0</v>
      </c>
      <c r="I774" s="3">
        <f>300*4606.18</f>
        <v>1381854</v>
      </c>
      <c r="J774" s="3">
        <v>0</v>
      </c>
      <c r="K774" s="4">
        <v>0</v>
      </c>
      <c r="L774" s="3">
        <v>0</v>
      </c>
      <c r="M774" s="3">
        <v>2057.6</v>
      </c>
      <c r="N774" s="3">
        <f>M774*6600</f>
        <v>13580160</v>
      </c>
      <c r="O774" s="3">
        <v>0</v>
      </c>
      <c r="P774" s="3">
        <v>0</v>
      </c>
      <c r="Q774" s="3">
        <v>1469.7</v>
      </c>
      <c r="R774" s="3">
        <f t="shared" si="414"/>
        <v>4703040</v>
      </c>
      <c r="S774" s="3">
        <v>0</v>
      </c>
      <c r="T774" s="5">
        <v>0</v>
      </c>
      <c r="U774" s="3">
        <v>100000</v>
      </c>
      <c r="V774" s="6">
        <f t="shared" si="413"/>
        <v>6600</v>
      </c>
    </row>
    <row r="775" spans="1:22" ht="24.95" customHeight="1" x14ac:dyDescent="0.25">
      <c r="A775" s="37" t="s">
        <v>1966</v>
      </c>
      <c r="B775" s="8" t="s">
        <v>64</v>
      </c>
      <c r="C775" s="2">
        <f t="shared" si="406"/>
        <v>14595500</v>
      </c>
      <c r="D775" s="3">
        <f t="shared" si="411"/>
        <v>0</v>
      </c>
      <c r="E775" s="3">
        <v>0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4">
        <v>0</v>
      </c>
      <c r="L775" s="3">
        <v>0</v>
      </c>
      <c r="M775" s="3">
        <v>1206</v>
      </c>
      <c r="N775" s="3">
        <f>M775*4450</f>
        <v>5366700</v>
      </c>
      <c r="O775" s="3">
        <v>0</v>
      </c>
      <c r="P775" s="3">
        <v>0</v>
      </c>
      <c r="Q775" s="3">
        <v>2884</v>
      </c>
      <c r="R775" s="3">
        <f t="shared" si="414"/>
        <v>9228800</v>
      </c>
      <c r="S775" s="3">
        <v>0</v>
      </c>
      <c r="T775" s="3">
        <v>0</v>
      </c>
      <c r="U775" s="3">
        <v>0</v>
      </c>
      <c r="V775" s="6">
        <f t="shared" si="413"/>
        <v>4450</v>
      </c>
    </row>
    <row r="776" spans="1:22" ht="24.95" customHeight="1" x14ac:dyDescent="0.25">
      <c r="A776" s="37" t="s">
        <v>1967</v>
      </c>
      <c r="B776" s="8" t="s">
        <v>65</v>
      </c>
      <c r="C776" s="2">
        <f t="shared" si="406"/>
        <v>4074840</v>
      </c>
      <c r="D776" s="3">
        <f t="shared" si="411"/>
        <v>0</v>
      </c>
      <c r="E776" s="3">
        <v>0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4">
        <v>0</v>
      </c>
      <c r="L776" s="3">
        <v>0</v>
      </c>
      <c r="M776" s="3">
        <v>617.4</v>
      </c>
      <c r="N776" s="3">
        <f>M776*6600</f>
        <v>4074840</v>
      </c>
      <c r="O776" s="3">
        <v>0</v>
      </c>
      <c r="P776" s="3">
        <v>0</v>
      </c>
      <c r="Q776" s="3">
        <v>0</v>
      </c>
      <c r="R776" s="3">
        <f t="shared" si="414"/>
        <v>0</v>
      </c>
      <c r="S776" s="3">
        <v>0</v>
      </c>
      <c r="T776" s="5">
        <v>0</v>
      </c>
      <c r="U776" s="3">
        <v>0</v>
      </c>
      <c r="V776" s="6">
        <f t="shared" si="413"/>
        <v>6600</v>
      </c>
    </row>
    <row r="777" spans="1:22" ht="24.95" customHeight="1" x14ac:dyDescent="0.25">
      <c r="A777" s="37" t="s">
        <v>1968</v>
      </c>
      <c r="B777" s="8" t="s">
        <v>1015</v>
      </c>
      <c r="C777" s="2">
        <f t="shared" si="406"/>
        <v>5068800</v>
      </c>
      <c r="D777" s="3">
        <f t="shared" si="411"/>
        <v>0</v>
      </c>
      <c r="E777" s="3">
        <v>0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4">
        <v>0</v>
      </c>
      <c r="L777" s="3">
        <v>0</v>
      </c>
      <c r="M777" s="3">
        <v>768</v>
      </c>
      <c r="N777" s="3">
        <f>M777*6600</f>
        <v>5068800</v>
      </c>
      <c r="O777" s="3">
        <v>0</v>
      </c>
      <c r="P777" s="3">
        <v>0</v>
      </c>
      <c r="Q777" s="3">
        <v>0</v>
      </c>
      <c r="R777" s="3">
        <f t="shared" si="414"/>
        <v>0</v>
      </c>
      <c r="S777" s="3">
        <v>0</v>
      </c>
      <c r="T777" s="5">
        <v>0</v>
      </c>
      <c r="U777" s="3">
        <v>0</v>
      </c>
      <c r="V777" s="6">
        <f t="shared" si="413"/>
        <v>6600</v>
      </c>
    </row>
    <row r="778" spans="1:22" ht="24.95" customHeight="1" x14ac:dyDescent="0.25">
      <c r="A778" s="37" t="s">
        <v>1969</v>
      </c>
      <c r="B778" s="8" t="s">
        <v>66</v>
      </c>
      <c r="C778" s="2">
        <f t="shared" si="406"/>
        <v>3177967.5</v>
      </c>
      <c r="D778" s="3">
        <f t="shared" si="411"/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4">
        <v>0</v>
      </c>
      <c r="L778" s="3">
        <v>0</v>
      </c>
      <c r="M778" s="3">
        <v>714.15</v>
      </c>
      <c r="N778" s="3">
        <f>M778*4450</f>
        <v>3177967.5</v>
      </c>
      <c r="O778" s="3">
        <v>0</v>
      </c>
      <c r="P778" s="3">
        <v>0</v>
      </c>
      <c r="Q778" s="3">
        <v>0</v>
      </c>
      <c r="R778" s="3">
        <f t="shared" si="414"/>
        <v>0</v>
      </c>
      <c r="S778" s="3">
        <v>0</v>
      </c>
      <c r="T778" s="5">
        <v>0</v>
      </c>
      <c r="U778" s="3">
        <v>0</v>
      </c>
      <c r="V778" s="6">
        <f t="shared" si="413"/>
        <v>4450</v>
      </c>
    </row>
    <row r="779" spans="1:22" ht="24.95" customHeight="1" x14ac:dyDescent="0.25">
      <c r="A779" s="37" t="s">
        <v>1970</v>
      </c>
      <c r="B779" s="8" t="s">
        <v>69</v>
      </c>
      <c r="C779" s="2">
        <f>D779+L779+N779+P779+R779+S779+T779+U779</f>
        <v>1744380</v>
      </c>
      <c r="D779" s="3">
        <f>SUM(E779:J779)</f>
        <v>0</v>
      </c>
      <c r="E779" s="3">
        <v>0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4">
        <v>0</v>
      </c>
      <c r="L779" s="3">
        <v>0</v>
      </c>
      <c r="M779" s="3">
        <v>264.3</v>
      </c>
      <c r="N779" s="3">
        <f>M779*6600</f>
        <v>1744380</v>
      </c>
      <c r="O779" s="3">
        <v>0</v>
      </c>
      <c r="P779" s="3">
        <v>0</v>
      </c>
      <c r="Q779" s="3">
        <v>0</v>
      </c>
      <c r="R779" s="3">
        <f t="shared" si="414"/>
        <v>0</v>
      </c>
      <c r="S779" s="3">
        <v>0</v>
      </c>
      <c r="T779" s="5">
        <v>0</v>
      </c>
      <c r="U779" s="3">
        <v>0</v>
      </c>
      <c r="V779" s="6">
        <f>N779/M779</f>
        <v>6600</v>
      </c>
    </row>
    <row r="780" spans="1:22" ht="24.95" customHeight="1" x14ac:dyDescent="0.25">
      <c r="A780" s="37" t="s">
        <v>1971</v>
      </c>
      <c r="B780" s="8" t="s">
        <v>67</v>
      </c>
      <c r="C780" s="2">
        <f t="shared" si="406"/>
        <v>2939122</v>
      </c>
      <c r="D780" s="3">
        <f t="shared" si="411"/>
        <v>2839122</v>
      </c>
      <c r="E780" s="3">
        <f>700*1091.97</f>
        <v>764379</v>
      </c>
      <c r="F780" s="3">
        <f>1300*1091.97</f>
        <v>1419561</v>
      </c>
      <c r="G780" s="3">
        <f>300*1091.97</f>
        <v>327591</v>
      </c>
      <c r="H780" s="3">
        <v>0</v>
      </c>
      <c r="I780" s="3">
        <f>300*1091.97</f>
        <v>327591</v>
      </c>
      <c r="J780" s="3">
        <v>0</v>
      </c>
      <c r="K780" s="4">
        <v>0</v>
      </c>
      <c r="L780" s="3">
        <v>0</v>
      </c>
      <c r="M780" s="3">
        <v>0</v>
      </c>
      <c r="N780" s="20">
        <v>0</v>
      </c>
      <c r="O780" s="3">
        <v>0</v>
      </c>
      <c r="P780" s="3">
        <v>0</v>
      </c>
      <c r="Q780" s="3">
        <v>0</v>
      </c>
      <c r="R780" s="3">
        <f t="shared" si="414"/>
        <v>0</v>
      </c>
      <c r="S780" s="3">
        <v>0</v>
      </c>
      <c r="T780" s="5">
        <v>0</v>
      </c>
      <c r="U780" s="3">
        <v>100000</v>
      </c>
      <c r="V780" s="6" t="e">
        <f t="shared" si="413"/>
        <v>#DIV/0!</v>
      </c>
    </row>
    <row r="781" spans="1:22" ht="24.95" customHeight="1" x14ac:dyDescent="0.25">
      <c r="A781" s="37" t="s">
        <v>1972</v>
      </c>
      <c r="B781" s="8" t="s">
        <v>68</v>
      </c>
      <c r="C781" s="2">
        <f t="shared" si="406"/>
        <v>4079151</v>
      </c>
      <c r="D781" s="3">
        <f t="shared" si="411"/>
        <v>717431</v>
      </c>
      <c r="E781" s="3">
        <f>700*551.87</f>
        <v>386309</v>
      </c>
      <c r="F781" s="3">
        <f>1300*0</f>
        <v>0</v>
      </c>
      <c r="G781" s="3">
        <f>300*551.87</f>
        <v>165561</v>
      </c>
      <c r="H781" s="3">
        <v>0</v>
      </c>
      <c r="I781" s="3">
        <f>300*551.87</f>
        <v>165561</v>
      </c>
      <c r="J781" s="3">
        <v>0</v>
      </c>
      <c r="K781" s="4">
        <v>0</v>
      </c>
      <c r="L781" s="3">
        <v>0</v>
      </c>
      <c r="M781" s="3">
        <v>494.2</v>
      </c>
      <c r="N781" s="3">
        <f>M781*6600</f>
        <v>3261720</v>
      </c>
      <c r="O781" s="3">
        <v>0</v>
      </c>
      <c r="P781" s="3">
        <v>0</v>
      </c>
      <c r="Q781" s="3">
        <v>0</v>
      </c>
      <c r="R781" s="3">
        <f t="shared" si="414"/>
        <v>0</v>
      </c>
      <c r="S781" s="3">
        <v>0</v>
      </c>
      <c r="T781" s="5">
        <v>0</v>
      </c>
      <c r="U781" s="3">
        <v>100000</v>
      </c>
      <c r="V781" s="6">
        <f t="shared" si="413"/>
        <v>6600</v>
      </c>
    </row>
    <row r="782" spans="1:22" ht="24.95" customHeight="1" x14ac:dyDescent="0.25">
      <c r="A782" s="37" t="s">
        <v>1973</v>
      </c>
      <c r="B782" s="8" t="s">
        <v>70</v>
      </c>
      <c r="C782" s="2">
        <f t="shared" si="406"/>
        <v>1811039.9999999998</v>
      </c>
      <c r="D782" s="3">
        <f t="shared" si="411"/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0</v>
      </c>
      <c r="L782" s="3">
        <v>0</v>
      </c>
      <c r="M782" s="3">
        <v>274.39999999999998</v>
      </c>
      <c r="N782" s="3">
        <f>M782*6600</f>
        <v>1811039.9999999998</v>
      </c>
      <c r="O782" s="3">
        <v>0</v>
      </c>
      <c r="P782" s="3">
        <v>0</v>
      </c>
      <c r="Q782" s="3">
        <v>0</v>
      </c>
      <c r="R782" s="3">
        <f t="shared" si="414"/>
        <v>0</v>
      </c>
      <c r="S782" s="3">
        <v>0</v>
      </c>
      <c r="T782" s="5">
        <v>0</v>
      </c>
      <c r="U782" s="3">
        <v>0</v>
      </c>
      <c r="V782" s="6">
        <f t="shared" si="413"/>
        <v>6600</v>
      </c>
    </row>
    <row r="783" spans="1:22" ht="24.95" customHeight="1" x14ac:dyDescent="0.25">
      <c r="A783" s="37" t="s">
        <v>1974</v>
      </c>
      <c r="B783" s="8" t="s">
        <v>71</v>
      </c>
      <c r="C783" s="2">
        <f t="shared" si="406"/>
        <v>1757118.0000000002</v>
      </c>
      <c r="D783" s="3">
        <f t="shared" si="411"/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4">
        <v>0</v>
      </c>
      <c r="L783" s="3">
        <v>0</v>
      </c>
      <c r="M783" s="3">
        <v>266.23</v>
      </c>
      <c r="N783" s="3">
        <f>M783*6600</f>
        <v>1757118.0000000002</v>
      </c>
      <c r="O783" s="3">
        <v>0</v>
      </c>
      <c r="P783" s="3">
        <v>0</v>
      </c>
      <c r="Q783" s="3">
        <v>0</v>
      </c>
      <c r="R783" s="3">
        <f t="shared" si="414"/>
        <v>0</v>
      </c>
      <c r="S783" s="3">
        <v>0</v>
      </c>
      <c r="T783" s="5">
        <v>0</v>
      </c>
      <c r="U783" s="3">
        <v>0</v>
      </c>
      <c r="V783" s="6">
        <f t="shared" si="413"/>
        <v>6600</v>
      </c>
    </row>
    <row r="784" spans="1:22" ht="24.95" customHeight="1" x14ac:dyDescent="0.25">
      <c r="A784" s="37" t="s">
        <v>1975</v>
      </c>
      <c r="B784" s="8" t="s">
        <v>985</v>
      </c>
      <c r="C784" s="2">
        <f t="shared" si="406"/>
        <v>7999991.9999999991</v>
      </c>
      <c r="D784" s="3">
        <f t="shared" si="411"/>
        <v>0</v>
      </c>
      <c r="E784" s="3">
        <v>0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4">
        <v>0</v>
      </c>
      <c r="L784" s="3">
        <v>0</v>
      </c>
      <c r="M784" s="3">
        <v>1212.1199999999999</v>
      </c>
      <c r="N784" s="3">
        <f>M784*6600</f>
        <v>7999991.9999999991</v>
      </c>
      <c r="O784" s="3">
        <v>0</v>
      </c>
      <c r="P784" s="3">
        <v>0</v>
      </c>
      <c r="Q784" s="3">
        <v>0</v>
      </c>
      <c r="R784" s="3">
        <f t="shared" si="414"/>
        <v>0</v>
      </c>
      <c r="S784" s="3">
        <v>0</v>
      </c>
      <c r="T784" s="5">
        <v>0</v>
      </c>
      <c r="U784" s="3">
        <v>0</v>
      </c>
      <c r="V784" s="6">
        <f t="shared" si="413"/>
        <v>6600</v>
      </c>
    </row>
    <row r="785" spans="1:258" ht="42.95" customHeight="1" x14ac:dyDescent="0.25">
      <c r="A785" s="54" t="s">
        <v>30</v>
      </c>
      <c r="B785" s="54"/>
      <c r="C785" s="2">
        <f>SUM(C786)</f>
        <v>2356200</v>
      </c>
      <c r="D785" s="2">
        <f t="shared" ref="D785:U785" si="415">SUM(D786)</f>
        <v>0</v>
      </c>
      <c r="E785" s="2">
        <f t="shared" si="415"/>
        <v>0</v>
      </c>
      <c r="F785" s="2">
        <f t="shared" si="415"/>
        <v>0</v>
      </c>
      <c r="G785" s="2">
        <f t="shared" si="415"/>
        <v>0</v>
      </c>
      <c r="H785" s="2">
        <f t="shared" si="415"/>
        <v>0</v>
      </c>
      <c r="I785" s="2">
        <f t="shared" si="415"/>
        <v>0</v>
      </c>
      <c r="J785" s="2">
        <f t="shared" si="415"/>
        <v>0</v>
      </c>
      <c r="K785" s="14">
        <f t="shared" si="415"/>
        <v>0</v>
      </c>
      <c r="L785" s="2">
        <f t="shared" si="415"/>
        <v>0</v>
      </c>
      <c r="M785" s="2">
        <f t="shared" si="415"/>
        <v>357</v>
      </c>
      <c r="N785" s="2">
        <f t="shared" si="415"/>
        <v>2356200</v>
      </c>
      <c r="O785" s="2">
        <f t="shared" si="415"/>
        <v>0</v>
      </c>
      <c r="P785" s="2">
        <f t="shared" si="415"/>
        <v>0</v>
      </c>
      <c r="Q785" s="2">
        <f t="shared" si="415"/>
        <v>0</v>
      </c>
      <c r="R785" s="2">
        <f t="shared" si="415"/>
        <v>0</v>
      </c>
      <c r="S785" s="2">
        <f t="shared" si="415"/>
        <v>0</v>
      </c>
      <c r="T785" s="2">
        <f t="shared" si="415"/>
        <v>0</v>
      </c>
      <c r="U785" s="2">
        <f t="shared" si="415"/>
        <v>0</v>
      </c>
      <c r="V785" s="18">
        <f>C785</f>
        <v>2356200</v>
      </c>
    </row>
    <row r="786" spans="1:258" ht="21.95" customHeight="1" x14ac:dyDescent="0.25">
      <c r="A786" s="37" t="s">
        <v>1976</v>
      </c>
      <c r="B786" s="8" t="s">
        <v>31</v>
      </c>
      <c r="C786" s="2">
        <f t="shared" ref="C786" si="416">D786+L786+N786+P786+R786+S786+T786+U786</f>
        <v>2356200</v>
      </c>
      <c r="D786" s="3">
        <f t="shared" ref="D786" si="417">SUM(E786:J786)</f>
        <v>0</v>
      </c>
      <c r="E786" s="3">
        <v>0</v>
      </c>
      <c r="F786" s="3">
        <v>0</v>
      </c>
      <c r="G786" s="3">
        <v>0</v>
      </c>
      <c r="H786" s="3">
        <v>0</v>
      </c>
      <c r="I786" s="3">
        <v>0</v>
      </c>
      <c r="J786" s="3">
        <v>0</v>
      </c>
      <c r="K786" s="4">
        <v>0</v>
      </c>
      <c r="L786" s="3">
        <v>0</v>
      </c>
      <c r="M786" s="3">
        <v>357</v>
      </c>
      <c r="N786" s="3">
        <f>M786*6600</f>
        <v>2356200</v>
      </c>
      <c r="O786" s="3">
        <v>0</v>
      </c>
      <c r="P786" s="3">
        <v>0</v>
      </c>
      <c r="Q786" s="3">
        <v>0</v>
      </c>
      <c r="R786" s="3">
        <v>0</v>
      </c>
      <c r="S786" s="3">
        <v>0</v>
      </c>
      <c r="T786" s="3">
        <v>0</v>
      </c>
      <c r="U786" s="3">
        <v>0</v>
      </c>
      <c r="V786" s="6">
        <f>N786/M786</f>
        <v>6600</v>
      </c>
    </row>
    <row r="787" spans="1:258" ht="45" customHeight="1" x14ac:dyDescent="0.25">
      <c r="A787" s="54" t="s">
        <v>28</v>
      </c>
      <c r="B787" s="54"/>
      <c r="C787" s="2">
        <f>SUM(C788:C789)</f>
        <v>8009828</v>
      </c>
      <c r="D787" s="2">
        <f t="shared" ref="D787:U787" si="418">SUM(D788:D789)</f>
        <v>586208</v>
      </c>
      <c r="E787" s="2">
        <f t="shared" si="418"/>
        <v>586208</v>
      </c>
      <c r="F787" s="2">
        <f t="shared" si="418"/>
        <v>0</v>
      </c>
      <c r="G787" s="2">
        <f t="shared" si="418"/>
        <v>0</v>
      </c>
      <c r="H787" s="2">
        <f t="shared" si="418"/>
        <v>0</v>
      </c>
      <c r="I787" s="2">
        <f t="shared" si="418"/>
        <v>0</v>
      </c>
      <c r="J787" s="2">
        <f t="shared" si="418"/>
        <v>0</v>
      </c>
      <c r="K787" s="14">
        <f t="shared" si="418"/>
        <v>0</v>
      </c>
      <c r="L787" s="2">
        <f t="shared" si="418"/>
        <v>0</v>
      </c>
      <c r="M787" s="2">
        <f t="shared" si="418"/>
        <v>746</v>
      </c>
      <c r="N787" s="2">
        <f t="shared" si="418"/>
        <v>4923600</v>
      </c>
      <c r="O787" s="2">
        <f t="shared" si="418"/>
        <v>0</v>
      </c>
      <c r="P787" s="2">
        <f t="shared" si="418"/>
        <v>0</v>
      </c>
      <c r="Q787" s="2">
        <f t="shared" si="418"/>
        <v>506</v>
      </c>
      <c r="R787" s="2">
        <f t="shared" si="418"/>
        <v>1619200</v>
      </c>
      <c r="S787" s="2">
        <f t="shared" si="418"/>
        <v>680820</v>
      </c>
      <c r="T787" s="2">
        <f t="shared" si="418"/>
        <v>0</v>
      </c>
      <c r="U787" s="2">
        <f t="shared" si="418"/>
        <v>200000</v>
      </c>
      <c r="V787" s="18">
        <f>C787</f>
        <v>8009828</v>
      </c>
    </row>
    <row r="788" spans="1:258" ht="21.95" customHeight="1" x14ac:dyDescent="0.25">
      <c r="A788" s="37" t="s">
        <v>1977</v>
      </c>
      <c r="B788" s="8" t="s">
        <v>29</v>
      </c>
      <c r="C788" s="2">
        <f t="shared" si="406"/>
        <v>2333695</v>
      </c>
      <c r="D788" s="3">
        <f t="shared" ref="D788:D789" si="419">SUM(E788:J788)</f>
        <v>214095.00000000003</v>
      </c>
      <c r="E788" s="3">
        <f>700*305.85</f>
        <v>214095.00000000003</v>
      </c>
      <c r="F788" s="3">
        <v>0</v>
      </c>
      <c r="G788" s="3">
        <v>0</v>
      </c>
      <c r="H788" s="3">
        <v>0</v>
      </c>
      <c r="I788" s="3">
        <v>0</v>
      </c>
      <c r="J788" s="3">
        <v>0</v>
      </c>
      <c r="K788" s="4">
        <v>0</v>
      </c>
      <c r="L788" s="3">
        <v>0</v>
      </c>
      <c r="M788" s="3">
        <v>306</v>
      </c>
      <c r="N788" s="3">
        <f>M788*6600</f>
        <v>2019600</v>
      </c>
      <c r="O788" s="3">
        <v>0</v>
      </c>
      <c r="P788" s="3">
        <v>0</v>
      </c>
      <c r="Q788" s="3">
        <v>0</v>
      </c>
      <c r="R788" s="3">
        <f t="shared" ref="R788" si="420">Q788*3000</f>
        <v>0</v>
      </c>
      <c r="S788" s="3">
        <v>0</v>
      </c>
      <c r="T788" s="3">
        <v>0</v>
      </c>
      <c r="U788" s="3">
        <v>100000</v>
      </c>
      <c r="V788" s="6">
        <f t="shared" ref="V788:V789" si="421">N788/M788</f>
        <v>6600</v>
      </c>
    </row>
    <row r="789" spans="1:258" ht="21.95" customHeight="1" x14ac:dyDescent="0.25">
      <c r="A789" s="37" t="s">
        <v>1978</v>
      </c>
      <c r="B789" s="8" t="s">
        <v>1018</v>
      </c>
      <c r="C789" s="2">
        <f t="shared" si="406"/>
        <v>5676133</v>
      </c>
      <c r="D789" s="3">
        <f t="shared" si="419"/>
        <v>372113</v>
      </c>
      <c r="E789" s="3">
        <f>700*531.59</f>
        <v>372113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4">
        <v>0</v>
      </c>
      <c r="L789" s="3">
        <v>0</v>
      </c>
      <c r="M789" s="3">
        <v>440</v>
      </c>
      <c r="N789" s="3">
        <f>M789*6600</f>
        <v>2904000</v>
      </c>
      <c r="O789" s="3">
        <v>0</v>
      </c>
      <c r="P789" s="3">
        <v>0</v>
      </c>
      <c r="Q789" s="3">
        <v>506</v>
      </c>
      <c r="R789" s="3">
        <f>Q789*3200</f>
        <v>1619200</v>
      </c>
      <c r="S789" s="3">
        <v>680820</v>
      </c>
      <c r="T789" s="3">
        <v>0</v>
      </c>
      <c r="U789" s="3">
        <v>100000</v>
      </c>
      <c r="V789" s="6">
        <f t="shared" si="421"/>
        <v>6600</v>
      </c>
    </row>
    <row r="790" spans="1:258" ht="45" customHeight="1" x14ac:dyDescent="0.25">
      <c r="A790" s="54" t="s">
        <v>74</v>
      </c>
      <c r="B790" s="54"/>
      <c r="C790" s="2">
        <f>SUM(C791:C793)</f>
        <v>17243798</v>
      </c>
      <c r="D790" s="2">
        <f t="shared" ref="D790:U790" si="422">SUM(D791:D793)</f>
        <v>0</v>
      </c>
      <c r="E790" s="2">
        <f t="shared" si="422"/>
        <v>0</v>
      </c>
      <c r="F790" s="2">
        <f t="shared" si="422"/>
        <v>0</v>
      </c>
      <c r="G790" s="2">
        <f t="shared" si="422"/>
        <v>0</v>
      </c>
      <c r="H790" s="2">
        <f t="shared" si="422"/>
        <v>0</v>
      </c>
      <c r="I790" s="2">
        <f t="shared" si="422"/>
        <v>0</v>
      </c>
      <c r="J790" s="2">
        <f t="shared" si="422"/>
        <v>0</v>
      </c>
      <c r="K790" s="14">
        <f t="shared" si="422"/>
        <v>0</v>
      </c>
      <c r="L790" s="2">
        <f t="shared" si="422"/>
        <v>0</v>
      </c>
      <c r="M790" s="2">
        <f t="shared" si="422"/>
        <v>1091.1500000000001</v>
      </c>
      <c r="N790" s="2">
        <f t="shared" si="422"/>
        <v>7201590</v>
      </c>
      <c r="O790" s="2">
        <f t="shared" si="422"/>
        <v>0</v>
      </c>
      <c r="P790" s="2">
        <f t="shared" si="422"/>
        <v>0</v>
      </c>
      <c r="Q790" s="2">
        <f t="shared" si="422"/>
        <v>3138.19</v>
      </c>
      <c r="R790" s="2">
        <f t="shared" si="422"/>
        <v>10042208</v>
      </c>
      <c r="S790" s="2">
        <f t="shared" si="422"/>
        <v>0</v>
      </c>
      <c r="T790" s="2">
        <f t="shared" si="422"/>
        <v>0</v>
      </c>
      <c r="U790" s="2">
        <f t="shared" si="422"/>
        <v>0</v>
      </c>
    </row>
    <row r="791" spans="1:258" ht="21.95" customHeight="1" x14ac:dyDescent="0.25">
      <c r="A791" s="36" t="s">
        <v>1979</v>
      </c>
      <c r="B791" s="8" t="s">
        <v>981</v>
      </c>
      <c r="C791" s="2">
        <f t="shared" si="406"/>
        <v>10042208</v>
      </c>
      <c r="D791" s="3">
        <f t="shared" ref="D791:D793" si="423">SUM(E791:J791)</f>
        <v>0</v>
      </c>
      <c r="E791" s="3">
        <v>0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11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3138.19</v>
      </c>
      <c r="R791" s="3">
        <f t="shared" ref="R791:R793" si="424">Q791*3200</f>
        <v>10042208</v>
      </c>
      <c r="S791" s="5">
        <v>0</v>
      </c>
      <c r="T791" s="5">
        <v>0</v>
      </c>
      <c r="U791" s="5">
        <v>0</v>
      </c>
      <c r="V791" s="6" t="e">
        <f t="shared" ref="V791:V793" si="425">N791/M791</f>
        <v>#DIV/0!</v>
      </c>
    </row>
    <row r="792" spans="1:258" s="6" customFormat="1" ht="21.95" customHeight="1" x14ac:dyDescent="0.25">
      <c r="A792" s="36" t="s">
        <v>1980</v>
      </c>
      <c r="B792" s="8" t="s">
        <v>72</v>
      </c>
      <c r="C792" s="2">
        <f t="shared" si="406"/>
        <v>4389990</v>
      </c>
      <c r="D792" s="3">
        <f t="shared" si="423"/>
        <v>0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11">
        <v>0</v>
      </c>
      <c r="L792" s="5">
        <v>0</v>
      </c>
      <c r="M792" s="5">
        <v>665.15</v>
      </c>
      <c r="N792" s="3">
        <f>M792*6600</f>
        <v>4389990</v>
      </c>
      <c r="O792" s="5">
        <v>0</v>
      </c>
      <c r="P792" s="5">
        <v>0</v>
      </c>
      <c r="Q792" s="5">
        <v>0</v>
      </c>
      <c r="R792" s="3">
        <f t="shared" si="424"/>
        <v>0</v>
      </c>
      <c r="S792" s="5">
        <v>0</v>
      </c>
      <c r="T792" s="5">
        <v>0</v>
      </c>
      <c r="U792" s="5">
        <v>0</v>
      </c>
      <c r="V792" s="6">
        <f t="shared" si="425"/>
        <v>6600</v>
      </c>
    </row>
    <row r="793" spans="1:258" s="6" customFormat="1" ht="21.95" customHeight="1" x14ac:dyDescent="0.25">
      <c r="A793" s="36" t="s">
        <v>828</v>
      </c>
      <c r="B793" s="8" t="s">
        <v>1008</v>
      </c>
      <c r="C793" s="2">
        <f t="shared" si="406"/>
        <v>2811600</v>
      </c>
      <c r="D793" s="3">
        <f t="shared" si="423"/>
        <v>0</v>
      </c>
      <c r="E793" s="3">
        <v>0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11">
        <v>0</v>
      </c>
      <c r="L793" s="5">
        <v>0</v>
      </c>
      <c r="M793" s="5">
        <v>426</v>
      </c>
      <c r="N793" s="3">
        <f>M793*6600</f>
        <v>2811600</v>
      </c>
      <c r="O793" s="5">
        <v>0</v>
      </c>
      <c r="P793" s="5">
        <v>0</v>
      </c>
      <c r="Q793" s="5">
        <v>0</v>
      </c>
      <c r="R793" s="3">
        <f t="shared" si="424"/>
        <v>0</v>
      </c>
      <c r="S793" s="5">
        <v>0</v>
      </c>
      <c r="T793" s="5">
        <v>0</v>
      </c>
      <c r="U793" s="5">
        <v>0</v>
      </c>
      <c r="V793" s="6">
        <f t="shared" si="425"/>
        <v>6600</v>
      </c>
    </row>
    <row r="794" spans="1:258" ht="45" customHeight="1" x14ac:dyDescent="0.25">
      <c r="A794" s="54" t="s">
        <v>2</v>
      </c>
      <c r="B794" s="54"/>
      <c r="C794" s="2">
        <f>SUM(C795:C796)</f>
        <v>3229790</v>
      </c>
      <c r="D794" s="2">
        <f t="shared" ref="D794:U794" si="426">SUM(D795:D796)</f>
        <v>3029790</v>
      </c>
      <c r="E794" s="2">
        <f t="shared" si="426"/>
        <v>1070020</v>
      </c>
      <c r="F794" s="2">
        <f t="shared" si="426"/>
        <v>797289.99999999988</v>
      </c>
      <c r="G794" s="2">
        <f t="shared" si="426"/>
        <v>458580</v>
      </c>
      <c r="H794" s="2">
        <f t="shared" si="426"/>
        <v>245319.99999999997</v>
      </c>
      <c r="I794" s="2">
        <f t="shared" si="426"/>
        <v>458580</v>
      </c>
      <c r="J794" s="2">
        <f t="shared" si="426"/>
        <v>0</v>
      </c>
      <c r="K794" s="14">
        <f t="shared" si="426"/>
        <v>0</v>
      </c>
      <c r="L794" s="2">
        <f t="shared" si="426"/>
        <v>0</v>
      </c>
      <c r="M794" s="2">
        <f t="shared" si="426"/>
        <v>0</v>
      </c>
      <c r="N794" s="2">
        <f t="shared" si="426"/>
        <v>0</v>
      </c>
      <c r="O794" s="2">
        <f t="shared" si="426"/>
        <v>0</v>
      </c>
      <c r="P794" s="2">
        <f t="shared" si="426"/>
        <v>0</v>
      </c>
      <c r="Q794" s="2">
        <f t="shared" si="426"/>
        <v>0</v>
      </c>
      <c r="R794" s="2">
        <f t="shared" si="426"/>
        <v>0</v>
      </c>
      <c r="S794" s="2">
        <f t="shared" si="426"/>
        <v>0</v>
      </c>
      <c r="T794" s="2">
        <f t="shared" si="426"/>
        <v>0</v>
      </c>
      <c r="U794" s="2">
        <f t="shared" si="426"/>
        <v>200000</v>
      </c>
    </row>
    <row r="795" spans="1:258" s="17" customFormat="1" ht="21.95" customHeight="1" x14ac:dyDescent="0.25">
      <c r="A795" s="36" t="s">
        <v>829</v>
      </c>
      <c r="B795" s="8" t="s">
        <v>75</v>
      </c>
      <c r="C795" s="2">
        <f t="shared" si="406"/>
        <v>1289890</v>
      </c>
      <c r="D795" s="3">
        <f t="shared" ref="D795:D796" si="427">SUM(E795:J795)</f>
        <v>1189890</v>
      </c>
      <c r="E795" s="3">
        <f>700*915.3</f>
        <v>640710</v>
      </c>
      <c r="F795" s="3">
        <v>0</v>
      </c>
      <c r="G795" s="3">
        <f>300*915.3</f>
        <v>274590</v>
      </c>
      <c r="H795" s="3">
        <v>0</v>
      </c>
      <c r="I795" s="3">
        <f>300*915.3</f>
        <v>274590</v>
      </c>
      <c r="J795" s="3">
        <f>350*0</f>
        <v>0</v>
      </c>
      <c r="K795" s="4">
        <v>0</v>
      </c>
      <c r="L795" s="3">
        <v>0</v>
      </c>
      <c r="M795" s="5">
        <v>0</v>
      </c>
      <c r="N795" s="5">
        <v>0</v>
      </c>
      <c r="O795" s="3">
        <v>0</v>
      </c>
      <c r="P795" s="3">
        <v>0</v>
      </c>
      <c r="Q795" s="3">
        <v>0</v>
      </c>
      <c r="R795" s="3">
        <f t="shared" ref="R795:R796" si="428">Q795*3200</f>
        <v>0</v>
      </c>
      <c r="S795" s="3">
        <v>0</v>
      </c>
      <c r="T795" s="3">
        <v>0</v>
      </c>
      <c r="U795" s="3">
        <v>100000</v>
      </c>
      <c r="V795" s="6" t="e">
        <f t="shared" ref="V795:V796" si="429">N795/M795</f>
        <v>#DIV/0!</v>
      </c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  <c r="CJ795" s="7"/>
      <c r="CK795" s="7"/>
      <c r="CL795" s="7"/>
      <c r="CM795" s="7"/>
      <c r="CN795" s="7"/>
      <c r="CO795" s="7"/>
      <c r="CP795" s="7"/>
      <c r="CQ795" s="7"/>
      <c r="CR795" s="7"/>
      <c r="CS795" s="7"/>
      <c r="CT795" s="7"/>
      <c r="CU795" s="7"/>
      <c r="CV795" s="7"/>
      <c r="CW795" s="7"/>
      <c r="CX795" s="7"/>
      <c r="CY795" s="7"/>
      <c r="CZ795" s="7"/>
      <c r="DA795" s="7"/>
      <c r="DB795" s="7"/>
      <c r="DC795" s="7"/>
      <c r="DD795" s="7"/>
      <c r="DE795" s="7"/>
      <c r="DF795" s="7"/>
      <c r="DG795" s="7"/>
      <c r="DH795" s="7"/>
      <c r="DI795" s="7"/>
      <c r="DJ795" s="7"/>
      <c r="DK795" s="7"/>
      <c r="DL795" s="7"/>
      <c r="DM795" s="7"/>
      <c r="DN795" s="7"/>
      <c r="DO795" s="7"/>
      <c r="DP795" s="7"/>
      <c r="DQ795" s="7"/>
      <c r="DR795" s="7"/>
      <c r="DS795" s="7"/>
      <c r="DT795" s="7"/>
      <c r="DU795" s="7"/>
      <c r="DV795" s="7"/>
      <c r="DW795" s="7"/>
      <c r="DX795" s="7"/>
      <c r="DY795" s="7"/>
      <c r="DZ795" s="7"/>
      <c r="EA795" s="7"/>
      <c r="EB795" s="7"/>
      <c r="EC795" s="7"/>
      <c r="ED795" s="7"/>
      <c r="EE795" s="7"/>
      <c r="EF795" s="7"/>
      <c r="EG795" s="7"/>
      <c r="EH795" s="7"/>
      <c r="EI795" s="7"/>
      <c r="EJ795" s="7"/>
      <c r="EK795" s="7"/>
      <c r="EL795" s="7"/>
      <c r="EM795" s="7"/>
      <c r="EN795" s="7"/>
      <c r="EO795" s="7"/>
      <c r="EP795" s="7"/>
      <c r="EQ795" s="7"/>
      <c r="ER795" s="7"/>
      <c r="ES795" s="7"/>
      <c r="ET795" s="7"/>
      <c r="EU795" s="7"/>
      <c r="EV795" s="7"/>
      <c r="EW795" s="7"/>
      <c r="EX795" s="7"/>
      <c r="EY795" s="7"/>
      <c r="EZ795" s="7"/>
      <c r="FA795" s="7"/>
      <c r="FB795" s="7"/>
      <c r="FC795" s="7"/>
      <c r="FD795" s="7"/>
      <c r="FE795" s="7"/>
      <c r="FF795" s="7"/>
      <c r="FG795" s="7"/>
      <c r="FH795" s="7"/>
      <c r="FI795" s="7"/>
      <c r="FJ795" s="7"/>
      <c r="FK795" s="7"/>
      <c r="FL795" s="7"/>
      <c r="FM795" s="7"/>
      <c r="FN795" s="7"/>
      <c r="FO795" s="7"/>
      <c r="FP795" s="7"/>
      <c r="FQ795" s="7"/>
      <c r="FR795" s="7"/>
      <c r="FS795" s="7"/>
      <c r="FT795" s="7"/>
      <c r="FU795" s="7"/>
      <c r="FV795" s="7"/>
      <c r="FW795" s="7"/>
      <c r="FX795" s="7"/>
      <c r="FY795" s="7"/>
      <c r="FZ795" s="7"/>
      <c r="GA795" s="7"/>
      <c r="GB795" s="7"/>
      <c r="GC795" s="7"/>
      <c r="GD795" s="7"/>
      <c r="GE795" s="7"/>
      <c r="GF795" s="7"/>
      <c r="GG795" s="7"/>
      <c r="GH795" s="7"/>
      <c r="GI795" s="7"/>
      <c r="GJ795" s="7"/>
      <c r="GK795" s="7"/>
      <c r="GL795" s="7"/>
      <c r="GM795" s="7"/>
      <c r="GN795" s="7"/>
      <c r="GO795" s="7"/>
      <c r="GP795" s="7"/>
      <c r="GQ795" s="7"/>
      <c r="GR795" s="7"/>
      <c r="GS795" s="7"/>
      <c r="GT795" s="7"/>
      <c r="GU795" s="7"/>
      <c r="GV795" s="7"/>
      <c r="GW795" s="7"/>
      <c r="GX795" s="7"/>
      <c r="GY795" s="7"/>
      <c r="GZ795" s="7"/>
      <c r="HA795" s="7"/>
      <c r="HB795" s="7"/>
      <c r="HC795" s="7"/>
      <c r="HD795" s="7"/>
      <c r="HE795" s="7"/>
      <c r="HF795" s="7"/>
      <c r="HG795" s="7"/>
      <c r="HH795" s="7"/>
      <c r="HI795" s="7"/>
      <c r="HJ795" s="7"/>
      <c r="HK795" s="7"/>
      <c r="HL795" s="7"/>
      <c r="HM795" s="7"/>
      <c r="HN795" s="7"/>
      <c r="HO795" s="7"/>
      <c r="HP795" s="7"/>
      <c r="HQ795" s="7"/>
      <c r="HR795" s="7"/>
      <c r="HS795" s="7"/>
      <c r="HT795" s="7"/>
      <c r="HU795" s="7"/>
      <c r="HV795" s="7"/>
      <c r="HW795" s="7"/>
      <c r="HX795" s="7"/>
      <c r="HY795" s="7"/>
      <c r="HZ795" s="7"/>
      <c r="IA795" s="7"/>
      <c r="IB795" s="7"/>
      <c r="IC795" s="7"/>
      <c r="ID795" s="7"/>
      <c r="IE795" s="7"/>
      <c r="IF795" s="7"/>
      <c r="IG795" s="7"/>
      <c r="IH795" s="7"/>
      <c r="II795" s="7"/>
      <c r="IJ795" s="7"/>
      <c r="IK795" s="7"/>
      <c r="IL795" s="7"/>
      <c r="IM795" s="7"/>
      <c r="IN795" s="7"/>
      <c r="IO795" s="7"/>
      <c r="IP795" s="7"/>
      <c r="IQ795" s="7"/>
      <c r="IR795" s="7"/>
      <c r="IS795" s="7"/>
      <c r="IT795" s="7"/>
      <c r="IU795" s="7"/>
      <c r="IV795" s="7"/>
      <c r="IW795" s="7"/>
      <c r="IX795" s="7"/>
    </row>
    <row r="796" spans="1:258" ht="21.95" customHeight="1" x14ac:dyDescent="0.25">
      <c r="A796" s="36" t="s">
        <v>830</v>
      </c>
      <c r="B796" s="8" t="s">
        <v>76</v>
      </c>
      <c r="C796" s="2">
        <f t="shared" si="406"/>
        <v>1939899.9999999998</v>
      </c>
      <c r="D796" s="3">
        <f t="shared" si="427"/>
        <v>1839899.9999999998</v>
      </c>
      <c r="E796" s="3">
        <f>700*613.3</f>
        <v>429309.99999999994</v>
      </c>
      <c r="F796" s="3">
        <f>1300*613.3</f>
        <v>797289.99999999988</v>
      </c>
      <c r="G796" s="3">
        <f>300*613.3</f>
        <v>183990</v>
      </c>
      <c r="H796" s="3">
        <f>400*613.3</f>
        <v>245319.99999999997</v>
      </c>
      <c r="I796" s="3">
        <f>300*613.3</f>
        <v>183990</v>
      </c>
      <c r="J796" s="3">
        <f>350*0</f>
        <v>0</v>
      </c>
      <c r="K796" s="11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3">
        <f t="shared" si="428"/>
        <v>0</v>
      </c>
      <c r="S796" s="5">
        <v>0</v>
      </c>
      <c r="T796" s="3">
        <v>0</v>
      </c>
      <c r="U796" s="5">
        <v>100000</v>
      </c>
      <c r="V796" s="6" t="e">
        <f t="shared" si="429"/>
        <v>#DIV/0!</v>
      </c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  <c r="CJ796" s="6"/>
      <c r="CK796" s="6"/>
      <c r="CL796" s="6"/>
      <c r="CM796" s="6"/>
      <c r="CN796" s="6"/>
      <c r="CO796" s="6"/>
      <c r="CP796" s="6"/>
      <c r="CQ796" s="6"/>
      <c r="CR796" s="6"/>
      <c r="CS796" s="6"/>
      <c r="CT796" s="6"/>
      <c r="CU796" s="6"/>
      <c r="CV796" s="6"/>
      <c r="CW796" s="6"/>
      <c r="CX796" s="6"/>
      <c r="CY796" s="6"/>
      <c r="CZ796" s="6"/>
      <c r="DA796" s="6"/>
      <c r="DB796" s="6"/>
      <c r="DC796" s="6"/>
      <c r="DD796" s="6"/>
      <c r="DE796" s="6"/>
      <c r="DF796" s="6"/>
      <c r="DG796" s="6"/>
      <c r="DH796" s="6"/>
      <c r="DI796" s="6"/>
      <c r="DJ796" s="6"/>
      <c r="DK796" s="6"/>
      <c r="DL796" s="6"/>
      <c r="DM796" s="6"/>
      <c r="DN796" s="6"/>
      <c r="DO796" s="6"/>
      <c r="DP796" s="6"/>
      <c r="DQ796" s="6"/>
      <c r="DR796" s="6"/>
      <c r="DS796" s="6"/>
      <c r="DT796" s="6"/>
      <c r="DU796" s="6"/>
      <c r="DV796" s="6"/>
      <c r="DW796" s="6"/>
      <c r="DX796" s="6"/>
      <c r="DY796" s="6"/>
      <c r="DZ796" s="6"/>
      <c r="EA796" s="6"/>
      <c r="EB796" s="6"/>
      <c r="EC796" s="6"/>
      <c r="ED796" s="6"/>
      <c r="EE796" s="6"/>
      <c r="EF796" s="6"/>
      <c r="EG796" s="6"/>
      <c r="EH796" s="6"/>
      <c r="EI796" s="6"/>
      <c r="EJ796" s="6"/>
      <c r="EK796" s="6"/>
      <c r="EL796" s="6"/>
      <c r="EM796" s="6"/>
      <c r="EN796" s="6"/>
      <c r="EO796" s="6"/>
      <c r="EP796" s="6"/>
      <c r="EQ796" s="6"/>
      <c r="ER796" s="6"/>
      <c r="ES796" s="6"/>
      <c r="ET796" s="6"/>
      <c r="EU796" s="6"/>
      <c r="EV796" s="6"/>
      <c r="EW796" s="6"/>
      <c r="EX796" s="6"/>
      <c r="EY796" s="6"/>
      <c r="EZ796" s="6"/>
      <c r="FA796" s="6"/>
      <c r="FB796" s="6"/>
      <c r="FC796" s="6"/>
      <c r="FD796" s="6"/>
      <c r="FE796" s="6"/>
      <c r="FF796" s="6"/>
      <c r="FG796" s="6"/>
      <c r="FH796" s="6"/>
      <c r="FI796" s="6"/>
      <c r="FJ796" s="6"/>
      <c r="FK796" s="6"/>
      <c r="FL796" s="6"/>
      <c r="FM796" s="6"/>
      <c r="FN796" s="6"/>
      <c r="FO796" s="6"/>
      <c r="FP796" s="6"/>
      <c r="FQ796" s="6"/>
      <c r="FR796" s="6"/>
      <c r="FS796" s="6"/>
      <c r="FT796" s="6"/>
      <c r="FU796" s="6"/>
      <c r="FV796" s="6"/>
      <c r="FW796" s="6"/>
      <c r="FX796" s="6"/>
      <c r="FY796" s="6"/>
      <c r="FZ796" s="6"/>
      <c r="GA796" s="6"/>
      <c r="GB796" s="6"/>
      <c r="GC796" s="6"/>
      <c r="GD796" s="6"/>
      <c r="GE796" s="6"/>
      <c r="GF796" s="6"/>
      <c r="GG796" s="6"/>
      <c r="GH796" s="6"/>
      <c r="GI796" s="6"/>
      <c r="GJ796" s="6"/>
      <c r="GK796" s="6"/>
      <c r="GL796" s="6"/>
      <c r="GM796" s="6"/>
      <c r="GN796" s="6"/>
      <c r="GO796" s="6"/>
      <c r="GP796" s="6"/>
      <c r="GQ796" s="6"/>
      <c r="GR796" s="6"/>
      <c r="GS796" s="6"/>
      <c r="GT796" s="6"/>
      <c r="GU796" s="6"/>
      <c r="GV796" s="6"/>
      <c r="GW796" s="6"/>
      <c r="GX796" s="6"/>
      <c r="GY796" s="6"/>
      <c r="GZ796" s="6"/>
      <c r="HA796" s="6"/>
      <c r="HB796" s="6"/>
      <c r="HC796" s="6"/>
      <c r="HD796" s="6"/>
      <c r="HE796" s="6"/>
      <c r="HF796" s="6"/>
      <c r="HG796" s="6"/>
      <c r="HH796" s="6"/>
      <c r="HI796" s="6"/>
      <c r="HJ796" s="6"/>
      <c r="HK796" s="6"/>
      <c r="HL796" s="6"/>
      <c r="HM796" s="6"/>
      <c r="HN796" s="6"/>
      <c r="HO796" s="6"/>
      <c r="HP796" s="6"/>
      <c r="HQ796" s="6"/>
      <c r="HR796" s="6"/>
      <c r="HS796" s="6"/>
      <c r="HT796" s="6"/>
      <c r="HU796" s="6"/>
      <c r="HV796" s="6"/>
      <c r="HW796" s="6"/>
      <c r="HX796" s="6"/>
      <c r="HY796" s="6"/>
      <c r="HZ796" s="6"/>
      <c r="IA796" s="6"/>
      <c r="IB796" s="6"/>
      <c r="IC796" s="6"/>
      <c r="ID796" s="6"/>
      <c r="IE796" s="6"/>
      <c r="IF796" s="6"/>
      <c r="IG796" s="6"/>
      <c r="IH796" s="6"/>
      <c r="II796" s="6"/>
      <c r="IJ796" s="6"/>
      <c r="IK796" s="6"/>
      <c r="IL796" s="6"/>
      <c r="IM796" s="6"/>
      <c r="IN796" s="6"/>
      <c r="IO796" s="6"/>
      <c r="IP796" s="6"/>
      <c r="IQ796" s="6"/>
      <c r="IR796" s="6"/>
      <c r="IS796" s="6"/>
      <c r="IT796" s="6"/>
      <c r="IU796" s="6"/>
      <c r="IV796" s="6"/>
      <c r="IW796" s="6"/>
      <c r="IX796" s="6"/>
    </row>
    <row r="797" spans="1:258" ht="45" customHeight="1" x14ac:dyDescent="0.25">
      <c r="A797" s="54" t="s">
        <v>81</v>
      </c>
      <c r="B797" s="54"/>
      <c r="C797" s="2">
        <f>SUM(C798:C799)</f>
        <v>2473020</v>
      </c>
      <c r="D797" s="2">
        <f t="shared" ref="D797:U797" si="430">SUM(D798:D799)</f>
        <v>0</v>
      </c>
      <c r="E797" s="2">
        <f t="shared" si="430"/>
        <v>0</v>
      </c>
      <c r="F797" s="2">
        <f t="shared" si="430"/>
        <v>0</v>
      </c>
      <c r="G797" s="2">
        <f t="shared" si="430"/>
        <v>0</v>
      </c>
      <c r="H797" s="2">
        <f t="shared" si="430"/>
        <v>0</v>
      </c>
      <c r="I797" s="2">
        <f t="shared" si="430"/>
        <v>0</v>
      </c>
      <c r="J797" s="2">
        <f t="shared" si="430"/>
        <v>0</v>
      </c>
      <c r="K797" s="14">
        <f t="shared" si="430"/>
        <v>0</v>
      </c>
      <c r="L797" s="2">
        <f t="shared" si="430"/>
        <v>0</v>
      </c>
      <c r="M797" s="2">
        <f t="shared" si="430"/>
        <v>374.7</v>
      </c>
      <c r="N797" s="2">
        <f t="shared" si="430"/>
        <v>2473020</v>
      </c>
      <c r="O797" s="2">
        <f t="shared" si="430"/>
        <v>0</v>
      </c>
      <c r="P797" s="2">
        <f t="shared" si="430"/>
        <v>0</v>
      </c>
      <c r="Q797" s="2">
        <f t="shared" si="430"/>
        <v>0</v>
      </c>
      <c r="R797" s="2">
        <f t="shared" si="430"/>
        <v>0</v>
      </c>
      <c r="S797" s="2">
        <f t="shared" si="430"/>
        <v>0</v>
      </c>
      <c r="T797" s="2">
        <f t="shared" si="430"/>
        <v>0</v>
      </c>
      <c r="U797" s="2">
        <f t="shared" si="430"/>
        <v>0</v>
      </c>
    </row>
    <row r="798" spans="1:258" ht="21.95" customHeight="1" x14ac:dyDescent="0.25">
      <c r="A798" s="37" t="s">
        <v>831</v>
      </c>
      <c r="B798" s="1" t="s">
        <v>82</v>
      </c>
      <c r="C798" s="2">
        <f t="shared" si="406"/>
        <v>1219020</v>
      </c>
      <c r="D798" s="3">
        <f t="shared" ref="D798:D799" si="431">SUM(E798:J798)</f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4">
        <v>0</v>
      </c>
      <c r="L798" s="3">
        <v>0</v>
      </c>
      <c r="M798" s="3">
        <v>184.7</v>
      </c>
      <c r="N798" s="3">
        <f>M798*6600</f>
        <v>1219020</v>
      </c>
      <c r="O798" s="3">
        <v>0</v>
      </c>
      <c r="P798" s="3">
        <v>0</v>
      </c>
      <c r="Q798" s="3">
        <v>0</v>
      </c>
      <c r="R798" s="3">
        <f t="shared" ref="R798:R799" si="432">Q798*3200</f>
        <v>0</v>
      </c>
      <c r="S798" s="3">
        <v>0</v>
      </c>
      <c r="T798" s="3">
        <v>0</v>
      </c>
      <c r="U798" s="3">
        <v>0</v>
      </c>
      <c r="V798" s="6">
        <f t="shared" ref="V798:V799" si="433">N798/M798</f>
        <v>6600</v>
      </c>
    </row>
    <row r="799" spans="1:258" s="17" customFormat="1" ht="21.95" customHeight="1" x14ac:dyDescent="0.25">
      <c r="A799" s="37" t="s">
        <v>832</v>
      </c>
      <c r="B799" s="1" t="s">
        <v>83</v>
      </c>
      <c r="C799" s="2">
        <f t="shared" si="406"/>
        <v>1254000</v>
      </c>
      <c r="D799" s="3">
        <f t="shared" si="431"/>
        <v>0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v>0</v>
      </c>
      <c r="K799" s="4">
        <v>0</v>
      </c>
      <c r="L799" s="3">
        <v>0</v>
      </c>
      <c r="M799" s="3">
        <v>190</v>
      </c>
      <c r="N799" s="3">
        <f>M799*6600</f>
        <v>1254000</v>
      </c>
      <c r="O799" s="3">
        <v>0</v>
      </c>
      <c r="P799" s="3">
        <v>0</v>
      </c>
      <c r="Q799" s="3">
        <v>0</v>
      </c>
      <c r="R799" s="3">
        <f t="shared" si="432"/>
        <v>0</v>
      </c>
      <c r="S799" s="3">
        <v>0</v>
      </c>
      <c r="T799" s="3">
        <v>0</v>
      </c>
      <c r="U799" s="3">
        <v>0</v>
      </c>
      <c r="V799" s="6">
        <f t="shared" si="433"/>
        <v>6600</v>
      </c>
    </row>
    <row r="800" spans="1:258" ht="45" customHeight="1" x14ac:dyDescent="0.25">
      <c r="A800" s="54" t="s">
        <v>820</v>
      </c>
      <c r="B800" s="54"/>
      <c r="C800" s="2">
        <f>SUM(C801:C804)</f>
        <v>17520180</v>
      </c>
      <c r="D800" s="2">
        <f t="shared" ref="D800:U800" si="434">SUM(D801:D803)</f>
        <v>4230220</v>
      </c>
      <c r="E800" s="2">
        <f t="shared" si="434"/>
        <v>1142386</v>
      </c>
      <c r="F800" s="2">
        <f t="shared" si="434"/>
        <v>1612494</v>
      </c>
      <c r="G800" s="2">
        <f t="shared" si="434"/>
        <v>489594</v>
      </c>
      <c r="H800" s="2">
        <f t="shared" si="434"/>
        <v>496152</v>
      </c>
      <c r="I800" s="2">
        <f t="shared" si="434"/>
        <v>489594</v>
      </c>
      <c r="J800" s="2">
        <f t="shared" si="434"/>
        <v>0</v>
      </c>
      <c r="K800" s="14">
        <f t="shared" si="434"/>
        <v>0</v>
      </c>
      <c r="L800" s="2">
        <f t="shared" si="434"/>
        <v>0</v>
      </c>
      <c r="M800" s="2">
        <f t="shared" si="434"/>
        <v>1128.5999999999999</v>
      </c>
      <c r="N800" s="2">
        <f t="shared" si="434"/>
        <v>7448760</v>
      </c>
      <c r="O800" s="2">
        <f t="shared" si="434"/>
        <v>0</v>
      </c>
      <c r="P800" s="2">
        <f t="shared" si="434"/>
        <v>0</v>
      </c>
      <c r="Q800" s="2">
        <f t="shared" si="434"/>
        <v>556</v>
      </c>
      <c r="R800" s="2">
        <f t="shared" si="434"/>
        <v>1779200</v>
      </c>
      <c r="S800" s="2">
        <f t="shared" si="434"/>
        <v>0</v>
      </c>
      <c r="T800" s="2">
        <f t="shared" si="434"/>
        <v>0</v>
      </c>
      <c r="U800" s="2">
        <f t="shared" si="434"/>
        <v>300000</v>
      </c>
    </row>
    <row r="801" spans="1:22" ht="21.95" customHeight="1" x14ac:dyDescent="0.25">
      <c r="A801" s="37" t="s">
        <v>833</v>
      </c>
      <c r="B801" s="8" t="s">
        <v>85</v>
      </c>
      <c r="C801" s="2">
        <f t="shared" si="406"/>
        <v>2532320</v>
      </c>
      <c r="D801" s="3">
        <f t="shared" ref="D801:D803" si="435">SUM(E801:J801)</f>
        <v>509080</v>
      </c>
      <c r="E801" s="3">
        <f>700*391.6</f>
        <v>274120</v>
      </c>
      <c r="F801" s="3">
        <v>0</v>
      </c>
      <c r="G801" s="3">
        <f>300*391.6</f>
        <v>117480</v>
      </c>
      <c r="H801" s="3">
        <v>0</v>
      </c>
      <c r="I801" s="3">
        <f>300*391.6</f>
        <v>117480</v>
      </c>
      <c r="J801" s="3">
        <f>350*0</f>
        <v>0</v>
      </c>
      <c r="K801" s="4">
        <v>0</v>
      </c>
      <c r="L801" s="3">
        <v>0</v>
      </c>
      <c r="M801" s="5">
        <v>291.39999999999998</v>
      </c>
      <c r="N801" s="3">
        <f>M801*6600</f>
        <v>1923239.9999999998</v>
      </c>
      <c r="O801" s="3">
        <v>0</v>
      </c>
      <c r="P801" s="3">
        <v>0</v>
      </c>
      <c r="Q801" s="3">
        <v>0</v>
      </c>
      <c r="R801" s="3">
        <f t="shared" ref="R801:R804" si="436">Q801*3200</f>
        <v>0</v>
      </c>
      <c r="S801" s="3">
        <v>0</v>
      </c>
      <c r="T801" s="3">
        <v>0</v>
      </c>
      <c r="U801" s="3">
        <v>100000</v>
      </c>
      <c r="V801" s="6">
        <f t="shared" ref="V801:V804" si="437">N801/M801</f>
        <v>6600</v>
      </c>
    </row>
    <row r="802" spans="1:22" ht="21.95" customHeight="1" x14ac:dyDescent="0.25">
      <c r="A802" s="37" t="s">
        <v>834</v>
      </c>
      <c r="B802" s="8" t="s">
        <v>1007</v>
      </c>
      <c r="C802" s="2">
        <f t="shared" si="406"/>
        <v>7446000</v>
      </c>
      <c r="D802" s="3">
        <f t="shared" si="435"/>
        <v>2240400</v>
      </c>
      <c r="E802" s="3">
        <f>700*746.8</f>
        <v>522759.99999999994</v>
      </c>
      <c r="F802" s="3">
        <f>1300*746.8</f>
        <v>970839.99999999988</v>
      </c>
      <c r="G802" s="3">
        <f>300*746.8</f>
        <v>224040</v>
      </c>
      <c r="H802" s="3">
        <f>400*746.8</f>
        <v>298720</v>
      </c>
      <c r="I802" s="3">
        <f>300*746.8</f>
        <v>224040</v>
      </c>
      <c r="J802" s="3">
        <v>0</v>
      </c>
      <c r="K802" s="4">
        <v>0</v>
      </c>
      <c r="L802" s="3">
        <v>0</v>
      </c>
      <c r="M802" s="5">
        <v>504</v>
      </c>
      <c r="N802" s="3">
        <f>M802*6600</f>
        <v>3326400</v>
      </c>
      <c r="O802" s="3">
        <v>0</v>
      </c>
      <c r="P802" s="3">
        <v>0</v>
      </c>
      <c r="Q802" s="3">
        <v>556</v>
      </c>
      <c r="R802" s="3">
        <f t="shared" si="436"/>
        <v>1779200</v>
      </c>
      <c r="S802" s="3">
        <v>0</v>
      </c>
      <c r="T802" s="3">
        <v>0</v>
      </c>
      <c r="U802" s="3">
        <v>100000</v>
      </c>
      <c r="V802" s="6">
        <f t="shared" si="437"/>
        <v>6600</v>
      </c>
    </row>
    <row r="803" spans="1:22" ht="21.95" customHeight="1" x14ac:dyDescent="0.25">
      <c r="A803" s="37" t="s">
        <v>835</v>
      </c>
      <c r="B803" s="8" t="s">
        <v>86</v>
      </c>
      <c r="C803" s="2">
        <f t="shared" si="406"/>
        <v>3779860</v>
      </c>
      <c r="D803" s="3">
        <f t="shared" si="435"/>
        <v>1480740</v>
      </c>
      <c r="E803" s="3">
        <f>700*493.58</f>
        <v>345506</v>
      </c>
      <c r="F803" s="3">
        <f>1300*493.58</f>
        <v>641654</v>
      </c>
      <c r="G803" s="3">
        <f>300*493.58</f>
        <v>148074</v>
      </c>
      <c r="H803" s="3">
        <f>400*493.58</f>
        <v>197432</v>
      </c>
      <c r="I803" s="3">
        <f>300*493.58</f>
        <v>148074</v>
      </c>
      <c r="J803" s="3">
        <v>0</v>
      </c>
      <c r="K803" s="4">
        <v>0</v>
      </c>
      <c r="L803" s="3">
        <v>0</v>
      </c>
      <c r="M803" s="5">
        <v>333.2</v>
      </c>
      <c r="N803" s="3">
        <f>M803*6600</f>
        <v>2199120</v>
      </c>
      <c r="O803" s="3">
        <v>0</v>
      </c>
      <c r="P803" s="3">
        <v>0</v>
      </c>
      <c r="Q803" s="3">
        <v>0</v>
      </c>
      <c r="R803" s="3">
        <f t="shared" si="436"/>
        <v>0</v>
      </c>
      <c r="S803" s="3">
        <v>0</v>
      </c>
      <c r="T803" s="3">
        <v>0</v>
      </c>
      <c r="U803" s="3">
        <v>100000</v>
      </c>
      <c r="V803" s="6">
        <f t="shared" si="437"/>
        <v>6600</v>
      </c>
    </row>
    <row r="804" spans="1:22" ht="21.95" customHeight="1" x14ac:dyDescent="0.25">
      <c r="A804" s="37" t="s">
        <v>836</v>
      </c>
      <c r="B804" s="8" t="s">
        <v>89</v>
      </c>
      <c r="C804" s="2">
        <f t="shared" si="406"/>
        <v>3762000</v>
      </c>
      <c r="D804" s="3">
        <f t="shared" ref="D804" si="438">SUM(E804:J804)</f>
        <v>0</v>
      </c>
      <c r="E804" s="3">
        <v>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4">
        <v>0</v>
      </c>
      <c r="L804" s="3">
        <v>0</v>
      </c>
      <c r="M804" s="3">
        <v>570</v>
      </c>
      <c r="N804" s="3">
        <f>M804*6600</f>
        <v>3762000</v>
      </c>
      <c r="O804" s="3">
        <v>0</v>
      </c>
      <c r="P804" s="3">
        <v>0</v>
      </c>
      <c r="Q804" s="3">
        <v>0</v>
      </c>
      <c r="R804" s="3">
        <f t="shared" si="436"/>
        <v>0</v>
      </c>
      <c r="S804" s="3">
        <v>0</v>
      </c>
      <c r="T804" s="3">
        <v>0</v>
      </c>
      <c r="U804" s="3">
        <v>0</v>
      </c>
      <c r="V804" s="6">
        <f t="shared" si="437"/>
        <v>6600</v>
      </c>
    </row>
    <row r="805" spans="1:22" ht="45" customHeight="1" x14ac:dyDescent="0.25">
      <c r="A805" s="54" t="s">
        <v>966</v>
      </c>
      <c r="B805" s="54"/>
      <c r="C805" s="2">
        <f>SUM(C806)</f>
        <v>4676505</v>
      </c>
      <c r="D805" s="2">
        <f t="shared" ref="D805:U805" si="439">SUM(D806)</f>
        <v>0</v>
      </c>
      <c r="E805" s="2">
        <f t="shared" si="439"/>
        <v>0</v>
      </c>
      <c r="F805" s="2">
        <f t="shared" si="439"/>
        <v>0</v>
      </c>
      <c r="G805" s="2">
        <f t="shared" si="439"/>
        <v>0</v>
      </c>
      <c r="H805" s="2">
        <f t="shared" si="439"/>
        <v>0</v>
      </c>
      <c r="I805" s="2">
        <f t="shared" si="439"/>
        <v>0</v>
      </c>
      <c r="J805" s="2">
        <f t="shared" si="439"/>
        <v>0</v>
      </c>
      <c r="K805" s="14">
        <f t="shared" si="439"/>
        <v>0</v>
      </c>
      <c r="L805" s="2">
        <f t="shared" si="439"/>
        <v>0</v>
      </c>
      <c r="M805" s="2">
        <f t="shared" si="439"/>
        <v>1050.9000000000001</v>
      </c>
      <c r="N805" s="2">
        <f t="shared" si="439"/>
        <v>4676505</v>
      </c>
      <c r="O805" s="2">
        <f t="shared" si="439"/>
        <v>0</v>
      </c>
      <c r="P805" s="2">
        <f t="shared" si="439"/>
        <v>0</v>
      </c>
      <c r="Q805" s="2">
        <f t="shared" si="439"/>
        <v>0</v>
      </c>
      <c r="R805" s="2">
        <f t="shared" si="439"/>
        <v>0</v>
      </c>
      <c r="S805" s="2">
        <f t="shared" si="439"/>
        <v>0</v>
      </c>
      <c r="T805" s="2">
        <f t="shared" si="439"/>
        <v>0</v>
      </c>
      <c r="U805" s="2">
        <f t="shared" si="439"/>
        <v>0</v>
      </c>
      <c r="V805" s="18">
        <f>C805</f>
        <v>4676505</v>
      </c>
    </row>
    <row r="806" spans="1:22" ht="21.95" customHeight="1" x14ac:dyDescent="0.25">
      <c r="A806" s="37" t="s">
        <v>837</v>
      </c>
      <c r="B806" s="8" t="s">
        <v>967</v>
      </c>
      <c r="C806" s="2">
        <f t="shared" si="406"/>
        <v>4676505</v>
      </c>
      <c r="D806" s="3">
        <f t="shared" ref="D806" si="440">SUM(E806:J806)</f>
        <v>0</v>
      </c>
      <c r="E806" s="3">
        <v>0</v>
      </c>
      <c r="F806" s="3">
        <v>0</v>
      </c>
      <c r="G806" s="3">
        <v>0</v>
      </c>
      <c r="H806" s="3">
        <v>0</v>
      </c>
      <c r="I806" s="3">
        <v>0</v>
      </c>
      <c r="J806" s="3">
        <v>0</v>
      </c>
      <c r="K806" s="4">
        <v>0</v>
      </c>
      <c r="L806" s="3">
        <v>0</v>
      </c>
      <c r="M806" s="5">
        <v>1050.9000000000001</v>
      </c>
      <c r="N806" s="3">
        <f>M806*4450</f>
        <v>4676505</v>
      </c>
      <c r="O806" s="3">
        <v>0</v>
      </c>
      <c r="P806" s="3">
        <v>0</v>
      </c>
      <c r="Q806" s="3">
        <v>0</v>
      </c>
      <c r="R806" s="3">
        <f>Q806*3200</f>
        <v>0</v>
      </c>
      <c r="S806" s="3">
        <v>0</v>
      </c>
      <c r="T806" s="3">
        <v>0</v>
      </c>
      <c r="U806" s="3">
        <v>0</v>
      </c>
      <c r="V806" s="6">
        <f t="shared" ref="V806" si="441">N806/M806</f>
        <v>4450</v>
      </c>
    </row>
    <row r="807" spans="1:22" ht="45" customHeight="1" x14ac:dyDescent="0.25">
      <c r="A807" s="54" t="s">
        <v>93</v>
      </c>
      <c r="B807" s="54"/>
      <c r="C807" s="2">
        <f>SUM(C808:C809)</f>
        <v>6000000</v>
      </c>
      <c r="D807" s="2">
        <f t="shared" ref="D807:U807" si="442">SUM(D808:D809)</f>
        <v>0</v>
      </c>
      <c r="E807" s="2">
        <f t="shared" si="442"/>
        <v>0</v>
      </c>
      <c r="F807" s="2">
        <f t="shared" si="442"/>
        <v>0</v>
      </c>
      <c r="G807" s="2">
        <f t="shared" si="442"/>
        <v>0</v>
      </c>
      <c r="H807" s="2">
        <f t="shared" si="442"/>
        <v>0</v>
      </c>
      <c r="I807" s="2">
        <f t="shared" si="442"/>
        <v>0</v>
      </c>
      <c r="J807" s="2">
        <f t="shared" si="442"/>
        <v>0</v>
      </c>
      <c r="K807" s="14">
        <f t="shared" si="442"/>
        <v>2</v>
      </c>
      <c r="L807" s="2">
        <f t="shared" si="442"/>
        <v>5600000</v>
      </c>
      <c r="M807" s="2">
        <f t="shared" si="442"/>
        <v>0</v>
      </c>
      <c r="N807" s="2">
        <f t="shared" si="442"/>
        <v>0</v>
      </c>
      <c r="O807" s="2">
        <f t="shared" si="442"/>
        <v>0</v>
      </c>
      <c r="P807" s="2">
        <f t="shared" si="442"/>
        <v>0</v>
      </c>
      <c r="Q807" s="2">
        <f t="shared" si="442"/>
        <v>0</v>
      </c>
      <c r="R807" s="2">
        <f t="shared" si="442"/>
        <v>0</v>
      </c>
      <c r="S807" s="2">
        <f t="shared" si="442"/>
        <v>0</v>
      </c>
      <c r="T807" s="2">
        <f t="shared" si="442"/>
        <v>0</v>
      </c>
      <c r="U807" s="2">
        <f t="shared" si="442"/>
        <v>400000</v>
      </c>
    </row>
    <row r="808" spans="1:22" ht="21.95" customHeight="1" x14ac:dyDescent="0.25">
      <c r="A808" s="37" t="s">
        <v>1216</v>
      </c>
      <c r="B808" s="8" t="s">
        <v>97</v>
      </c>
      <c r="C808" s="2">
        <f t="shared" si="406"/>
        <v>3000000</v>
      </c>
      <c r="D808" s="3">
        <f t="shared" ref="D808:D809" si="443">SUM(E808:J808)</f>
        <v>0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4">
        <v>1</v>
      </c>
      <c r="L808" s="3">
        <v>2800000</v>
      </c>
      <c r="M808" s="5">
        <v>0</v>
      </c>
      <c r="N808" s="5">
        <v>0</v>
      </c>
      <c r="O808" s="3">
        <v>0</v>
      </c>
      <c r="P808" s="3">
        <v>0</v>
      </c>
      <c r="Q808" s="3">
        <v>0</v>
      </c>
      <c r="R808" s="3">
        <f t="shared" ref="R808:R809" si="444">Q808*3200</f>
        <v>0</v>
      </c>
      <c r="S808" s="3">
        <v>0</v>
      </c>
      <c r="T808" s="3">
        <v>0</v>
      </c>
      <c r="U808" s="3">
        <v>200000</v>
      </c>
      <c r="V808" s="6" t="e">
        <f t="shared" ref="V808:V809" si="445">N808/M808</f>
        <v>#DIV/0!</v>
      </c>
    </row>
    <row r="809" spans="1:22" ht="21.95" customHeight="1" x14ac:dyDescent="0.25">
      <c r="A809" s="37" t="s">
        <v>838</v>
      </c>
      <c r="B809" s="8" t="s">
        <v>101</v>
      </c>
      <c r="C809" s="2">
        <f t="shared" si="406"/>
        <v>3000000</v>
      </c>
      <c r="D809" s="3">
        <f t="shared" si="443"/>
        <v>0</v>
      </c>
      <c r="E809" s="3">
        <v>0</v>
      </c>
      <c r="F809" s="3">
        <v>0</v>
      </c>
      <c r="G809" s="3">
        <v>0</v>
      </c>
      <c r="H809" s="3">
        <v>0</v>
      </c>
      <c r="I809" s="3">
        <v>0</v>
      </c>
      <c r="J809" s="3">
        <v>0</v>
      </c>
      <c r="K809" s="4">
        <v>1</v>
      </c>
      <c r="L809" s="3">
        <v>2800000</v>
      </c>
      <c r="M809" s="5">
        <v>0</v>
      </c>
      <c r="N809" s="5">
        <v>0</v>
      </c>
      <c r="O809" s="3">
        <v>0</v>
      </c>
      <c r="P809" s="3">
        <v>0</v>
      </c>
      <c r="Q809" s="3">
        <v>0</v>
      </c>
      <c r="R809" s="3">
        <f t="shared" si="444"/>
        <v>0</v>
      </c>
      <c r="S809" s="3">
        <v>0</v>
      </c>
      <c r="T809" s="3">
        <v>0</v>
      </c>
      <c r="U809" s="3">
        <v>200000</v>
      </c>
      <c r="V809" s="6" t="e">
        <f t="shared" si="445"/>
        <v>#DIV/0!</v>
      </c>
    </row>
    <row r="810" spans="1:22" ht="45" customHeight="1" x14ac:dyDescent="0.25">
      <c r="A810" s="54" t="s">
        <v>102</v>
      </c>
      <c r="B810" s="54"/>
      <c r="C810" s="2">
        <f>SUM(C811:C814)</f>
        <v>13517500</v>
      </c>
      <c r="D810" s="2">
        <f t="shared" ref="D810:U810" si="446">SUM(D811:D814)</f>
        <v>0</v>
      </c>
      <c r="E810" s="2">
        <f t="shared" si="446"/>
        <v>0</v>
      </c>
      <c r="F810" s="2">
        <f t="shared" si="446"/>
        <v>0</v>
      </c>
      <c r="G810" s="2">
        <f t="shared" si="446"/>
        <v>0</v>
      </c>
      <c r="H810" s="2">
        <f t="shared" si="446"/>
        <v>0</v>
      </c>
      <c r="I810" s="2">
        <f t="shared" si="446"/>
        <v>0</v>
      </c>
      <c r="J810" s="2">
        <f t="shared" si="446"/>
        <v>0</v>
      </c>
      <c r="K810" s="14">
        <f t="shared" si="446"/>
        <v>0</v>
      </c>
      <c r="L810" s="2">
        <f t="shared" si="446"/>
        <v>0</v>
      </c>
      <c r="M810" s="2">
        <f t="shared" si="446"/>
        <v>2325</v>
      </c>
      <c r="N810" s="2">
        <f t="shared" si="446"/>
        <v>13517500</v>
      </c>
      <c r="O810" s="2">
        <f t="shared" si="446"/>
        <v>0</v>
      </c>
      <c r="P810" s="2">
        <f t="shared" si="446"/>
        <v>0</v>
      </c>
      <c r="Q810" s="2">
        <f t="shared" si="446"/>
        <v>0</v>
      </c>
      <c r="R810" s="2">
        <f t="shared" si="446"/>
        <v>0</v>
      </c>
      <c r="S810" s="2">
        <f t="shared" si="446"/>
        <v>0</v>
      </c>
      <c r="T810" s="2">
        <f t="shared" si="446"/>
        <v>0</v>
      </c>
      <c r="U810" s="2">
        <f t="shared" si="446"/>
        <v>0</v>
      </c>
    </row>
    <row r="811" spans="1:22" ht="21" customHeight="1" x14ac:dyDescent="0.25">
      <c r="A811" s="37" t="s">
        <v>839</v>
      </c>
      <c r="B811" s="8" t="s">
        <v>104</v>
      </c>
      <c r="C811" s="2">
        <f t="shared" si="406"/>
        <v>2976600</v>
      </c>
      <c r="D811" s="3">
        <f t="shared" ref="D811:D814" si="447">SUM(E811:J811)</f>
        <v>0</v>
      </c>
      <c r="E811" s="3">
        <v>0</v>
      </c>
      <c r="F811" s="3">
        <v>0</v>
      </c>
      <c r="G811" s="3">
        <v>0</v>
      </c>
      <c r="H811" s="3">
        <v>0</v>
      </c>
      <c r="I811" s="3">
        <v>0</v>
      </c>
      <c r="J811" s="3">
        <v>0</v>
      </c>
      <c r="K811" s="4">
        <v>0</v>
      </c>
      <c r="L811" s="3">
        <v>0</v>
      </c>
      <c r="M811" s="5">
        <v>451</v>
      </c>
      <c r="N811" s="3">
        <f>M811*6600</f>
        <v>2976600</v>
      </c>
      <c r="O811" s="3">
        <v>0</v>
      </c>
      <c r="P811" s="3">
        <v>0</v>
      </c>
      <c r="Q811" s="3">
        <v>0</v>
      </c>
      <c r="R811" s="3">
        <f t="shared" ref="R811:R814" si="448">Q811*3200</f>
        <v>0</v>
      </c>
      <c r="S811" s="3">
        <v>0</v>
      </c>
      <c r="T811" s="3">
        <v>0</v>
      </c>
      <c r="U811" s="3">
        <v>0</v>
      </c>
      <c r="V811" s="6">
        <f t="shared" ref="V811:V814" si="449">N811/M811</f>
        <v>6600</v>
      </c>
    </row>
    <row r="812" spans="1:22" ht="21" customHeight="1" x14ac:dyDescent="0.25">
      <c r="A812" s="37" t="s">
        <v>840</v>
      </c>
      <c r="B812" s="8" t="s">
        <v>106</v>
      </c>
      <c r="C812" s="2">
        <f t="shared" si="406"/>
        <v>3900600</v>
      </c>
      <c r="D812" s="3">
        <f t="shared" si="447"/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4">
        <v>0</v>
      </c>
      <c r="L812" s="3">
        <v>0</v>
      </c>
      <c r="M812" s="5">
        <v>591</v>
      </c>
      <c r="N812" s="3">
        <f>M812*6600</f>
        <v>3900600</v>
      </c>
      <c r="O812" s="3">
        <v>0</v>
      </c>
      <c r="P812" s="3">
        <v>0</v>
      </c>
      <c r="Q812" s="3">
        <v>0</v>
      </c>
      <c r="R812" s="3">
        <f t="shared" si="448"/>
        <v>0</v>
      </c>
      <c r="S812" s="3">
        <v>0</v>
      </c>
      <c r="T812" s="3">
        <v>0</v>
      </c>
      <c r="U812" s="3">
        <v>0</v>
      </c>
      <c r="V812" s="6">
        <f t="shared" si="449"/>
        <v>6600</v>
      </c>
    </row>
    <row r="813" spans="1:22" ht="21" customHeight="1" x14ac:dyDescent="0.25">
      <c r="A813" s="37" t="s">
        <v>841</v>
      </c>
      <c r="B813" s="8" t="s">
        <v>109</v>
      </c>
      <c r="C813" s="2">
        <f>D813+L813+N813+P813+R813+S813+T813+U813</f>
        <v>2857800</v>
      </c>
      <c r="D813" s="3">
        <f>SUM(E813:J813)</f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4">
        <v>0</v>
      </c>
      <c r="L813" s="3">
        <v>0</v>
      </c>
      <c r="M813" s="5">
        <v>433</v>
      </c>
      <c r="N813" s="3">
        <f>M813*6600</f>
        <v>2857800</v>
      </c>
      <c r="O813" s="3">
        <v>0</v>
      </c>
      <c r="P813" s="3">
        <v>0</v>
      </c>
      <c r="Q813" s="3">
        <v>0</v>
      </c>
      <c r="R813" s="3">
        <f>Q813*3200</f>
        <v>0</v>
      </c>
      <c r="S813" s="3">
        <v>0</v>
      </c>
      <c r="T813" s="3">
        <v>0</v>
      </c>
      <c r="U813" s="3">
        <v>0</v>
      </c>
      <c r="V813" s="6">
        <f>N813/M813</f>
        <v>6600</v>
      </c>
    </row>
    <row r="814" spans="1:22" ht="21" customHeight="1" x14ac:dyDescent="0.25">
      <c r="A814" s="37" t="s">
        <v>842</v>
      </c>
      <c r="B814" s="8" t="s">
        <v>107</v>
      </c>
      <c r="C814" s="2">
        <f t="shared" si="406"/>
        <v>3782500</v>
      </c>
      <c r="D814" s="3">
        <f t="shared" si="447"/>
        <v>0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4">
        <v>0</v>
      </c>
      <c r="L814" s="3">
        <v>0</v>
      </c>
      <c r="M814" s="5">
        <v>850</v>
      </c>
      <c r="N814" s="3">
        <f>M814*4450</f>
        <v>3782500</v>
      </c>
      <c r="O814" s="3">
        <v>0</v>
      </c>
      <c r="P814" s="3">
        <v>0</v>
      </c>
      <c r="Q814" s="3">
        <v>0</v>
      </c>
      <c r="R814" s="3">
        <f t="shared" si="448"/>
        <v>0</v>
      </c>
      <c r="S814" s="3">
        <v>0</v>
      </c>
      <c r="T814" s="3">
        <v>0</v>
      </c>
      <c r="U814" s="3">
        <v>0</v>
      </c>
      <c r="V814" s="6">
        <f t="shared" si="449"/>
        <v>4450</v>
      </c>
    </row>
    <row r="815" spans="1:22" ht="45" customHeight="1" x14ac:dyDescent="0.25">
      <c r="A815" s="54" t="s">
        <v>116</v>
      </c>
      <c r="B815" s="54"/>
      <c r="C815" s="2">
        <f>SUM(C816)</f>
        <v>2381200</v>
      </c>
      <c r="D815" s="2">
        <f t="shared" ref="D815:U815" si="450">SUM(D816)</f>
        <v>0</v>
      </c>
      <c r="E815" s="2">
        <f t="shared" si="450"/>
        <v>0</v>
      </c>
      <c r="F815" s="2">
        <f t="shared" si="450"/>
        <v>0</v>
      </c>
      <c r="G815" s="2">
        <f t="shared" si="450"/>
        <v>0</v>
      </c>
      <c r="H815" s="2">
        <f t="shared" si="450"/>
        <v>0</v>
      </c>
      <c r="I815" s="2">
        <f t="shared" si="450"/>
        <v>0</v>
      </c>
      <c r="J815" s="2">
        <f t="shared" si="450"/>
        <v>0</v>
      </c>
      <c r="K815" s="14">
        <f t="shared" si="450"/>
        <v>0</v>
      </c>
      <c r="L815" s="2">
        <f t="shared" si="450"/>
        <v>0</v>
      </c>
      <c r="M815" s="2">
        <f t="shared" si="450"/>
        <v>232</v>
      </c>
      <c r="N815" s="2">
        <f t="shared" si="450"/>
        <v>1531200</v>
      </c>
      <c r="O815" s="2">
        <f t="shared" si="450"/>
        <v>0</v>
      </c>
      <c r="P815" s="2">
        <f t="shared" si="450"/>
        <v>0</v>
      </c>
      <c r="Q815" s="2">
        <f t="shared" si="450"/>
        <v>0</v>
      </c>
      <c r="R815" s="2">
        <f t="shared" si="450"/>
        <v>0</v>
      </c>
      <c r="S815" s="2">
        <f t="shared" si="450"/>
        <v>0</v>
      </c>
      <c r="T815" s="2">
        <f t="shared" si="450"/>
        <v>0</v>
      </c>
      <c r="U815" s="2">
        <f t="shared" si="450"/>
        <v>850000</v>
      </c>
    </row>
    <row r="816" spans="1:22" ht="21.95" customHeight="1" x14ac:dyDescent="0.25">
      <c r="A816" s="36" t="s">
        <v>843</v>
      </c>
      <c r="B816" s="8" t="s">
        <v>117</v>
      </c>
      <c r="C816" s="2">
        <f t="shared" si="406"/>
        <v>2381200</v>
      </c>
      <c r="D816" s="3">
        <f t="shared" ref="D816" si="451">SUM(E816:J816)</f>
        <v>0</v>
      </c>
      <c r="E816" s="3">
        <v>0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11">
        <v>0</v>
      </c>
      <c r="L816" s="5">
        <v>0</v>
      </c>
      <c r="M816" s="5">
        <v>232</v>
      </c>
      <c r="N816" s="3">
        <f>M816*6600</f>
        <v>1531200</v>
      </c>
      <c r="O816" s="5">
        <v>0</v>
      </c>
      <c r="P816" s="5">
        <v>0</v>
      </c>
      <c r="Q816" s="5">
        <v>0</v>
      </c>
      <c r="R816" s="3">
        <f>Q816*3200</f>
        <v>0</v>
      </c>
      <c r="S816" s="5">
        <v>0</v>
      </c>
      <c r="T816" s="5">
        <v>0</v>
      </c>
      <c r="U816" s="5">
        <v>850000</v>
      </c>
      <c r="V816" s="6">
        <f t="shared" ref="V816" si="452">N816/M816</f>
        <v>6600</v>
      </c>
    </row>
    <row r="817" spans="1:22" ht="45" customHeight="1" x14ac:dyDescent="0.25">
      <c r="A817" s="54" t="s">
        <v>1197</v>
      </c>
      <c r="B817" s="54"/>
      <c r="C817" s="2">
        <f>SUM(C818:C822)</f>
        <v>25363235</v>
      </c>
      <c r="D817" s="2">
        <f t="shared" ref="D817:U817" si="453">SUM(D818:D822)</f>
        <v>2799600</v>
      </c>
      <c r="E817" s="2">
        <f t="shared" si="453"/>
        <v>653240</v>
      </c>
      <c r="F817" s="2">
        <f t="shared" si="453"/>
        <v>1213160</v>
      </c>
      <c r="G817" s="2">
        <f t="shared" si="453"/>
        <v>279960</v>
      </c>
      <c r="H817" s="2">
        <f t="shared" si="453"/>
        <v>373280</v>
      </c>
      <c r="I817" s="2">
        <f t="shared" si="453"/>
        <v>279960</v>
      </c>
      <c r="J817" s="2">
        <f t="shared" si="453"/>
        <v>0</v>
      </c>
      <c r="K817" s="14">
        <f t="shared" si="453"/>
        <v>0</v>
      </c>
      <c r="L817" s="2">
        <f t="shared" si="453"/>
        <v>0</v>
      </c>
      <c r="M817" s="2">
        <f t="shared" si="453"/>
        <v>4724.3</v>
      </c>
      <c r="N817" s="2">
        <f t="shared" si="453"/>
        <v>22463635</v>
      </c>
      <c r="O817" s="2">
        <f t="shared" si="453"/>
        <v>0</v>
      </c>
      <c r="P817" s="2">
        <f t="shared" si="453"/>
        <v>0</v>
      </c>
      <c r="Q817" s="2">
        <f t="shared" si="453"/>
        <v>0</v>
      </c>
      <c r="R817" s="2">
        <f t="shared" si="453"/>
        <v>0</v>
      </c>
      <c r="S817" s="2">
        <f t="shared" si="453"/>
        <v>0</v>
      </c>
      <c r="T817" s="2">
        <f t="shared" si="453"/>
        <v>0</v>
      </c>
      <c r="U817" s="2">
        <f t="shared" si="453"/>
        <v>100000</v>
      </c>
      <c r="V817" s="18">
        <f>C817+C1303</f>
        <v>25363235</v>
      </c>
    </row>
    <row r="818" spans="1:22" ht="21.95" customHeight="1" x14ac:dyDescent="0.25">
      <c r="A818" s="37" t="s">
        <v>844</v>
      </c>
      <c r="B818" s="8" t="s">
        <v>1198</v>
      </c>
      <c r="C818" s="2">
        <f t="shared" si="406"/>
        <v>6100950</v>
      </c>
      <c r="D818" s="3">
        <f t="shared" ref="D818:D822" si="454">SUM(E818:J818)</f>
        <v>0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0</v>
      </c>
      <c r="K818" s="4">
        <v>0</v>
      </c>
      <c r="L818" s="3">
        <v>0</v>
      </c>
      <c r="M818" s="5">
        <v>1371</v>
      </c>
      <c r="N818" s="5">
        <f>M818*4450</f>
        <v>6100950</v>
      </c>
      <c r="O818" s="5">
        <v>0</v>
      </c>
      <c r="P818" s="5">
        <v>0</v>
      </c>
      <c r="Q818" s="5">
        <v>0</v>
      </c>
      <c r="R818" s="3">
        <f t="shared" ref="R818:R822" si="455">Q818*3200</f>
        <v>0</v>
      </c>
      <c r="S818" s="5">
        <v>0</v>
      </c>
      <c r="T818" s="5">
        <v>0</v>
      </c>
      <c r="U818" s="5">
        <v>0</v>
      </c>
      <c r="V818" s="6">
        <f t="shared" ref="V818:V822" si="456">N818/M818</f>
        <v>4450</v>
      </c>
    </row>
    <row r="819" spans="1:22" ht="21.95" customHeight="1" x14ac:dyDescent="0.25">
      <c r="A819" s="37" t="s">
        <v>845</v>
      </c>
      <c r="B819" s="8" t="s">
        <v>1284</v>
      </c>
      <c r="C819" s="2">
        <f t="shared" ref="C819" si="457">D819+L819+N819+P819+R819+S819+T819+U819</f>
        <v>4422000</v>
      </c>
      <c r="D819" s="3">
        <f t="shared" ref="D819" si="458">SUM(E819:J819)</f>
        <v>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4">
        <v>0</v>
      </c>
      <c r="L819" s="3">
        <v>0</v>
      </c>
      <c r="M819" s="5">
        <v>670</v>
      </c>
      <c r="N819" s="5">
        <f>M819*6600</f>
        <v>4422000</v>
      </c>
      <c r="O819" s="5">
        <v>0</v>
      </c>
      <c r="P819" s="5">
        <v>0</v>
      </c>
      <c r="Q819" s="5">
        <v>0</v>
      </c>
      <c r="R819" s="3">
        <f t="shared" si="455"/>
        <v>0</v>
      </c>
      <c r="S819" s="5">
        <v>0</v>
      </c>
      <c r="T819" s="5">
        <v>0</v>
      </c>
      <c r="U819" s="5">
        <v>0</v>
      </c>
    </row>
    <row r="820" spans="1:22" ht="21.95" customHeight="1" x14ac:dyDescent="0.25">
      <c r="A820" s="37" t="s">
        <v>846</v>
      </c>
      <c r="B820" s="8" t="s">
        <v>1285</v>
      </c>
      <c r="C820" s="2">
        <f t="shared" ref="C820" si="459">D820+L820+N820+P820+R820+S820+T820+U820</f>
        <v>2899600</v>
      </c>
      <c r="D820" s="3">
        <f t="shared" ref="D820" si="460">SUM(E820:J820)</f>
        <v>2799600</v>
      </c>
      <c r="E820" s="3">
        <f>700*933.2</f>
        <v>653240</v>
      </c>
      <c r="F820" s="3">
        <f>1300*933.2</f>
        <v>1213160</v>
      </c>
      <c r="G820" s="3">
        <f>300*933.2</f>
        <v>279960</v>
      </c>
      <c r="H820" s="3">
        <f>400*933.2</f>
        <v>373280</v>
      </c>
      <c r="I820" s="3">
        <f>300*933.2</f>
        <v>279960</v>
      </c>
      <c r="J820" s="3">
        <v>0</v>
      </c>
      <c r="K820" s="4">
        <v>0</v>
      </c>
      <c r="L820" s="3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3">
        <f t="shared" si="455"/>
        <v>0</v>
      </c>
      <c r="S820" s="5">
        <v>0</v>
      </c>
      <c r="T820" s="5">
        <v>0</v>
      </c>
      <c r="U820" s="5">
        <v>100000</v>
      </c>
    </row>
    <row r="821" spans="1:22" ht="21.95" customHeight="1" x14ac:dyDescent="0.25">
      <c r="A821" s="37" t="s">
        <v>847</v>
      </c>
      <c r="B821" s="8" t="s">
        <v>1199</v>
      </c>
      <c r="C821" s="2">
        <f t="shared" si="406"/>
        <v>5483735</v>
      </c>
      <c r="D821" s="3">
        <f t="shared" si="454"/>
        <v>0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4">
        <v>0</v>
      </c>
      <c r="L821" s="3">
        <v>0</v>
      </c>
      <c r="M821" s="5">
        <v>1232.3</v>
      </c>
      <c r="N821" s="5">
        <f>M821*4450</f>
        <v>5483735</v>
      </c>
      <c r="O821" s="5">
        <v>0</v>
      </c>
      <c r="P821" s="5">
        <v>0</v>
      </c>
      <c r="Q821" s="5">
        <v>0</v>
      </c>
      <c r="R821" s="3">
        <f t="shared" si="455"/>
        <v>0</v>
      </c>
      <c r="S821" s="5">
        <v>0</v>
      </c>
      <c r="T821" s="5">
        <v>0</v>
      </c>
      <c r="U821" s="5">
        <v>0</v>
      </c>
      <c r="V821" s="6">
        <f t="shared" si="456"/>
        <v>4450</v>
      </c>
    </row>
    <row r="822" spans="1:22" ht="21.95" customHeight="1" x14ac:dyDescent="0.25">
      <c r="A822" s="37" t="s">
        <v>848</v>
      </c>
      <c r="B822" s="8" t="s">
        <v>1200</v>
      </c>
      <c r="C822" s="2">
        <f t="shared" si="406"/>
        <v>6456950</v>
      </c>
      <c r="D822" s="3">
        <f t="shared" si="454"/>
        <v>0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4">
        <v>0</v>
      </c>
      <c r="L822" s="3">
        <v>0</v>
      </c>
      <c r="M822" s="5">
        <v>1451</v>
      </c>
      <c r="N822" s="5">
        <f>M822*4450</f>
        <v>6456950</v>
      </c>
      <c r="O822" s="5">
        <v>0</v>
      </c>
      <c r="P822" s="5">
        <v>0</v>
      </c>
      <c r="Q822" s="5">
        <v>0</v>
      </c>
      <c r="R822" s="3">
        <f t="shared" si="455"/>
        <v>0</v>
      </c>
      <c r="S822" s="5">
        <v>0</v>
      </c>
      <c r="T822" s="5">
        <v>0</v>
      </c>
      <c r="U822" s="5">
        <v>0</v>
      </c>
      <c r="V822" s="6">
        <f t="shared" si="456"/>
        <v>4450</v>
      </c>
    </row>
    <row r="823" spans="1:22" ht="45" customHeight="1" x14ac:dyDescent="0.25">
      <c r="A823" s="54" t="s">
        <v>1195</v>
      </c>
      <c r="B823" s="54"/>
      <c r="C823" s="2">
        <f>SUM(C824)</f>
        <v>559260</v>
      </c>
      <c r="D823" s="2">
        <f t="shared" ref="D823:U823" si="461">SUM(D824)</f>
        <v>559260</v>
      </c>
      <c r="E823" s="2">
        <f t="shared" si="461"/>
        <v>301140</v>
      </c>
      <c r="F823" s="2">
        <f t="shared" si="461"/>
        <v>0</v>
      </c>
      <c r="G823" s="2">
        <f t="shared" si="461"/>
        <v>129060</v>
      </c>
      <c r="H823" s="2">
        <f t="shared" si="461"/>
        <v>0</v>
      </c>
      <c r="I823" s="2">
        <f t="shared" si="461"/>
        <v>129060</v>
      </c>
      <c r="J823" s="2">
        <f t="shared" si="461"/>
        <v>0</v>
      </c>
      <c r="K823" s="14">
        <f t="shared" si="461"/>
        <v>0</v>
      </c>
      <c r="L823" s="2">
        <f t="shared" si="461"/>
        <v>0</v>
      </c>
      <c r="M823" s="2">
        <f t="shared" si="461"/>
        <v>0</v>
      </c>
      <c r="N823" s="2">
        <f t="shared" si="461"/>
        <v>0</v>
      </c>
      <c r="O823" s="2">
        <f t="shared" si="461"/>
        <v>0</v>
      </c>
      <c r="P823" s="2">
        <f t="shared" si="461"/>
        <v>0</v>
      </c>
      <c r="Q823" s="2">
        <f t="shared" si="461"/>
        <v>0</v>
      </c>
      <c r="R823" s="2">
        <f t="shared" si="461"/>
        <v>0</v>
      </c>
      <c r="S823" s="2">
        <f t="shared" si="461"/>
        <v>0</v>
      </c>
      <c r="T823" s="2">
        <f t="shared" si="461"/>
        <v>0</v>
      </c>
      <c r="U823" s="2">
        <f t="shared" si="461"/>
        <v>0</v>
      </c>
      <c r="V823" s="18">
        <f>C823+C1301</f>
        <v>559260</v>
      </c>
    </row>
    <row r="824" spans="1:22" ht="21.95" customHeight="1" x14ac:dyDescent="0.25">
      <c r="A824" s="37" t="s">
        <v>849</v>
      </c>
      <c r="B824" s="8" t="s">
        <v>1196</v>
      </c>
      <c r="C824" s="2">
        <f>D824+L824+N824+P824+R824+S824+T824+U824</f>
        <v>559260</v>
      </c>
      <c r="D824" s="3">
        <f t="shared" ref="D824" si="462">SUM(E824:J824)</f>
        <v>559260</v>
      </c>
      <c r="E824" s="3">
        <f>700*430.2</f>
        <v>301140</v>
      </c>
      <c r="F824" s="3">
        <v>0</v>
      </c>
      <c r="G824" s="3">
        <f>300*430.2</f>
        <v>129060</v>
      </c>
      <c r="H824" s="3">
        <v>0</v>
      </c>
      <c r="I824" s="3">
        <f>300*430.2</f>
        <v>129060</v>
      </c>
      <c r="J824" s="3">
        <v>0</v>
      </c>
      <c r="K824" s="4">
        <v>0</v>
      </c>
      <c r="L824" s="3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3">
        <f>Q824*3200</f>
        <v>0</v>
      </c>
      <c r="S824" s="5">
        <v>0</v>
      </c>
      <c r="T824" s="5">
        <v>0</v>
      </c>
      <c r="U824" s="5">
        <v>0</v>
      </c>
      <c r="V824" s="6" t="e">
        <f t="shared" ref="V824" si="463">N824/M824</f>
        <v>#DIV/0!</v>
      </c>
    </row>
    <row r="825" spans="1:22" ht="45" customHeight="1" x14ac:dyDescent="0.25">
      <c r="A825" s="54" t="s">
        <v>124</v>
      </c>
      <c r="B825" s="54"/>
      <c r="C825" s="2">
        <f>SUM(C826:C829)</f>
        <v>5938740</v>
      </c>
      <c r="D825" s="2">
        <f t="shared" ref="D825:U825" si="464">SUM(D826:D829)</f>
        <v>0</v>
      </c>
      <c r="E825" s="2">
        <f t="shared" si="464"/>
        <v>0</v>
      </c>
      <c r="F825" s="2">
        <f t="shared" si="464"/>
        <v>0</v>
      </c>
      <c r="G825" s="2">
        <f t="shared" si="464"/>
        <v>0</v>
      </c>
      <c r="H825" s="2">
        <f t="shared" si="464"/>
        <v>0</v>
      </c>
      <c r="I825" s="2">
        <f t="shared" si="464"/>
        <v>0</v>
      </c>
      <c r="J825" s="2">
        <f t="shared" si="464"/>
        <v>0</v>
      </c>
      <c r="K825" s="14">
        <f t="shared" si="464"/>
        <v>0</v>
      </c>
      <c r="L825" s="2">
        <f t="shared" si="464"/>
        <v>0</v>
      </c>
      <c r="M825" s="2">
        <f t="shared" si="464"/>
        <v>808.9</v>
      </c>
      <c r="N825" s="2">
        <f t="shared" si="464"/>
        <v>5338740</v>
      </c>
      <c r="O825" s="2">
        <f t="shared" si="464"/>
        <v>0</v>
      </c>
      <c r="P825" s="2">
        <f t="shared" si="464"/>
        <v>0</v>
      </c>
      <c r="Q825" s="2">
        <f t="shared" si="464"/>
        <v>0</v>
      </c>
      <c r="R825" s="2">
        <f t="shared" si="464"/>
        <v>0</v>
      </c>
      <c r="S825" s="2">
        <f t="shared" si="464"/>
        <v>0</v>
      </c>
      <c r="T825" s="2">
        <f t="shared" si="464"/>
        <v>0</v>
      </c>
      <c r="U825" s="2">
        <f t="shared" si="464"/>
        <v>600000</v>
      </c>
    </row>
    <row r="826" spans="1:22" ht="21.95" customHeight="1" x14ac:dyDescent="0.25">
      <c r="A826" s="37" t="s">
        <v>850</v>
      </c>
      <c r="B826" s="1" t="s">
        <v>119</v>
      </c>
      <c r="C826" s="2">
        <f t="shared" si="406"/>
        <v>3688740</v>
      </c>
      <c r="D826" s="3">
        <f t="shared" ref="D826:D827" si="465">SUM(E826:J826)</f>
        <v>0</v>
      </c>
      <c r="E826" s="3">
        <v>0</v>
      </c>
      <c r="F826" s="3">
        <v>0</v>
      </c>
      <c r="G826" s="3">
        <v>0</v>
      </c>
      <c r="H826" s="3">
        <v>0</v>
      </c>
      <c r="I826" s="3">
        <v>0</v>
      </c>
      <c r="J826" s="3">
        <v>0</v>
      </c>
      <c r="K826" s="4">
        <v>0</v>
      </c>
      <c r="L826" s="3">
        <v>0</v>
      </c>
      <c r="M826" s="5">
        <v>558.9</v>
      </c>
      <c r="N826" s="3">
        <f>M826*6600</f>
        <v>3688740</v>
      </c>
      <c r="O826" s="3">
        <v>0</v>
      </c>
      <c r="P826" s="3">
        <v>0</v>
      </c>
      <c r="Q826" s="3">
        <v>0</v>
      </c>
      <c r="R826" s="3">
        <f t="shared" ref="R826:R829" si="466">Q826*3200</f>
        <v>0</v>
      </c>
      <c r="S826" s="3">
        <v>0</v>
      </c>
      <c r="T826" s="3">
        <v>0</v>
      </c>
      <c r="U826" s="3">
        <v>0</v>
      </c>
      <c r="V826" s="6">
        <f t="shared" ref="V826:V827" si="467">N826/M826</f>
        <v>6600</v>
      </c>
    </row>
    <row r="827" spans="1:22" ht="21.95" customHeight="1" x14ac:dyDescent="0.25">
      <c r="A827" s="37" t="s">
        <v>851</v>
      </c>
      <c r="B827" s="1" t="s">
        <v>120</v>
      </c>
      <c r="C827" s="2">
        <f t="shared" si="406"/>
        <v>1650000</v>
      </c>
      <c r="D827" s="3">
        <f t="shared" si="465"/>
        <v>0</v>
      </c>
      <c r="E827" s="3">
        <v>0</v>
      </c>
      <c r="F827" s="3">
        <v>0</v>
      </c>
      <c r="G827" s="3">
        <v>0</v>
      </c>
      <c r="H827" s="3">
        <v>0</v>
      </c>
      <c r="I827" s="3">
        <v>0</v>
      </c>
      <c r="J827" s="3">
        <v>0</v>
      </c>
      <c r="K827" s="4">
        <v>0</v>
      </c>
      <c r="L827" s="3">
        <v>0</v>
      </c>
      <c r="M827" s="5">
        <v>250</v>
      </c>
      <c r="N827" s="3">
        <f>M827*6600</f>
        <v>1650000</v>
      </c>
      <c r="O827" s="3">
        <v>0</v>
      </c>
      <c r="P827" s="3">
        <v>0</v>
      </c>
      <c r="Q827" s="3">
        <v>0</v>
      </c>
      <c r="R827" s="3">
        <f t="shared" si="466"/>
        <v>0</v>
      </c>
      <c r="S827" s="3">
        <v>0</v>
      </c>
      <c r="T827" s="3">
        <v>0</v>
      </c>
      <c r="U827" s="3">
        <v>0</v>
      </c>
      <c r="V827" s="6">
        <f t="shared" si="467"/>
        <v>6600</v>
      </c>
    </row>
    <row r="828" spans="1:22" ht="21.95" customHeight="1" x14ac:dyDescent="0.25">
      <c r="A828" s="37" t="s">
        <v>852</v>
      </c>
      <c r="B828" s="1" t="s">
        <v>1531</v>
      </c>
      <c r="C828" s="2">
        <f t="shared" ref="C828" si="468">D828+L828+N828+P828+R828+S828+T828+U828</f>
        <v>300000</v>
      </c>
      <c r="D828" s="3">
        <f t="shared" ref="D828" si="469">SUM(E828:J828)</f>
        <v>0</v>
      </c>
      <c r="E828" s="3">
        <v>0</v>
      </c>
      <c r="F828" s="3">
        <v>0</v>
      </c>
      <c r="G828" s="3">
        <v>0</v>
      </c>
      <c r="H828" s="3">
        <v>0</v>
      </c>
      <c r="I828" s="3">
        <v>0</v>
      </c>
      <c r="J828" s="3">
        <v>0</v>
      </c>
      <c r="K828" s="4">
        <v>0</v>
      </c>
      <c r="L828" s="3">
        <v>0</v>
      </c>
      <c r="M828" s="5">
        <v>0</v>
      </c>
      <c r="N828" s="3">
        <v>0</v>
      </c>
      <c r="O828" s="3">
        <v>0</v>
      </c>
      <c r="P828" s="3">
        <v>0</v>
      </c>
      <c r="Q828" s="3">
        <v>0</v>
      </c>
      <c r="R828" s="3">
        <f t="shared" si="466"/>
        <v>0</v>
      </c>
      <c r="S828" s="3">
        <v>0</v>
      </c>
      <c r="T828" s="3">
        <v>0</v>
      </c>
      <c r="U828" s="3">
        <v>300000</v>
      </c>
    </row>
    <row r="829" spans="1:22" ht="21.95" customHeight="1" x14ac:dyDescent="0.25">
      <c r="A829" s="37" t="s">
        <v>853</v>
      </c>
      <c r="B829" s="1" t="s">
        <v>1288</v>
      </c>
      <c r="C829" s="2">
        <f t="shared" ref="C829" si="470">D829+L829+N829+P829+R829+S829+T829+U829</f>
        <v>300000</v>
      </c>
      <c r="D829" s="3">
        <f t="shared" ref="D829" si="471">SUM(E829:J829)</f>
        <v>0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4">
        <v>0</v>
      </c>
      <c r="L829" s="3">
        <v>0</v>
      </c>
      <c r="M829" s="5">
        <v>0</v>
      </c>
      <c r="N829" s="3">
        <v>0</v>
      </c>
      <c r="O829" s="3">
        <v>0</v>
      </c>
      <c r="P829" s="3">
        <v>0</v>
      </c>
      <c r="Q829" s="3">
        <v>0</v>
      </c>
      <c r="R829" s="3">
        <f t="shared" si="466"/>
        <v>0</v>
      </c>
      <c r="S829" s="3">
        <v>0</v>
      </c>
      <c r="T829" s="3">
        <v>0</v>
      </c>
      <c r="U829" s="3">
        <v>300000</v>
      </c>
    </row>
    <row r="830" spans="1:22" ht="45" customHeight="1" x14ac:dyDescent="0.25">
      <c r="A830" s="54" t="s">
        <v>127</v>
      </c>
      <c r="B830" s="54"/>
      <c r="C830" s="2">
        <f>SUM(C831)</f>
        <v>2244000</v>
      </c>
      <c r="D830" s="2">
        <f t="shared" ref="D830:U830" si="472">SUM(D831)</f>
        <v>0</v>
      </c>
      <c r="E830" s="2">
        <f t="shared" si="472"/>
        <v>0</v>
      </c>
      <c r="F830" s="2">
        <f t="shared" si="472"/>
        <v>0</v>
      </c>
      <c r="G830" s="2">
        <f t="shared" si="472"/>
        <v>0</v>
      </c>
      <c r="H830" s="2">
        <f t="shared" si="472"/>
        <v>0</v>
      </c>
      <c r="I830" s="2">
        <f t="shared" si="472"/>
        <v>0</v>
      </c>
      <c r="J830" s="2">
        <f t="shared" si="472"/>
        <v>0</v>
      </c>
      <c r="K830" s="14">
        <f t="shared" si="472"/>
        <v>0</v>
      </c>
      <c r="L830" s="2">
        <f t="shared" si="472"/>
        <v>0</v>
      </c>
      <c r="M830" s="2">
        <f t="shared" si="472"/>
        <v>340</v>
      </c>
      <c r="N830" s="2">
        <f t="shared" si="472"/>
        <v>2244000</v>
      </c>
      <c r="O830" s="2">
        <f t="shared" si="472"/>
        <v>0</v>
      </c>
      <c r="P830" s="2">
        <f t="shared" si="472"/>
        <v>0</v>
      </c>
      <c r="Q830" s="2">
        <f t="shared" si="472"/>
        <v>0</v>
      </c>
      <c r="R830" s="2">
        <f t="shared" si="472"/>
        <v>0</v>
      </c>
      <c r="S830" s="2">
        <f t="shared" si="472"/>
        <v>0</v>
      </c>
      <c r="T830" s="2">
        <f t="shared" si="472"/>
        <v>0</v>
      </c>
      <c r="U830" s="2">
        <f t="shared" si="472"/>
        <v>0</v>
      </c>
    </row>
    <row r="831" spans="1:22" ht="21.95" customHeight="1" x14ac:dyDescent="0.25">
      <c r="A831" s="37" t="s">
        <v>854</v>
      </c>
      <c r="B831" s="24" t="s">
        <v>126</v>
      </c>
      <c r="C831" s="2">
        <f t="shared" ref="C831:C907" si="473">D831+L831+N831+P831+R831+S831+T831+U831</f>
        <v>2244000</v>
      </c>
      <c r="D831" s="3">
        <f t="shared" ref="D831" si="474">SUM(E831:J831)</f>
        <v>0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  <c r="K831" s="4">
        <v>0</v>
      </c>
      <c r="L831" s="3">
        <v>0</v>
      </c>
      <c r="M831" s="3">
        <v>340</v>
      </c>
      <c r="N831" s="3">
        <f>M831*6600</f>
        <v>2244000</v>
      </c>
      <c r="O831" s="3">
        <v>0</v>
      </c>
      <c r="P831" s="3">
        <v>0</v>
      </c>
      <c r="Q831" s="3">
        <v>0</v>
      </c>
      <c r="R831" s="3">
        <f>Q831*3200</f>
        <v>0</v>
      </c>
      <c r="S831" s="3">
        <v>0</v>
      </c>
      <c r="T831" s="3">
        <v>0</v>
      </c>
      <c r="U831" s="3">
        <v>0</v>
      </c>
      <c r="V831" s="6">
        <f t="shared" ref="V831" si="475">N831/M831</f>
        <v>6600</v>
      </c>
    </row>
    <row r="832" spans="1:22" ht="45" customHeight="1" x14ac:dyDescent="0.25">
      <c r="A832" s="54" t="s">
        <v>1026</v>
      </c>
      <c r="B832" s="54"/>
      <c r="C832" s="2">
        <f>SUM(C833)</f>
        <v>12188740</v>
      </c>
      <c r="D832" s="2">
        <f t="shared" ref="D832:U832" si="476">SUM(D833)</f>
        <v>2957700</v>
      </c>
      <c r="E832" s="2">
        <f t="shared" si="476"/>
        <v>690130</v>
      </c>
      <c r="F832" s="2">
        <f t="shared" si="476"/>
        <v>1281670</v>
      </c>
      <c r="G832" s="2">
        <f t="shared" si="476"/>
        <v>295770</v>
      </c>
      <c r="H832" s="2">
        <f t="shared" si="476"/>
        <v>394360</v>
      </c>
      <c r="I832" s="2">
        <f t="shared" si="476"/>
        <v>295770</v>
      </c>
      <c r="J832" s="2">
        <f t="shared" si="476"/>
        <v>0</v>
      </c>
      <c r="K832" s="14">
        <f t="shared" si="476"/>
        <v>0</v>
      </c>
      <c r="L832" s="2">
        <f t="shared" si="476"/>
        <v>0</v>
      </c>
      <c r="M832" s="2">
        <f t="shared" si="476"/>
        <v>1072</v>
      </c>
      <c r="N832" s="2">
        <f t="shared" si="476"/>
        <v>7075200</v>
      </c>
      <c r="O832" s="2">
        <f t="shared" si="476"/>
        <v>0</v>
      </c>
      <c r="P832" s="2">
        <f t="shared" si="476"/>
        <v>0</v>
      </c>
      <c r="Q832" s="2">
        <f t="shared" si="476"/>
        <v>514.5</v>
      </c>
      <c r="R832" s="2">
        <f t="shared" si="476"/>
        <v>1646400</v>
      </c>
      <c r="S832" s="2">
        <f t="shared" si="476"/>
        <v>409440</v>
      </c>
      <c r="T832" s="2">
        <f t="shared" si="476"/>
        <v>0</v>
      </c>
      <c r="U832" s="2">
        <f t="shared" si="476"/>
        <v>100000</v>
      </c>
      <c r="V832" s="18">
        <f>C832</f>
        <v>12188740</v>
      </c>
    </row>
    <row r="833" spans="1:22" ht="21" customHeight="1" x14ac:dyDescent="0.25">
      <c r="A833" s="37" t="s">
        <v>855</v>
      </c>
      <c r="B833" s="8" t="s">
        <v>1027</v>
      </c>
      <c r="C833" s="2">
        <f t="shared" si="473"/>
        <v>12188740</v>
      </c>
      <c r="D833" s="3">
        <f t="shared" ref="D833" si="477">SUM(E833:J833)</f>
        <v>2957700</v>
      </c>
      <c r="E833" s="3">
        <f>700*985.9</f>
        <v>690130</v>
      </c>
      <c r="F833" s="3">
        <f>1300*985.9</f>
        <v>1281670</v>
      </c>
      <c r="G833" s="3">
        <f>300*985.9</f>
        <v>295770</v>
      </c>
      <c r="H833" s="3">
        <f>400*985.9</f>
        <v>394360</v>
      </c>
      <c r="I833" s="3">
        <f>300*985.9</f>
        <v>295770</v>
      </c>
      <c r="J833" s="3">
        <v>0</v>
      </c>
      <c r="K833" s="4">
        <v>0</v>
      </c>
      <c r="L833" s="3">
        <v>0</v>
      </c>
      <c r="M833" s="3">
        <v>1072</v>
      </c>
      <c r="N833" s="3">
        <f>M833*6600</f>
        <v>7075200</v>
      </c>
      <c r="O833" s="3">
        <v>0</v>
      </c>
      <c r="P833" s="3">
        <v>0</v>
      </c>
      <c r="Q833" s="3">
        <v>514.5</v>
      </c>
      <c r="R833" s="3">
        <f>Q833*3200</f>
        <v>1646400</v>
      </c>
      <c r="S833" s="3">
        <v>409440</v>
      </c>
      <c r="T833" s="3">
        <v>0</v>
      </c>
      <c r="U833" s="3">
        <v>100000</v>
      </c>
      <c r="V833" s="6">
        <f t="shared" ref="V833" si="478">N833/M833</f>
        <v>6600</v>
      </c>
    </row>
    <row r="834" spans="1:22" ht="45" customHeight="1" x14ac:dyDescent="0.25">
      <c r="A834" s="54" t="s">
        <v>131</v>
      </c>
      <c r="B834" s="54"/>
      <c r="C834" s="2">
        <f>SUM(C835)</f>
        <v>3782500</v>
      </c>
      <c r="D834" s="2">
        <f t="shared" ref="D834:U834" si="479">SUM(D835)</f>
        <v>0</v>
      </c>
      <c r="E834" s="2">
        <f t="shared" si="479"/>
        <v>0</v>
      </c>
      <c r="F834" s="2">
        <f t="shared" si="479"/>
        <v>0</v>
      </c>
      <c r="G834" s="2">
        <f t="shared" si="479"/>
        <v>0</v>
      </c>
      <c r="H834" s="2">
        <f t="shared" si="479"/>
        <v>0</v>
      </c>
      <c r="I834" s="2">
        <f t="shared" si="479"/>
        <v>0</v>
      </c>
      <c r="J834" s="2">
        <f t="shared" si="479"/>
        <v>0</v>
      </c>
      <c r="K834" s="14">
        <f t="shared" si="479"/>
        <v>0</v>
      </c>
      <c r="L834" s="2">
        <f t="shared" si="479"/>
        <v>0</v>
      </c>
      <c r="M834" s="2">
        <f t="shared" si="479"/>
        <v>850</v>
      </c>
      <c r="N834" s="2">
        <f t="shared" si="479"/>
        <v>3782500</v>
      </c>
      <c r="O834" s="2">
        <f t="shared" si="479"/>
        <v>0</v>
      </c>
      <c r="P834" s="2">
        <f t="shared" si="479"/>
        <v>0</v>
      </c>
      <c r="Q834" s="2">
        <f t="shared" si="479"/>
        <v>0</v>
      </c>
      <c r="R834" s="2">
        <f t="shared" si="479"/>
        <v>0</v>
      </c>
      <c r="S834" s="2">
        <f t="shared" si="479"/>
        <v>0</v>
      </c>
      <c r="T834" s="2">
        <f t="shared" si="479"/>
        <v>0</v>
      </c>
      <c r="U834" s="2">
        <f t="shared" si="479"/>
        <v>0</v>
      </c>
    </row>
    <row r="835" spans="1:22" ht="21.95" customHeight="1" x14ac:dyDescent="0.25">
      <c r="A835" s="37" t="s">
        <v>856</v>
      </c>
      <c r="B835" s="8" t="s">
        <v>1532</v>
      </c>
      <c r="C835" s="2">
        <f t="shared" ref="C835:C837" si="480">D835+L835+N835+P835+R835+S835+T835+U835</f>
        <v>3782500</v>
      </c>
      <c r="D835" s="3">
        <f t="shared" ref="D835" si="481">SUM(E835:J835)</f>
        <v>0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4">
        <v>0</v>
      </c>
      <c r="L835" s="3">
        <v>0</v>
      </c>
      <c r="M835" s="3">
        <v>850</v>
      </c>
      <c r="N835" s="3">
        <f>M835*4450</f>
        <v>3782500</v>
      </c>
      <c r="O835" s="3">
        <v>0</v>
      </c>
      <c r="P835" s="3">
        <v>0</v>
      </c>
      <c r="Q835" s="3">
        <v>0</v>
      </c>
      <c r="R835" s="3">
        <f>Q835*3200</f>
        <v>0</v>
      </c>
      <c r="S835" s="3">
        <v>0</v>
      </c>
      <c r="T835" s="3">
        <v>0</v>
      </c>
      <c r="U835" s="3">
        <v>0</v>
      </c>
      <c r="V835" s="6">
        <f t="shared" ref="V835" si="482">N835/M835</f>
        <v>4450</v>
      </c>
    </row>
    <row r="836" spans="1:22" ht="45" customHeight="1" x14ac:dyDescent="0.25">
      <c r="A836" s="54" t="s">
        <v>1206</v>
      </c>
      <c r="B836" s="54"/>
      <c r="C836" s="2">
        <f>SUM(C837)</f>
        <v>3028740</v>
      </c>
      <c r="D836" s="2">
        <f t="shared" ref="D836:U836" si="483">SUM(D837)</f>
        <v>0</v>
      </c>
      <c r="E836" s="2">
        <f t="shared" si="483"/>
        <v>0</v>
      </c>
      <c r="F836" s="2">
        <f t="shared" si="483"/>
        <v>0</v>
      </c>
      <c r="G836" s="2">
        <f t="shared" si="483"/>
        <v>0</v>
      </c>
      <c r="H836" s="2">
        <f t="shared" si="483"/>
        <v>0</v>
      </c>
      <c r="I836" s="2">
        <f t="shared" si="483"/>
        <v>0</v>
      </c>
      <c r="J836" s="2">
        <f t="shared" si="483"/>
        <v>0</v>
      </c>
      <c r="K836" s="14">
        <f t="shared" si="483"/>
        <v>0</v>
      </c>
      <c r="L836" s="2">
        <f t="shared" si="483"/>
        <v>0</v>
      </c>
      <c r="M836" s="2">
        <f t="shared" si="483"/>
        <v>458.9</v>
      </c>
      <c r="N836" s="2">
        <f t="shared" si="483"/>
        <v>3028740</v>
      </c>
      <c r="O836" s="2">
        <f t="shared" si="483"/>
        <v>0</v>
      </c>
      <c r="P836" s="2">
        <f t="shared" si="483"/>
        <v>0</v>
      </c>
      <c r="Q836" s="2">
        <f t="shared" si="483"/>
        <v>0</v>
      </c>
      <c r="R836" s="2">
        <f t="shared" si="483"/>
        <v>0</v>
      </c>
      <c r="S836" s="2">
        <f t="shared" si="483"/>
        <v>0</v>
      </c>
      <c r="T836" s="2">
        <f t="shared" si="483"/>
        <v>0</v>
      </c>
      <c r="U836" s="2">
        <f t="shared" si="483"/>
        <v>0</v>
      </c>
      <c r="V836" s="18">
        <f>C836</f>
        <v>3028740</v>
      </c>
    </row>
    <row r="837" spans="1:22" ht="21" customHeight="1" x14ac:dyDescent="0.25">
      <c r="A837" s="37" t="s">
        <v>857</v>
      </c>
      <c r="B837" s="8" t="s">
        <v>130</v>
      </c>
      <c r="C837" s="2">
        <f t="shared" si="480"/>
        <v>3028740</v>
      </c>
      <c r="D837" s="3">
        <f t="shared" ref="D837" si="484">SUM(E837:J837)</f>
        <v>0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4">
        <v>0</v>
      </c>
      <c r="L837" s="3">
        <v>0</v>
      </c>
      <c r="M837" s="3">
        <v>458.9</v>
      </c>
      <c r="N837" s="3">
        <f>M837*6600</f>
        <v>3028740</v>
      </c>
      <c r="O837" s="3">
        <v>0</v>
      </c>
      <c r="P837" s="3">
        <v>0</v>
      </c>
      <c r="Q837" s="3">
        <v>0</v>
      </c>
      <c r="R837" s="3">
        <f>Q837*3200</f>
        <v>0</v>
      </c>
      <c r="S837" s="3">
        <v>0</v>
      </c>
      <c r="T837" s="3">
        <v>0</v>
      </c>
      <c r="U837" s="3">
        <v>0</v>
      </c>
      <c r="V837" s="6">
        <f t="shared" ref="V837" si="485">N837/M837</f>
        <v>6600</v>
      </c>
    </row>
    <row r="838" spans="1:22" ht="45" customHeight="1" x14ac:dyDescent="0.25">
      <c r="A838" s="54" t="s">
        <v>142</v>
      </c>
      <c r="B838" s="54"/>
      <c r="C838" s="2">
        <f>SUM(C839:C840)</f>
        <v>600000</v>
      </c>
      <c r="D838" s="2">
        <f t="shared" ref="D838:U838" si="486">SUM(D839:D840)</f>
        <v>0</v>
      </c>
      <c r="E838" s="2">
        <f t="shared" si="486"/>
        <v>0</v>
      </c>
      <c r="F838" s="2">
        <f t="shared" si="486"/>
        <v>0</v>
      </c>
      <c r="G838" s="2">
        <f t="shared" si="486"/>
        <v>0</v>
      </c>
      <c r="H838" s="2">
        <f t="shared" si="486"/>
        <v>0</v>
      </c>
      <c r="I838" s="2">
        <f t="shared" si="486"/>
        <v>0</v>
      </c>
      <c r="J838" s="2">
        <f t="shared" si="486"/>
        <v>0</v>
      </c>
      <c r="K838" s="14">
        <f t="shared" si="486"/>
        <v>0</v>
      </c>
      <c r="L838" s="2">
        <f t="shared" si="486"/>
        <v>0</v>
      </c>
      <c r="M838" s="2">
        <f t="shared" si="486"/>
        <v>0</v>
      </c>
      <c r="N838" s="2">
        <f t="shared" si="486"/>
        <v>0</v>
      </c>
      <c r="O838" s="2">
        <f t="shared" si="486"/>
        <v>0</v>
      </c>
      <c r="P838" s="2">
        <f t="shared" si="486"/>
        <v>0</v>
      </c>
      <c r="Q838" s="2">
        <f t="shared" si="486"/>
        <v>0</v>
      </c>
      <c r="R838" s="2">
        <f t="shared" si="486"/>
        <v>0</v>
      </c>
      <c r="S838" s="2">
        <f t="shared" si="486"/>
        <v>0</v>
      </c>
      <c r="T838" s="2">
        <f t="shared" si="486"/>
        <v>0</v>
      </c>
      <c r="U838" s="2">
        <f t="shared" si="486"/>
        <v>600000</v>
      </c>
      <c r="V838" s="18">
        <f>C838</f>
        <v>600000</v>
      </c>
    </row>
    <row r="839" spans="1:22" ht="21.95" customHeight="1" x14ac:dyDescent="0.25">
      <c r="A839" s="37" t="s">
        <v>858</v>
      </c>
      <c r="B839" s="8" t="s">
        <v>143</v>
      </c>
      <c r="C839" s="2">
        <f t="shared" ref="C839" si="487">D839+L839+N839+P839+R839+S839+T839+U839</f>
        <v>300000</v>
      </c>
      <c r="D839" s="3">
        <f t="shared" ref="D839" si="488">SUM(E839:J839)</f>
        <v>0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4">
        <v>0</v>
      </c>
      <c r="L839" s="3">
        <v>0</v>
      </c>
      <c r="M839" s="3">
        <v>0</v>
      </c>
      <c r="N839" s="3">
        <f>M839*6600</f>
        <v>0</v>
      </c>
      <c r="O839" s="3">
        <v>0</v>
      </c>
      <c r="P839" s="3">
        <v>0</v>
      </c>
      <c r="Q839" s="3">
        <v>0</v>
      </c>
      <c r="R839" s="3">
        <f t="shared" ref="R839:R840" si="489">Q839*3200</f>
        <v>0</v>
      </c>
      <c r="S839" s="3">
        <v>0</v>
      </c>
      <c r="T839" s="3">
        <v>0</v>
      </c>
      <c r="U839" s="3">
        <v>300000</v>
      </c>
      <c r="V839" s="6" t="e">
        <f t="shared" ref="V839" si="490">N839/M839</f>
        <v>#DIV/0!</v>
      </c>
    </row>
    <row r="840" spans="1:22" ht="21.95" customHeight="1" x14ac:dyDescent="0.25">
      <c r="A840" s="37" t="s">
        <v>859</v>
      </c>
      <c r="B840" s="8" t="s">
        <v>144</v>
      </c>
      <c r="C840" s="2">
        <f>D840+L840+N840+P840+R840+S840+T840+U840</f>
        <v>300000</v>
      </c>
      <c r="D840" s="3">
        <f t="shared" ref="D840" si="491">SUM(E840:J840)</f>
        <v>0</v>
      </c>
      <c r="E840" s="3">
        <v>0</v>
      </c>
      <c r="F840" s="3">
        <v>0</v>
      </c>
      <c r="G840" s="3">
        <v>0</v>
      </c>
      <c r="H840" s="3">
        <v>0</v>
      </c>
      <c r="I840" s="3">
        <v>0</v>
      </c>
      <c r="J840" s="3">
        <v>0</v>
      </c>
      <c r="K840" s="4">
        <v>0</v>
      </c>
      <c r="L840" s="3">
        <v>0</v>
      </c>
      <c r="M840" s="3">
        <v>0</v>
      </c>
      <c r="N840" s="3">
        <f>M840*6600</f>
        <v>0</v>
      </c>
      <c r="O840" s="3">
        <v>0</v>
      </c>
      <c r="P840" s="3">
        <v>0</v>
      </c>
      <c r="Q840" s="3">
        <v>0</v>
      </c>
      <c r="R840" s="3">
        <f t="shared" si="489"/>
        <v>0</v>
      </c>
      <c r="S840" s="3">
        <v>0</v>
      </c>
      <c r="T840" s="3">
        <v>0</v>
      </c>
      <c r="U840" s="3">
        <v>300000</v>
      </c>
      <c r="V840" s="6" t="e">
        <f t="shared" ref="V840" si="492">N840/M840</f>
        <v>#DIV/0!</v>
      </c>
    </row>
    <row r="841" spans="1:22" ht="45" customHeight="1" x14ac:dyDescent="0.25">
      <c r="A841" s="54" t="s">
        <v>146</v>
      </c>
      <c r="B841" s="54"/>
      <c r="C841" s="2">
        <f>SUM(C842)</f>
        <v>3923023</v>
      </c>
      <c r="D841" s="2">
        <f t="shared" ref="D841:U841" si="493">SUM(D842)</f>
        <v>223559</v>
      </c>
      <c r="E841" s="2">
        <f t="shared" si="493"/>
        <v>223559</v>
      </c>
      <c r="F841" s="2">
        <f t="shared" si="493"/>
        <v>0</v>
      </c>
      <c r="G841" s="2">
        <f t="shared" si="493"/>
        <v>0</v>
      </c>
      <c r="H841" s="2">
        <f t="shared" si="493"/>
        <v>0</v>
      </c>
      <c r="I841" s="2">
        <f t="shared" si="493"/>
        <v>0</v>
      </c>
      <c r="J841" s="2">
        <f t="shared" si="493"/>
        <v>0</v>
      </c>
      <c r="K841" s="14">
        <f t="shared" si="493"/>
        <v>0</v>
      </c>
      <c r="L841" s="2">
        <f t="shared" si="493"/>
        <v>0</v>
      </c>
      <c r="M841" s="2">
        <f t="shared" si="493"/>
        <v>283</v>
      </c>
      <c r="N841" s="2">
        <f t="shared" si="493"/>
        <v>1867800</v>
      </c>
      <c r="O841" s="2">
        <f t="shared" si="493"/>
        <v>126.2</v>
      </c>
      <c r="P841" s="2">
        <f t="shared" si="493"/>
        <v>151440</v>
      </c>
      <c r="Q841" s="2">
        <f t="shared" si="493"/>
        <v>493.82</v>
      </c>
      <c r="R841" s="2">
        <f t="shared" si="493"/>
        <v>1580224</v>
      </c>
      <c r="S841" s="2">
        <f t="shared" si="493"/>
        <v>0</v>
      </c>
      <c r="T841" s="2">
        <f t="shared" si="493"/>
        <v>0</v>
      </c>
      <c r="U841" s="2">
        <f t="shared" si="493"/>
        <v>100000</v>
      </c>
      <c r="V841" s="18">
        <f>C841</f>
        <v>3923023</v>
      </c>
    </row>
    <row r="842" spans="1:22" ht="21" customHeight="1" x14ac:dyDescent="0.25">
      <c r="A842" s="37" t="s">
        <v>860</v>
      </c>
      <c r="B842" s="40" t="s">
        <v>147</v>
      </c>
      <c r="C842" s="2">
        <f t="shared" si="473"/>
        <v>3923023</v>
      </c>
      <c r="D842" s="3">
        <f t="shared" ref="D842" si="494">SUM(E842:J842)</f>
        <v>223559</v>
      </c>
      <c r="E842" s="3">
        <f>700*319.37</f>
        <v>223559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  <c r="K842" s="4">
        <v>0</v>
      </c>
      <c r="L842" s="3">
        <v>0</v>
      </c>
      <c r="M842" s="3">
        <v>283</v>
      </c>
      <c r="N842" s="3">
        <f>M842*6600</f>
        <v>1867800</v>
      </c>
      <c r="O842" s="3">
        <v>126.2</v>
      </c>
      <c r="P842" s="3">
        <f>O842*1200</f>
        <v>151440</v>
      </c>
      <c r="Q842" s="3">
        <v>493.82</v>
      </c>
      <c r="R842" s="3">
        <f>Q842*3200</f>
        <v>1580224</v>
      </c>
      <c r="S842" s="3">
        <v>0</v>
      </c>
      <c r="T842" s="3">
        <v>0</v>
      </c>
      <c r="U842" s="3">
        <v>100000</v>
      </c>
      <c r="V842" s="6">
        <f t="shared" ref="V842" si="495">N842/M842</f>
        <v>6600</v>
      </c>
    </row>
    <row r="843" spans="1:22" ht="45" customHeight="1" x14ac:dyDescent="0.25">
      <c r="A843" s="54" t="s">
        <v>148</v>
      </c>
      <c r="B843" s="54"/>
      <c r="C843" s="2">
        <f>SUM(C844:C847)</f>
        <v>12887366</v>
      </c>
      <c r="D843" s="2">
        <f t="shared" ref="D843:U843" si="496">SUM(D844:D847)</f>
        <v>1340820.0000000002</v>
      </c>
      <c r="E843" s="2">
        <f t="shared" si="496"/>
        <v>360990.00000000006</v>
      </c>
      <c r="F843" s="2">
        <f t="shared" si="496"/>
        <v>670410.00000000012</v>
      </c>
      <c r="G843" s="2">
        <f t="shared" si="496"/>
        <v>154710</v>
      </c>
      <c r="H843" s="2">
        <f t="shared" si="496"/>
        <v>0</v>
      </c>
      <c r="I843" s="2">
        <f t="shared" si="496"/>
        <v>154710</v>
      </c>
      <c r="J843" s="2">
        <f t="shared" si="496"/>
        <v>0</v>
      </c>
      <c r="K843" s="14">
        <f t="shared" si="496"/>
        <v>0</v>
      </c>
      <c r="L843" s="2">
        <f t="shared" si="496"/>
        <v>0</v>
      </c>
      <c r="M843" s="2">
        <f t="shared" si="496"/>
        <v>1071.1300000000001</v>
      </c>
      <c r="N843" s="2">
        <f t="shared" si="496"/>
        <v>7069458</v>
      </c>
      <c r="O843" s="2">
        <f t="shared" si="496"/>
        <v>0</v>
      </c>
      <c r="P843" s="2">
        <f t="shared" si="496"/>
        <v>0</v>
      </c>
      <c r="Q843" s="2">
        <f t="shared" si="496"/>
        <v>1367.84</v>
      </c>
      <c r="R843" s="2">
        <f t="shared" si="496"/>
        <v>4377088</v>
      </c>
      <c r="S843" s="2">
        <f t="shared" si="496"/>
        <v>0</v>
      </c>
      <c r="T843" s="2">
        <f t="shared" si="496"/>
        <v>0</v>
      </c>
      <c r="U843" s="2">
        <f t="shared" si="496"/>
        <v>100000</v>
      </c>
    </row>
    <row r="844" spans="1:22" ht="21" customHeight="1" x14ac:dyDescent="0.25">
      <c r="A844" s="37" t="s">
        <v>1276</v>
      </c>
      <c r="B844" s="8" t="s">
        <v>152</v>
      </c>
      <c r="C844" s="2">
        <f t="shared" si="473"/>
        <v>8200072</v>
      </c>
      <c r="D844" s="3">
        <f t="shared" ref="D844:D847" si="497">SUM(E844:J844)</f>
        <v>0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4">
        <v>0</v>
      </c>
      <c r="L844" s="3">
        <v>0</v>
      </c>
      <c r="M844" s="3">
        <v>579.24</v>
      </c>
      <c r="N844" s="3">
        <f>M844*6600</f>
        <v>3822984</v>
      </c>
      <c r="O844" s="3">
        <v>0</v>
      </c>
      <c r="P844" s="3">
        <v>0</v>
      </c>
      <c r="Q844" s="3">
        <v>1367.84</v>
      </c>
      <c r="R844" s="3">
        <f t="shared" ref="R844:R847" si="498">Q844*3200</f>
        <v>4377088</v>
      </c>
      <c r="S844" s="3">
        <v>0</v>
      </c>
      <c r="T844" s="3">
        <v>0</v>
      </c>
      <c r="U844" s="3">
        <v>0</v>
      </c>
      <c r="V844" s="6">
        <f t="shared" ref="V844:V847" si="499">N844/M844</f>
        <v>6600</v>
      </c>
    </row>
    <row r="845" spans="1:22" ht="21" customHeight="1" x14ac:dyDescent="0.25">
      <c r="A845" s="37" t="s">
        <v>861</v>
      </c>
      <c r="B845" s="8" t="s">
        <v>154</v>
      </c>
      <c r="C845" s="2">
        <f t="shared" si="473"/>
        <v>1567368</v>
      </c>
      <c r="D845" s="3">
        <f t="shared" si="497"/>
        <v>0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4">
        <v>0</v>
      </c>
      <c r="L845" s="3">
        <v>0</v>
      </c>
      <c r="M845" s="3">
        <v>237.48</v>
      </c>
      <c r="N845" s="3">
        <f>M845*6600</f>
        <v>1567368</v>
      </c>
      <c r="O845" s="3">
        <v>0</v>
      </c>
      <c r="P845" s="3">
        <v>0</v>
      </c>
      <c r="Q845" s="3">
        <v>0</v>
      </c>
      <c r="R845" s="3">
        <f t="shared" si="498"/>
        <v>0</v>
      </c>
      <c r="S845" s="3">
        <v>0</v>
      </c>
      <c r="T845" s="3">
        <v>0</v>
      </c>
      <c r="U845" s="3">
        <v>0</v>
      </c>
      <c r="V845" s="6">
        <f t="shared" si="499"/>
        <v>6600</v>
      </c>
    </row>
    <row r="846" spans="1:22" ht="21" customHeight="1" x14ac:dyDescent="0.25">
      <c r="A846" s="37" t="s">
        <v>1277</v>
      </c>
      <c r="B846" s="8" t="s">
        <v>155</v>
      </c>
      <c r="C846" s="2">
        <f t="shared" si="473"/>
        <v>1440820.0000000002</v>
      </c>
      <c r="D846" s="3">
        <f t="shared" si="497"/>
        <v>1340820.0000000002</v>
      </c>
      <c r="E846" s="3">
        <f>700*515.7</f>
        <v>360990.00000000006</v>
      </c>
      <c r="F846" s="3">
        <f>1300*515.7</f>
        <v>670410.00000000012</v>
      </c>
      <c r="G846" s="3">
        <f>300*515.7</f>
        <v>154710</v>
      </c>
      <c r="H846" s="3">
        <v>0</v>
      </c>
      <c r="I846" s="3">
        <f>300*515.7</f>
        <v>154710</v>
      </c>
      <c r="J846" s="3">
        <v>0</v>
      </c>
      <c r="K846" s="4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f t="shared" si="498"/>
        <v>0</v>
      </c>
      <c r="S846" s="3">
        <v>0</v>
      </c>
      <c r="T846" s="3">
        <v>0</v>
      </c>
      <c r="U846" s="3">
        <v>100000</v>
      </c>
      <c r="V846" s="6" t="e">
        <f t="shared" si="499"/>
        <v>#DIV/0!</v>
      </c>
    </row>
    <row r="847" spans="1:22" ht="21" customHeight="1" x14ac:dyDescent="0.25">
      <c r="A847" s="37" t="s">
        <v>862</v>
      </c>
      <c r="B847" s="8" t="s">
        <v>156</v>
      </c>
      <c r="C847" s="2">
        <f t="shared" si="473"/>
        <v>1679106</v>
      </c>
      <c r="D847" s="3">
        <f t="shared" si="497"/>
        <v>0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4">
        <v>0</v>
      </c>
      <c r="L847" s="3">
        <v>0</v>
      </c>
      <c r="M847" s="3">
        <v>254.41</v>
      </c>
      <c r="N847" s="3">
        <f>M847*6600</f>
        <v>1679106</v>
      </c>
      <c r="O847" s="3">
        <v>0</v>
      </c>
      <c r="P847" s="3">
        <v>0</v>
      </c>
      <c r="Q847" s="3">
        <v>0</v>
      </c>
      <c r="R847" s="3">
        <f t="shared" si="498"/>
        <v>0</v>
      </c>
      <c r="S847" s="3">
        <v>0</v>
      </c>
      <c r="T847" s="3">
        <v>0</v>
      </c>
      <c r="U847" s="3">
        <v>0</v>
      </c>
      <c r="V847" s="6">
        <f t="shared" si="499"/>
        <v>6600</v>
      </c>
    </row>
    <row r="848" spans="1:22" ht="45" customHeight="1" x14ac:dyDescent="0.25">
      <c r="A848" s="54" t="s">
        <v>1217</v>
      </c>
      <c r="B848" s="54"/>
      <c r="C848" s="2">
        <f>SUM(C849)</f>
        <v>1578324</v>
      </c>
      <c r="D848" s="2">
        <f t="shared" ref="D848:U848" si="500">SUM(D849)</f>
        <v>0</v>
      </c>
      <c r="E848" s="2">
        <f t="shared" si="500"/>
        <v>0</v>
      </c>
      <c r="F848" s="2">
        <f t="shared" si="500"/>
        <v>0</v>
      </c>
      <c r="G848" s="2">
        <f t="shared" si="500"/>
        <v>0</v>
      </c>
      <c r="H848" s="2">
        <f t="shared" si="500"/>
        <v>0</v>
      </c>
      <c r="I848" s="2">
        <f t="shared" si="500"/>
        <v>0</v>
      </c>
      <c r="J848" s="2">
        <f t="shared" si="500"/>
        <v>0</v>
      </c>
      <c r="K848" s="14">
        <f t="shared" si="500"/>
        <v>0</v>
      </c>
      <c r="L848" s="2">
        <f t="shared" si="500"/>
        <v>0</v>
      </c>
      <c r="M848" s="2">
        <f t="shared" si="500"/>
        <v>239.14</v>
      </c>
      <c r="N848" s="2">
        <f t="shared" si="500"/>
        <v>1578324</v>
      </c>
      <c r="O848" s="2">
        <f t="shared" si="500"/>
        <v>0</v>
      </c>
      <c r="P848" s="2">
        <f t="shared" si="500"/>
        <v>0</v>
      </c>
      <c r="Q848" s="2">
        <f t="shared" si="500"/>
        <v>0</v>
      </c>
      <c r="R848" s="2">
        <f t="shared" si="500"/>
        <v>0</v>
      </c>
      <c r="S848" s="2">
        <f t="shared" si="500"/>
        <v>0</v>
      </c>
      <c r="T848" s="2">
        <f t="shared" si="500"/>
        <v>0</v>
      </c>
      <c r="U848" s="2">
        <f t="shared" si="500"/>
        <v>0</v>
      </c>
    </row>
    <row r="849" spans="1:22" ht="21.95" customHeight="1" x14ac:dyDescent="0.25">
      <c r="A849" s="37" t="s">
        <v>863</v>
      </c>
      <c r="B849" s="8" t="s">
        <v>160</v>
      </c>
      <c r="C849" s="2">
        <f t="shared" si="473"/>
        <v>1578324</v>
      </c>
      <c r="D849" s="3">
        <f t="shared" ref="D849" si="501">SUM(E849:J849)</f>
        <v>0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4">
        <v>0</v>
      </c>
      <c r="L849" s="3">
        <v>0</v>
      </c>
      <c r="M849" s="3">
        <v>239.14</v>
      </c>
      <c r="N849" s="3">
        <f>M849*6600</f>
        <v>1578324</v>
      </c>
      <c r="O849" s="3">
        <v>0</v>
      </c>
      <c r="P849" s="3">
        <v>0</v>
      </c>
      <c r="Q849" s="3">
        <v>0</v>
      </c>
      <c r="R849" s="3">
        <f>Q849*3200</f>
        <v>0</v>
      </c>
      <c r="S849" s="3">
        <v>0</v>
      </c>
      <c r="T849" s="3">
        <v>0</v>
      </c>
      <c r="U849" s="3">
        <v>0</v>
      </c>
      <c r="V849" s="6">
        <f t="shared" ref="V849" si="502">N849/M849</f>
        <v>6600</v>
      </c>
    </row>
    <row r="850" spans="1:22" ht="45" customHeight="1" x14ac:dyDescent="0.25">
      <c r="A850" s="54" t="s">
        <v>163</v>
      </c>
      <c r="B850" s="54"/>
      <c r="C850" s="2">
        <f>SUM(C851:C865)</f>
        <v>106981605</v>
      </c>
      <c r="D850" s="2">
        <f t="shared" ref="D850:U850" si="503">SUM(D851:D865)</f>
        <v>30986170</v>
      </c>
      <c r="E850" s="2">
        <f t="shared" si="503"/>
        <v>9266320</v>
      </c>
      <c r="F850" s="2">
        <f t="shared" si="503"/>
        <v>14860950</v>
      </c>
      <c r="G850" s="2">
        <f t="shared" si="503"/>
        <v>3429450</v>
      </c>
      <c r="H850" s="2">
        <f t="shared" si="503"/>
        <v>0</v>
      </c>
      <c r="I850" s="2">
        <f t="shared" si="503"/>
        <v>3429450</v>
      </c>
      <c r="J850" s="2">
        <f t="shared" si="503"/>
        <v>0</v>
      </c>
      <c r="K850" s="14">
        <f t="shared" si="503"/>
        <v>0</v>
      </c>
      <c r="L850" s="2">
        <f t="shared" si="503"/>
        <v>0</v>
      </c>
      <c r="M850" s="2">
        <f t="shared" si="503"/>
        <v>7297.6</v>
      </c>
      <c r="N850" s="2">
        <f t="shared" si="503"/>
        <v>46338595</v>
      </c>
      <c r="O850" s="2">
        <f t="shared" si="503"/>
        <v>507.1</v>
      </c>
      <c r="P850" s="2">
        <f t="shared" si="503"/>
        <v>608520</v>
      </c>
      <c r="Q850" s="2">
        <f t="shared" si="503"/>
        <v>8202.6</v>
      </c>
      <c r="R850" s="2">
        <f t="shared" si="503"/>
        <v>26248320</v>
      </c>
      <c r="S850" s="2">
        <f t="shared" si="503"/>
        <v>0</v>
      </c>
      <c r="T850" s="2">
        <f t="shared" si="503"/>
        <v>0</v>
      </c>
      <c r="U850" s="2">
        <f t="shared" si="503"/>
        <v>2800000</v>
      </c>
    </row>
    <row r="851" spans="1:22" ht="21.95" customHeight="1" x14ac:dyDescent="0.25">
      <c r="A851" s="37" t="s">
        <v>864</v>
      </c>
      <c r="B851" s="1" t="s">
        <v>191</v>
      </c>
      <c r="C851" s="2">
        <f t="shared" si="473"/>
        <v>6957720</v>
      </c>
      <c r="D851" s="3">
        <f t="shared" ref="D851:D865" si="504">SUM(E851:J851)</f>
        <v>0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4">
        <v>0</v>
      </c>
      <c r="L851" s="3">
        <v>0</v>
      </c>
      <c r="M851" s="3">
        <v>735.8</v>
      </c>
      <c r="N851" s="3">
        <f t="shared" ref="N851:N858" si="505">M851*6600</f>
        <v>4856280</v>
      </c>
      <c r="O851" s="3">
        <v>0</v>
      </c>
      <c r="P851" s="3">
        <f>O851*410</f>
        <v>0</v>
      </c>
      <c r="Q851" s="3">
        <v>656.7</v>
      </c>
      <c r="R851" s="3">
        <f t="shared" ref="R851:R865" si="506">Q851*3200</f>
        <v>2101440</v>
      </c>
      <c r="S851" s="3">
        <f>S902</f>
        <v>0</v>
      </c>
      <c r="T851" s="3">
        <v>0</v>
      </c>
      <c r="U851" s="3">
        <v>0</v>
      </c>
      <c r="V851" s="6">
        <f t="shared" ref="V851:V865" si="507">N851/M851</f>
        <v>6600</v>
      </c>
    </row>
    <row r="852" spans="1:22" ht="21.95" customHeight="1" x14ac:dyDescent="0.25">
      <c r="A852" s="37" t="s">
        <v>865</v>
      </c>
      <c r="B852" s="1" t="s">
        <v>192</v>
      </c>
      <c r="C852" s="2">
        <f t="shared" si="473"/>
        <v>6741800</v>
      </c>
      <c r="D852" s="3">
        <f t="shared" si="504"/>
        <v>2397720</v>
      </c>
      <c r="E852" s="3">
        <f>700*922.2</f>
        <v>645540</v>
      </c>
      <c r="F852" s="3">
        <f>1300*922.2</f>
        <v>1198860</v>
      </c>
      <c r="G852" s="3">
        <f>300*922.2</f>
        <v>276660</v>
      </c>
      <c r="H852" s="3">
        <v>0</v>
      </c>
      <c r="I852" s="3">
        <f>300*922.2</f>
        <v>276660</v>
      </c>
      <c r="J852" s="3">
        <v>0</v>
      </c>
      <c r="K852" s="4">
        <v>0</v>
      </c>
      <c r="L852" s="3">
        <v>0</v>
      </c>
      <c r="M852" s="3">
        <v>306.8</v>
      </c>
      <c r="N852" s="3">
        <f t="shared" si="505"/>
        <v>2024880</v>
      </c>
      <c r="O852" s="3">
        <v>0</v>
      </c>
      <c r="P852" s="3">
        <f>O852*410</f>
        <v>0</v>
      </c>
      <c r="Q852" s="3">
        <v>693.5</v>
      </c>
      <c r="R852" s="3">
        <f t="shared" si="506"/>
        <v>2219200</v>
      </c>
      <c r="S852" s="3">
        <f>S904</f>
        <v>0</v>
      </c>
      <c r="T852" s="3">
        <v>0</v>
      </c>
      <c r="U852" s="3">
        <v>100000</v>
      </c>
      <c r="V852" s="6">
        <f t="shared" si="507"/>
        <v>6600</v>
      </c>
    </row>
    <row r="853" spans="1:22" ht="21.95" customHeight="1" x14ac:dyDescent="0.25">
      <c r="A853" s="37" t="s">
        <v>866</v>
      </c>
      <c r="B853" s="1" t="s">
        <v>193</v>
      </c>
      <c r="C853" s="2">
        <f t="shared" si="473"/>
        <v>8024960</v>
      </c>
      <c r="D853" s="3">
        <f t="shared" si="504"/>
        <v>1039080.0000000001</v>
      </c>
      <c r="E853" s="3">
        <f>700*1484.4</f>
        <v>1039080.0000000001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4">
        <v>0</v>
      </c>
      <c r="L853" s="3">
        <v>0</v>
      </c>
      <c r="M853" s="3">
        <v>688.6</v>
      </c>
      <c r="N853" s="3">
        <f t="shared" si="505"/>
        <v>4544760</v>
      </c>
      <c r="O853" s="3">
        <v>0</v>
      </c>
      <c r="P853" s="3">
        <f>O853*410</f>
        <v>0</v>
      </c>
      <c r="Q853" s="3">
        <v>731.6</v>
      </c>
      <c r="R853" s="3">
        <f t="shared" si="506"/>
        <v>2341120</v>
      </c>
      <c r="S853" s="3">
        <f t="shared" ref="S853:S856" si="508">S907</f>
        <v>0</v>
      </c>
      <c r="T853" s="3">
        <v>0</v>
      </c>
      <c r="U853" s="3">
        <v>100000</v>
      </c>
      <c r="V853" s="6">
        <f t="shared" si="507"/>
        <v>6600</v>
      </c>
    </row>
    <row r="854" spans="1:22" ht="21.95" customHeight="1" x14ac:dyDescent="0.25">
      <c r="A854" s="37" t="s">
        <v>867</v>
      </c>
      <c r="B854" s="1" t="s">
        <v>194</v>
      </c>
      <c r="C854" s="2">
        <f t="shared" si="473"/>
        <v>8249480</v>
      </c>
      <c r="D854" s="3">
        <f t="shared" si="504"/>
        <v>3218800</v>
      </c>
      <c r="E854" s="3">
        <f>700*1238</f>
        <v>866600</v>
      </c>
      <c r="F854" s="3">
        <f>1300*1238</f>
        <v>1609400</v>
      </c>
      <c r="G854" s="3">
        <f>300*1238</f>
        <v>371400</v>
      </c>
      <c r="H854" s="3">
        <v>0</v>
      </c>
      <c r="I854" s="3">
        <f>300*1238</f>
        <v>371400</v>
      </c>
      <c r="J854" s="3">
        <f>350*0</f>
        <v>0</v>
      </c>
      <c r="K854" s="4">
        <v>0</v>
      </c>
      <c r="L854" s="3">
        <v>0</v>
      </c>
      <c r="M854" s="3">
        <v>476.2</v>
      </c>
      <c r="N854" s="3">
        <f t="shared" si="505"/>
        <v>3142920</v>
      </c>
      <c r="O854" s="3">
        <v>0</v>
      </c>
      <c r="P854" s="3">
        <f>O854*410</f>
        <v>0</v>
      </c>
      <c r="Q854" s="3">
        <v>324.3</v>
      </c>
      <c r="R854" s="3">
        <f t="shared" si="506"/>
        <v>1037760</v>
      </c>
      <c r="S854" s="3">
        <f t="shared" si="508"/>
        <v>0</v>
      </c>
      <c r="T854" s="3">
        <v>0</v>
      </c>
      <c r="U854" s="3">
        <v>850000</v>
      </c>
      <c r="V854" s="6">
        <f t="shared" si="507"/>
        <v>6600</v>
      </c>
    </row>
    <row r="855" spans="1:22" ht="21.95" customHeight="1" x14ac:dyDescent="0.25">
      <c r="A855" s="37" t="s">
        <v>868</v>
      </c>
      <c r="B855" s="1" t="s">
        <v>195</v>
      </c>
      <c r="C855" s="2">
        <f t="shared" si="473"/>
        <v>8889680</v>
      </c>
      <c r="D855" s="3">
        <f t="shared" si="504"/>
        <v>3406000</v>
      </c>
      <c r="E855" s="3">
        <f>700*1310</f>
        <v>917000</v>
      </c>
      <c r="F855" s="3">
        <f>1300*1310</f>
        <v>1703000</v>
      </c>
      <c r="G855" s="3">
        <f>300*1310</f>
        <v>393000</v>
      </c>
      <c r="H855" s="3">
        <v>0</v>
      </c>
      <c r="I855" s="3">
        <f>300*1310</f>
        <v>393000</v>
      </c>
      <c r="J855" s="3">
        <f>350*0</f>
        <v>0</v>
      </c>
      <c r="K855" s="4">
        <v>0</v>
      </c>
      <c r="L855" s="3">
        <v>0</v>
      </c>
      <c r="M855" s="3">
        <v>582.79999999999995</v>
      </c>
      <c r="N855" s="3">
        <f t="shared" si="505"/>
        <v>3846479.9999999995</v>
      </c>
      <c r="O855" s="3">
        <v>0</v>
      </c>
      <c r="P855" s="3">
        <f>O855*410</f>
        <v>0</v>
      </c>
      <c r="Q855" s="3">
        <v>246</v>
      </c>
      <c r="R855" s="3">
        <f t="shared" si="506"/>
        <v>787200</v>
      </c>
      <c r="S855" s="3">
        <f t="shared" si="508"/>
        <v>0</v>
      </c>
      <c r="T855" s="3">
        <v>0</v>
      </c>
      <c r="U855" s="3">
        <v>850000</v>
      </c>
      <c r="V855" s="6">
        <f t="shared" si="507"/>
        <v>6600</v>
      </c>
    </row>
    <row r="856" spans="1:22" ht="21.95" customHeight="1" x14ac:dyDescent="0.25">
      <c r="A856" s="37" t="s">
        <v>869</v>
      </c>
      <c r="B856" s="1" t="s">
        <v>196</v>
      </c>
      <c r="C856" s="2">
        <f t="shared" si="473"/>
        <v>2467050</v>
      </c>
      <c r="D856" s="3">
        <f t="shared" si="504"/>
        <v>225190</v>
      </c>
      <c r="E856" s="3">
        <f>700*321.7</f>
        <v>225190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4">
        <v>0</v>
      </c>
      <c r="L856" s="3">
        <v>0</v>
      </c>
      <c r="M856" s="3">
        <v>176.5</v>
      </c>
      <c r="N856" s="3">
        <f t="shared" si="505"/>
        <v>1164900</v>
      </c>
      <c r="O856" s="3">
        <v>0</v>
      </c>
      <c r="P856" s="3">
        <v>0</v>
      </c>
      <c r="Q856" s="3">
        <v>305.3</v>
      </c>
      <c r="R856" s="3">
        <f t="shared" si="506"/>
        <v>976960</v>
      </c>
      <c r="S856" s="3">
        <f t="shared" si="508"/>
        <v>0</v>
      </c>
      <c r="T856" s="3">
        <v>0</v>
      </c>
      <c r="U856" s="3">
        <v>100000</v>
      </c>
      <c r="V856" s="6">
        <f t="shared" si="507"/>
        <v>6600</v>
      </c>
    </row>
    <row r="857" spans="1:22" ht="21.95" customHeight="1" x14ac:dyDescent="0.25">
      <c r="A857" s="37" t="s">
        <v>870</v>
      </c>
      <c r="B857" s="1" t="s">
        <v>197</v>
      </c>
      <c r="C857" s="2">
        <f t="shared" si="473"/>
        <v>13685880</v>
      </c>
      <c r="D857" s="3">
        <f t="shared" si="504"/>
        <v>5680219.9999999991</v>
      </c>
      <c r="E857" s="3">
        <f>700*2184.7</f>
        <v>1529289.9999999998</v>
      </c>
      <c r="F857" s="3">
        <f>1300*2184.7</f>
        <v>2840109.9999999995</v>
      </c>
      <c r="G857" s="3">
        <f>300*2184.7</f>
        <v>655410</v>
      </c>
      <c r="H857" s="3">
        <v>0</v>
      </c>
      <c r="I857" s="3">
        <f>300*2184.7</f>
        <v>655410</v>
      </c>
      <c r="J857" s="3">
        <v>0</v>
      </c>
      <c r="K857" s="4">
        <v>0</v>
      </c>
      <c r="L857" s="3">
        <v>0</v>
      </c>
      <c r="M857" s="3">
        <v>657.9</v>
      </c>
      <c r="N857" s="3">
        <f t="shared" si="505"/>
        <v>4342140</v>
      </c>
      <c r="O857" s="3">
        <v>0</v>
      </c>
      <c r="P857" s="3">
        <v>0</v>
      </c>
      <c r="Q857" s="3">
        <v>1113.5999999999999</v>
      </c>
      <c r="R857" s="3">
        <f t="shared" si="506"/>
        <v>3563519.9999999995</v>
      </c>
      <c r="S857" s="3">
        <f>S912</f>
        <v>0</v>
      </c>
      <c r="T857" s="3">
        <v>0</v>
      </c>
      <c r="U857" s="3">
        <v>100000</v>
      </c>
      <c r="V857" s="6">
        <f t="shared" si="507"/>
        <v>6600</v>
      </c>
    </row>
    <row r="858" spans="1:22" ht="21.95" customHeight="1" x14ac:dyDescent="0.25">
      <c r="A858" s="37" t="s">
        <v>871</v>
      </c>
      <c r="B858" s="1" t="s">
        <v>198</v>
      </c>
      <c r="C858" s="2">
        <f t="shared" si="473"/>
        <v>8418120</v>
      </c>
      <c r="D858" s="3">
        <f t="shared" si="504"/>
        <v>2528500</v>
      </c>
      <c r="E858" s="3">
        <f>700*972.5</f>
        <v>680750</v>
      </c>
      <c r="F858" s="3">
        <f>1300*972.5</f>
        <v>1264250</v>
      </c>
      <c r="G858" s="3">
        <f>300*972.5</f>
        <v>291750</v>
      </c>
      <c r="H858" s="3">
        <v>0</v>
      </c>
      <c r="I858" s="3">
        <f>300*972.5</f>
        <v>291750</v>
      </c>
      <c r="J858" s="3">
        <v>0</v>
      </c>
      <c r="K858" s="4">
        <v>0</v>
      </c>
      <c r="L858" s="3">
        <v>0</v>
      </c>
      <c r="M858" s="3">
        <v>620.70000000000005</v>
      </c>
      <c r="N858" s="3">
        <f t="shared" si="505"/>
        <v>4096620.0000000005</v>
      </c>
      <c r="O858" s="3">
        <v>507.1</v>
      </c>
      <c r="P858" s="3">
        <f>O858*1200</f>
        <v>608520</v>
      </c>
      <c r="Q858" s="3">
        <v>338.9</v>
      </c>
      <c r="R858" s="3">
        <f t="shared" si="506"/>
        <v>1084480</v>
      </c>
      <c r="S858" s="3">
        <v>0</v>
      </c>
      <c r="T858" s="3">
        <v>0</v>
      </c>
      <c r="U858" s="3">
        <v>100000</v>
      </c>
      <c r="V858" s="6">
        <f t="shared" si="507"/>
        <v>6600</v>
      </c>
    </row>
    <row r="859" spans="1:22" ht="21.95" customHeight="1" x14ac:dyDescent="0.25">
      <c r="A859" s="37" t="s">
        <v>872</v>
      </c>
      <c r="B859" s="1" t="s">
        <v>199</v>
      </c>
      <c r="C859" s="2">
        <f t="shared" si="473"/>
        <v>200000</v>
      </c>
      <c r="D859" s="3">
        <f t="shared" si="504"/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4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f t="shared" si="506"/>
        <v>0</v>
      </c>
      <c r="S859" s="3">
        <v>0</v>
      </c>
      <c r="T859" s="3">
        <v>0</v>
      </c>
      <c r="U859" s="3">
        <v>200000</v>
      </c>
      <c r="V859" s="6" t="e">
        <f t="shared" si="507"/>
        <v>#DIV/0!</v>
      </c>
    </row>
    <row r="860" spans="1:22" ht="21.95" customHeight="1" x14ac:dyDescent="0.25">
      <c r="A860" s="37" t="s">
        <v>873</v>
      </c>
      <c r="B860" s="1" t="s">
        <v>200</v>
      </c>
      <c r="C860" s="2">
        <f t="shared" si="473"/>
        <v>3778495</v>
      </c>
      <c r="D860" s="3">
        <f t="shared" si="504"/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4">
        <v>0</v>
      </c>
      <c r="L860" s="3">
        <v>0</v>
      </c>
      <c r="M860" s="3">
        <v>849.1</v>
      </c>
      <c r="N860" s="3">
        <f>M860*4450</f>
        <v>3778495</v>
      </c>
      <c r="O860" s="3">
        <v>0</v>
      </c>
      <c r="P860" s="3">
        <v>0</v>
      </c>
      <c r="Q860" s="3">
        <v>0</v>
      </c>
      <c r="R860" s="3">
        <f t="shared" si="506"/>
        <v>0</v>
      </c>
      <c r="S860" s="3">
        <v>0</v>
      </c>
      <c r="T860" s="3">
        <v>0</v>
      </c>
      <c r="U860" s="3">
        <v>0</v>
      </c>
      <c r="V860" s="6">
        <f t="shared" si="507"/>
        <v>4450</v>
      </c>
    </row>
    <row r="861" spans="1:22" ht="21.95" customHeight="1" x14ac:dyDescent="0.25">
      <c r="A861" s="37" t="s">
        <v>874</v>
      </c>
      <c r="B861" s="21" t="s">
        <v>201</v>
      </c>
      <c r="C861" s="2">
        <f t="shared" si="473"/>
        <v>18578700</v>
      </c>
      <c r="D861" s="3">
        <f t="shared" si="504"/>
        <v>7004660</v>
      </c>
      <c r="E861" s="3">
        <f>700*2694.1</f>
        <v>1885870</v>
      </c>
      <c r="F861" s="3">
        <f>1300*2694.1</f>
        <v>3502330</v>
      </c>
      <c r="G861" s="3">
        <f>300*2694.1</f>
        <v>808230</v>
      </c>
      <c r="H861" s="3">
        <v>0</v>
      </c>
      <c r="I861" s="3">
        <f>300*2694.1</f>
        <v>808230</v>
      </c>
      <c r="J861" s="3">
        <v>0</v>
      </c>
      <c r="K861" s="4">
        <v>0</v>
      </c>
      <c r="L861" s="3">
        <v>0</v>
      </c>
      <c r="M861" s="3">
        <v>781.4</v>
      </c>
      <c r="N861" s="3">
        <f>M861*6600</f>
        <v>5157240</v>
      </c>
      <c r="O861" s="3">
        <v>0</v>
      </c>
      <c r="P861" s="3">
        <v>0</v>
      </c>
      <c r="Q861" s="3">
        <v>1974</v>
      </c>
      <c r="R861" s="3">
        <f t="shared" si="506"/>
        <v>6316800</v>
      </c>
      <c r="S861" s="3">
        <f t="shared" ref="S861" si="509">S914</f>
        <v>0</v>
      </c>
      <c r="T861" s="3">
        <v>0</v>
      </c>
      <c r="U861" s="3">
        <v>100000</v>
      </c>
      <c r="V861" s="6">
        <f t="shared" si="507"/>
        <v>6600</v>
      </c>
    </row>
    <row r="862" spans="1:22" ht="21.95" customHeight="1" x14ac:dyDescent="0.25">
      <c r="A862" s="37" t="s">
        <v>875</v>
      </c>
      <c r="B862" s="1" t="s">
        <v>205</v>
      </c>
      <c r="C862" s="2">
        <f t="shared" si="473"/>
        <v>4245560</v>
      </c>
      <c r="D862" s="3">
        <f t="shared" si="504"/>
        <v>0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4">
        <v>0</v>
      </c>
      <c r="L862" s="3">
        <v>0</v>
      </c>
      <c r="M862" s="3">
        <v>415</v>
      </c>
      <c r="N862" s="3">
        <f>M862*6600</f>
        <v>2739000</v>
      </c>
      <c r="O862" s="3">
        <v>0</v>
      </c>
      <c r="P862" s="3">
        <v>0</v>
      </c>
      <c r="Q862" s="3">
        <v>470.8</v>
      </c>
      <c r="R862" s="3">
        <f t="shared" si="506"/>
        <v>1506560</v>
      </c>
      <c r="S862" s="3">
        <f>S916</f>
        <v>0</v>
      </c>
      <c r="T862" s="3">
        <v>0</v>
      </c>
      <c r="U862" s="3">
        <v>0</v>
      </c>
      <c r="V862" s="6">
        <f t="shared" si="507"/>
        <v>6600</v>
      </c>
    </row>
    <row r="863" spans="1:22" ht="21.95" customHeight="1" x14ac:dyDescent="0.25">
      <c r="A863" s="37" t="s">
        <v>876</v>
      </c>
      <c r="B863" s="1" t="s">
        <v>202</v>
      </c>
      <c r="C863" s="2">
        <f t="shared" si="473"/>
        <v>5069500</v>
      </c>
      <c r="D863" s="3">
        <f t="shared" si="504"/>
        <v>1806220.0000000002</v>
      </c>
      <c r="E863" s="3">
        <f>700*694.7</f>
        <v>486290.00000000006</v>
      </c>
      <c r="F863" s="3">
        <f>1300*694.7</f>
        <v>903110.00000000012</v>
      </c>
      <c r="G863" s="3">
        <f>300*694.7</f>
        <v>208410</v>
      </c>
      <c r="H863" s="3">
        <v>0</v>
      </c>
      <c r="I863" s="3">
        <f>300*694.7</f>
        <v>208410</v>
      </c>
      <c r="J863" s="3">
        <v>0</v>
      </c>
      <c r="K863" s="4">
        <v>0</v>
      </c>
      <c r="L863" s="3">
        <v>0</v>
      </c>
      <c r="M863" s="3">
        <v>254.8</v>
      </c>
      <c r="N863" s="3">
        <f>M863*6600</f>
        <v>1681680</v>
      </c>
      <c r="O863" s="3">
        <v>0</v>
      </c>
      <c r="P863" s="3">
        <v>0</v>
      </c>
      <c r="Q863" s="3">
        <v>463</v>
      </c>
      <c r="R863" s="3">
        <f t="shared" si="506"/>
        <v>1481600</v>
      </c>
      <c r="S863" s="3">
        <f>S917</f>
        <v>0</v>
      </c>
      <c r="T863" s="3">
        <v>0</v>
      </c>
      <c r="U863" s="3">
        <v>100000</v>
      </c>
      <c r="V863" s="6">
        <f t="shared" si="507"/>
        <v>6600</v>
      </c>
    </row>
    <row r="864" spans="1:22" ht="21.95" customHeight="1" x14ac:dyDescent="0.25">
      <c r="A864" s="37" t="s">
        <v>877</v>
      </c>
      <c r="B864" s="1" t="s">
        <v>203</v>
      </c>
      <c r="C864" s="2">
        <f t="shared" si="473"/>
        <v>5957520</v>
      </c>
      <c r="D864" s="3">
        <f t="shared" si="504"/>
        <v>1823900</v>
      </c>
      <c r="E864" s="3">
        <f>700*701.5</f>
        <v>491050</v>
      </c>
      <c r="F864" s="3">
        <f>1300*701.5</f>
        <v>911950</v>
      </c>
      <c r="G864" s="3">
        <f>300*701.5</f>
        <v>210450</v>
      </c>
      <c r="H864" s="3">
        <v>0</v>
      </c>
      <c r="I864" s="3">
        <f>300*701.5</f>
        <v>210450</v>
      </c>
      <c r="J864" s="3">
        <v>0</v>
      </c>
      <c r="K864" s="4">
        <v>0</v>
      </c>
      <c r="L864" s="3">
        <v>0</v>
      </c>
      <c r="M864" s="3">
        <v>384.1</v>
      </c>
      <c r="N864" s="3">
        <f>M864*6600</f>
        <v>2535060</v>
      </c>
      <c r="O864" s="3">
        <v>0</v>
      </c>
      <c r="P864" s="3">
        <v>0</v>
      </c>
      <c r="Q864" s="3">
        <v>468.3</v>
      </c>
      <c r="R864" s="3">
        <f t="shared" si="506"/>
        <v>1498560</v>
      </c>
      <c r="S864" s="3">
        <f>S918</f>
        <v>0</v>
      </c>
      <c r="T864" s="3">
        <v>0</v>
      </c>
      <c r="U864" s="3">
        <v>100000</v>
      </c>
      <c r="V864" s="6">
        <f t="shared" si="507"/>
        <v>6600</v>
      </c>
    </row>
    <row r="865" spans="1:22" ht="21.95" customHeight="1" x14ac:dyDescent="0.25">
      <c r="A865" s="37" t="s">
        <v>878</v>
      </c>
      <c r="B865" s="1" t="s">
        <v>204</v>
      </c>
      <c r="C865" s="2">
        <f t="shared" si="473"/>
        <v>5717140</v>
      </c>
      <c r="D865" s="3">
        <f t="shared" si="504"/>
        <v>1855879.9999999998</v>
      </c>
      <c r="E865" s="3">
        <f>700*713.8</f>
        <v>499659.99999999994</v>
      </c>
      <c r="F865" s="3">
        <f>1300*713.8</f>
        <v>927939.99999999988</v>
      </c>
      <c r="G865" s="3">
        <f>300*713.8</f>
        <v>214140</v>
      </c>
      <c r="H865" s="3">
        <v>0</v>
      </c>
      <c r="I865" s="3">
        <f>300*713.8</f>
        <v>214140</v>
      </c>
      <c r="J865" s="3">
        <v>0</v>
      </c>
      <c r="K865" s="4">
        <v>0</v>
      </c>
      <c r="L865" s="3">
        <v>0</v>
      </c>
      <c r="M865" s="3">
        <v>367.9</v>
      </c>
      <c r="N865" s="3">
        <f>M865*6600</f>
        <v>2428140</v>
      </c>
      <c r="O865" s="3">
        <v>0</v>
      </c>
      <c r="P865" s="3">
        <v>0</v>
      </c>
      <c r="Q865" s="3">
        <v>416.6</v>
      </c>
      <c r="R865" s="3">
        <f t="shared" si="506"/>
        <v>1333120</v>
      </c>
      <c r="S865" s="3">
        <v>0</v>
      </c>
      <c r="T865" s="3">
        <v>0</v>
      </c>
      <c r="U865" s="3">
        <v>100000</v>
      </c>
      <c r="V865" s="6">
        <f t="shared" si="507"/>
        <v>6600</v>
      </c>
    </row>
    <row r="866" spans="1:22" ht="45" customHeight="1" x14ac:dyDescent="0.25">
      <c r="A866" s="54" t="s">
        <v>220</v>
      </c>
      <c r="B866" s="54"/>
      <c r="C866" s="2">
        <f>SUM(C867:C873)</f>
        <v>32675978</v>
      </c>
      <c r="D866" s="2">
        <f t="shared" ref="D866:U866" si="510">SUM(D870:D873)</f>
        <v>4024980</v>
      </c>
      <c r="E866" s="2">
        <f t="shared" si="510"/>
        <v>2546250</v>
      </c>
      <c r="F866" s="2">
        <f t="shared" si="510"/>
        <v>951600</v>
      </c>
      <c r="G866" s="2">
        <f t="shared" si="510"/>
        <v>307530</v>
      </c>
      <c r="H866" s="2">
        <f t="shared" si="510"/>
        <v>0</v>
      </c>
      <c r="I866" s="2">
        <f t="shared" si="510"/>
        <v>219600</v>
      </c>
      <c r="J866" s="2">
        <f t="shared" si="510"/>
        <v>0</v>
      </c>
      <c r="K866" s="14">
        <f t="shared" si="510"/>
        <v>0</v>
      </c>
      <c r="L866" s="2">
        <f t="shared" si="510"/>
        <v>0</v>
      </c>
      <c r="M866" s="2">
        <f t="shared" si="510"/>
        <v>987.75</v>
      </c>
      <c r="N866" s="2">
        <f t="shared" si="510"/>
        <v>6519150</v>
      </c>
      <c r="O866" s="2">
        <f t="shared" si="510"/>
        <v>0</v>
      </c>
      <c r="P866" s="2">
        <f t="shared" si="510"/>
        <v>0</v>
      </c>
      <c r="Q866" s="2">
        <f t="shared" si="510"/>
        <v>1310.9</v>
      </c>
      <c r="R866" s="2">
        <f t="shared" si="510"/>
        <v>4194880</v>
      </c>
      <c r="S866" s="2">
        <f t="shared" si="510"/>
        <v>0</v>
      </c>
      <c r="T866" s="2">
        <f t="shared" si="510"/>
        <v>0</v>
      </c>
      <c r="U866" s="2">
        <f t="shared" si="510"/>
        <v>400000</v>
      </c>
    </row>
    <row r="867" spans="1:22" ht="21.95" customHeight="1" x14ac:dyDescent="0.25">
      <c r="A867" s="37" t="s">
        <v>879</v>
      </c>
      <c r="B867" s="8" t="s">
        <v>211</v>
      </c>
      <c r="C867" s="2">
        <f t="shared" ref="C867" si="511">D867+L867+N867+P867+R867+S867+T867+U867</f>
        <v>5980981</v>
      </c>
      <c r="D867" s="3">
        <f t="shared" ref="D867" si="512">SUM(E867:J867)</f>
        <v>1357023</v>
      </c>
      <c r="E867" s="3">
        <f>700*590.01</f>
        <v>413007</v>
      </c>
      <c r="F867" s="3">
        <f>1300*590.01</f>
        <v>767013</v>
      </c>
      <c r="G867" s="3">
        <f>300*590.01</f>
        <v>177003</v>
      </c>
      <c r="H867" s="3">
        <v>0</v>
      </c>
      <c r="I867" s="3">
        <v>0</v>
      </c>
      <c r="J867" s="3">
        <f t="shared" ref="J867" si="513">350*0</f>
        <v>0</v>
      </c>
      <c r="K867" s="4">
        <v>0</v>
      </c>
      <c r="L867" s="3">
        <v>0</v>
      </c>
      <c r="M867" s="5">
        <v>432.03</v>
      </c>
      <c r="N867" s="3">
        <f>M867*6600</f>
        <v>2851398</v>
      </c>
      <c r="O867" s="3">
        <v>0</v>
      </c>
      <c r="P867" s="3">
        <v>0</v>
      </c>
      <c r="Q867" s="3">
        <v>475.8</v>
      </c>
      <c r="R867" s="3">
        <f t="shared" ref="R867:R873" si="514">Q867*3200</f>
        <v>1522560</v>
      </c>
      <c r="S867" s="3">
        <v>250000</v>
      </c>
      <c r="T867" s="3">
        <v>0</v>
      </c>
      <c r="U867" s="3">
        <v>0</v>
      </c>
      <c r="V867" s="6">
        <f t="shared" ref="V867" si="515">N867/M867</f>
        <v>6600</v>
      </c>
    </row>
    <row r="868" spans="1:22" ht="21.95" customHeight="1" x14ac:dyDescent="0.25">
      <c r="A868" s="37" t="s">
        <v>880</v>
      </c>
      <c r="B868" s="8" t="s">
        <v>212</v>
      </c>
      <c r="C868" s="2">
        <f t="shared" ref="C868:C869" si="516">D868+L868+N868+P868+R868+S868+T868+U868</f>
        <v>5787327</v>
      </c>
      <c r="D868" s="3">
        <f t="shared" ref="D868:D869" si="517">SUM(E868:J868)</f>
        <v>1341199</v>
      </c>
      <c r="E868" s="3">
        <f>700*583.13</f>
        <v>408191</v>
      </c>
      <c r="F868" s="3">
        <f>1300*583.13</f>
        <v>758069</v>
      </c>
      <c r="G868" s="3">
        <f>300*583.13</f>
        <v>174939</v>
      </c>
      <c r="H868" s="3">
        <v>0</v>
      </c>
      <c r="I868" s="3">
        <v>0</v>
      </c>
      <c r="J868" s="3">
        <f t="shared" ref="J868:J869" si="518">350*0</f>
        <v>0</v>
      </c>
      <c r="K868" s="4">
        <v>0</v>
      </c>
      <c r="L868" s="3">
        <v>0</v>
      </c>
      <c r="M868" s="5">
        <v>427.28</v>
      </c>
      <c r="N868" s="3">
        <f>M868*6600</f>
        <v>2820048</v>
      </c>
      <c r="O868" s="3">
        <v>0</v>
      </c>
      <c r="P868" s="3">
        <v>0</v>
      </c>
      <c r="Q868" s="3">
        <v>476.9</v>
      </c>
      <c r="R868" s="3">
        <f t="shared" si="514"/>
        <v>1526080</v>
      </c>
      <c r="S868" s="3">
        <v>0</v>
      </c>
      <c r="T868" s="3">
        <v>0</v>
      </c>
      <c r="U868" s="3">
        <v>100000</v>
      </c>
      <c r="V868" s="6">
        <f t="shared" ref="V868:V869" si="519">N868/M868</f>
        <v>6600</v>
      </c>
    </row>
    <row r="869" spans="1:22" ht="21.95" customHeight="1" x14ac:dyDescent="0.25">
      <c r="A869" s="37" t="s">
        <v>881</v>
      </c>
      <c r="B869" s="8" t="s">
        <v>213</v>
      </c>
      <c r="C869" s="2">
        <f t="shared" si="516"/>
        <v>5768660</v>
      </c>
      <c r="D869" s="3">
        <f t="shared" si="517"/>
        <v>981410</v>
      </c>
      <c r="E869" s="3">
        <f>700*426.7</f>
        <v>298690</v>
      </c>
      <c r="F869" s="3">
        <f>1300*426.7</f>
        <v>554710</v>
      </c>
      <c r="G869" s="3">
        <f>300*426.7</f>
        <v>128010</v>
      </c>
      <c r="H869" s="3">
        <v>0</v>
      </c>
      <c r="I869" s="3">
        <v>0</v>
      </c>
      <c r="J869" s="3">
        <f t="shared" si="518"/>
        <v>0</v>
      </c>
      <c r="K869" s="11">
        <v>0</v>
      </c>
      <c r="L869" s="5">
        <v>0</v>
      </c>
      <c r="M869" s="5">
        <v>554.65</v>
      </c>
      <c r="N869" s="3">
        <f>M869*6600</f>
        <v>3660690</v>
      </c>
      <c r="O869" s="5">
        <v>0</v>
      </c>
      <c r="P869" s="5">
        <v>0</v>
      </c>
      <c r="Q869" s="5">
        <v>320.8</v>
      </c>
      <c r="R869" s="3">
        <f t="shared" si="514"/>
        <v>1026560</v>
      </c>
      <c r="S869" s="5">
        <v>0</v>
      </c>
      <c r="T869" s="3">
        <v>0</v>
      </c>
      <c r="U869" s="5">
        <v>100000</v>
      </c>
      <c r="V869" s="6">
        <f t="shared" si="519"/>
        <v>6600</v>
      </c>
    </row>
    <row r="870" spans="1:22" ht="21.95" customHeight="1" x14ac:dyDescent="0.25">
      <c r="A870" s="37" t="s">
        <v>882</v>
      </c>
      <c r="B870" s="8" t="s">
        <v>217</v>
      </c>
      <c r="C870" s="2">
        <f t="shared" si="473"/>
        <v>4374600</v>
      </c>
      <c r="D870" s="3">
        <f t="shared" ref="D870:D873" si="520">SUM(E870:J870)</f>
        <v>293100</v>
      </c>
      <c r="E870" s="3">
        <f>700*293.1</f>
        <v>205170.00000000003</v>
      </c>
      <c r="F870" s="3">
        <v>0</v>
      </c>
      <c r="G870" s="3">
        <f>300*293.1</f>
        <v>87930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371.5</v>
      </c>
      <c r="N870" s="3">
        <f>M870*6600</f>
        <v>2451900</v>
      </c>
      <c r="O870" s="3">
        <v>0</v>
      </c>
      <c r="P870" s="3">
        <v>0</v>
      </c>
      <c r="Q870" s="3">
        <v>478</v>
      </c>
      <c r="R870" s="3">
        <f t="shared" si="514"/>
        <v>1529600</v>
      </c>
      <c r="S870" s="3">
        <v>0</v>
      </c>
      <c r="T870" s="3">
        <v>0</v>
      </c>
      <c r="U870" s="3">
        <v>100000</v>
      </c>
      <c r="V870" s="6">
        <f t="shared" ref="V870:V873" si="521">N870/M870</f>
        <v>6600</v>
      </c>
    </row>
    <row r="871" spans="1:22" ht="21.95" customHeight="1" x14ac:dyDescent="0.25">
      <c r="A871" s="37" t="s">
        <v>883</v>
      </c>
      <c r="B871" s="8" t="s">
        <v>1286</v>
      </c>
      <c r="C871" s="2">
        <f t="shared" ref="C871" si="522">D871+L871+N871+P871+R871+S871+T871+U871</f>
        <v>1928680</v>
      </c>
      <c r="D871" s="3">
        <f t="shared" ref="D871" si="523">SUM(E871:J871)</f>
        <v>1828680</v>
      </c>
      <c r="E871" s="3">
        <f>700*2612.4</f>
        <v>1828680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4">
        <v>0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3">
        <f t="shared" si="514"/>
        <v>0</v>
      </c>
      <c r="S871" s="3">
        <v>0</v>
      </c>
      <c r="T871" s="3">
        <v>0</v>
      </c>
      <c r="U871" s="3">
        <v>100000</v>
      </c>
      <c r="V871" s="6" t="e">
        <f t="shared" si="521"/>
        <v>#DIV/0!</v>
      </c>
    </row>
    <row r="872" spans="1:22" ht="21.95" customHeight="1" x14ac:dyDescent="0.25">
      <c r="A872" s="37" t="s">
        <v>884</v>
      </c>
      <c r="B872" s="8" t="s">
        <v>218</v>
      </c>
      <c r="C872" s="2">
        <f t="shared" si="473"/>
        <v>5224880</v>
      </c>
      <c r="D872" s="3">
        <f t="shared" si="520"/>
        <v>1141140</v>
      </c>
      <c r="E872" s="3">
        <f>700*438.9</f>
        <v>307230</v>
      </c>
      <c r="F872" s="3">
        <f>1300*438.9</f>
        <v>570570</v>
      </c>
      <c r="G872" s="3">
        <f>300*438.9</f>
        <v>131670</v>
      </c>
      <c r="H872" s="3">
        <v>0</v>
      </c>
      <c r="I872" s="3">
        <f>300*438.9</f>
        <v>131670</v>
      </c>
      <c r="J872" s="3">
        <v>0</v>
      </c>
      <c r="K872" s="4">
        <v>0</v>
      </c>
      <c r="L872" s="3">
        <v>0</v>
      </c>
      <c r="M872" s="3">
        <v>371.5</v>
      </c>
      <c r="N872" s="3">
        <f>M872*6600</f>
        <v>2451900</v>
      </c>
      <c r="O872" s="3">
        <v>0</v>
      </c>
      <c r="P872" s="3">
        <v>0</v>
      </c>
      <c r="Q872" s="3">
        <v>478.7</v>
      </c>
      <c r="R872" s="3">
        <f t="shared" si="514"/>
        <v>1531840</v>
      </c>
      <c r="S872" s="3">
        <v>0</v>
      </c>
      <c r="T872" s="3">
        <v>0</v>
      </c>
      <c r="U872" s="3">
        <v>100000</v>
      </c>
      <c r="V872" s="6">
        <f t="shared" si="521"/>
        <v>6600</v>
      </c>
    </row>
    <row r="873" spans="1:22" ht="21.95" customHeight="1" x14ac:dyDescent="0.25">
      <c r="A873" s="37" t="s">
        <v>885</v>
      </c>
      <c r="B873" s="8" t="s">
        <v>219</v>
      </c>
      <c r="C873" s="2">
        <f t="shared" si="473"/>
        <v>3610850</v>
      </c>
      <c r="D873" s="3">
        <f t="shared" si="520"/>
        <v>762060.00000000012</v>
      </c>
      <c r="E873" s="3">
        <f>700*293.1</f>
        <v>205170.00000000003</v>
      </c>
      <c r="F873" s="3">
        <f>1300*293.1</f>
        <v>381030.00000000006</v>
      </c>
      <c r="G873" s="3">
        <f>300*293.1</f>
        <v>87930</v>
      </c>
      <c r="H873" s="3">
        <v>0</v>
      </c>
      <c r="I873" s="3">
        <f>300*293.1</f>
        <v>87930</v>
      </c>
      <c r="J873" s="3">
        <v>0</v>
      </c>
      <c r="K873" s="4">
        <v>0</v>
      </c>
      <c r="L873" s="3">
        <v>0</v>
      </c>
      <c r="M873" s="3">
        <v>244.75</v>
      </c>
      <c r="N873" s="3">
        <f>M873*6600</f>
        <v>1615350</v>
      </c>
      <c r="O873" s="3">
        <v>0</v>
      </c>
      <c r="P873" s="3">
        <v>0</v>
      </c>
      <c r="Q873" s="3">
        <v>354.2</v>
      </c>
      <c r="R873" s="3">
        <f t="shared" si="514"/>
        <v>1133440</v>
      </c>
      <c r="S873" s="3">
        <v>0</v>
      </c>
      <c r="T873" s="3">
        <v>0</v>
      </c>
      <c r="U873" s="3">
        <v>100000</v>
      </c>
      <c r="V873" s="6">
        <f t="shared" si="521"/>
        <v>6600</v>
      </c>
    </row>
    <row r="874" spans="1:22" ht="45" customHeight="1" x14ac:dyDescent="0.25">
      <c r="A874" s="54" t="s">
        <v>224</v>
      </c>
      <c r="B874" s="54"/>
      <c r="C874" s="2">
        <f>SUM(C875:C878)</f>
        <v>14918228</v>
      </c>
      <c r="D874" s="2">
        <f t="shared" ref="D874:U874" si="524">SUM(D875:D878)</f>
        <v>1469060</v>
      </c>
      <c r="E874" s="2">
        <f t="shared" si="524"/>
        <v>859040</v>
      </c>
      <c r="F874" s="2">
        <f t="shared" si="524"/>
        <v>0</v>
      </c>
      <c r="G874" s="2">
        <f t="shared" si="524"/>
        <v>305010</v>
      </c>
      <c r="H874" s="2">
        <f t="shared" si="524"/>
        <v>0</v>
      </c>
      <c r="I874" s="2">
        <f t="shared" si="524"/>
        <v>305010</v>
      </c>
      <c r="J874" s="2">
        <f t="shared" si="524"/>
        <v>0</v>
      </c>
      <c r="K874" s="14">
        <f t="shared" si="524"/>
        <v>0</v>
      </c>
      <c r="L874" s="2">
        <f t="shared" si="524"/>
        <v>0</v>
      </c>
      <c r="M874" s="2">
        <f t="shared" si="524"/>
        <v>1110.56</v>
      </c>
      <c r="N874" s="2">
        <f t="shared" si="524"/>
        <v>7329696</v>
      </c>
      <c r="O874" s="2">
        <f t="shared" si="524"/>
        <v>0</v>
      </c>
      <c r="P874" s="2">
        <f t="shared" si="524"/>
        <v>0</v>
      </c>
      <c r="Q874" s="2">
        <f t="shared" si="524"/>
        <v>1502.8400000000001</v>
      </c>
      <c r="R874" s="2">
        <f t="shared" si="524"/>
        <v>4809088</v>
      </c>
      <c r="S874" s="2">
        <f t="shared" si="524"/>
        <v>510384</v>
      </c>
      <c r="T874" s="2">
        <f t="shared" si="524"/>
        <v>0</v>
      </c>
      <c r="U874" s="2">
        <f t="shared" si="524"/>
        <v>800000</v>
      </c>
    </row>
    <row r="875" spans="1:22" ht="21.95" customHeight="1" x14ac:dyDescent="0.25">
      <c r="A875" s="37" t="s">
        <v>886</v>
      </c>
      <c r="B875" s="8" t="s">
        <v>231</v>
      </c>
      <c r="C875" s="2">
        <f t="shared" si="473"/>
        <v>4508224</v>
      </c>
      <c r="D875" s="3">
        <f t="shared" ref="D875:D878" si="525">SUM(E875:J875)</f>
        <v>542100</v>
      </c>
      <c r="E875" s="3">
        <f>700*417</f>
        <v>291900</v>
      </c>
      <c r="F875" s="3">
        <v>0</v>
      </c>
      <c r="G875" s="3">
        <f>300*417</f>
        <v>125100</v>
      </c>
      <c r="H875" s="3">
        <v>0</v>
      </c>
      <c r="I875" s="3">
        <f>300*417</f>
        <v>125100</v>
      </c>
      <c r="J875" s="3">
        <f>350*0</f>
        <v>0</v>
      </c>
      <c r="K875" s="4">
        <v>0</v>
      </c>
      <c r="L875" s="3">
        <v>0</v>
      </c>
      <c r="M875" s="3">
        <v>347.64</v>
      </c>
      <c r="N875" s="3">
        <f>M875*6600</f>
        <v>2294424</v>
      </c>
      <c r="O875" s="3">
        <v>0</v>
      </c>
      <c r="P875" s="3">
        <v>0</v>
      </c>
      <c r="Q875" s="3">
        <v>442.2</v>
      </c>
      <c r="R875" s="3">
        <f t="shared" ref="R875:R878" si="526">Q875*3200</f>
        <v>1415040</v>
      </c>
      <c r="S875" s="3">
        <v>156660</v>
      </c>
      <c r="T875" s="3">
        <v>0</v>
      </c>
      <c r="U875" s="3">
        <v>100000</v>
      </c>
      <c r="V875" s="6">
        <f t="shared" ref="V875:V878" si="527">N875/M875</f>
        <v>6600</v>
      </c>
    </row>
    <row r="876" spans="1:22" ht="21.95" customHeight="1" x14ac:dyDescent="0.25">
      <c r="A876" s="37" t="s">
        <v>887</v>
      </c>
      <c r="B876" s="8" t="s">
        <v>234</v>
      </c>
      <c r="C876" s="2">
        <f>D876+L876+N876+P876+R876+S876+T876+U876</f>
        <v>3304422</v>
      </c>
      <c r="D876" s="3">
        <f>SUM(E876:J876)</f>
        <v>389870</v>
      </c>
      <c r="E876" s="3">
        <f>700*299.9</f>
        <v>209929.99999999997</v>
      </c>
      <c r="F876" s="3">
        <v>0</v>
      </c>
      <c r="G876" s="3">
        <f>300*299.9</f>
        <v>89970</v>
      </c>
      <c r="H876" s="3">
        <v>0</v>
      </c>
      <c r="I876" s="3">
        <f>300*299.9</f>
        <v>89970</v>
      </c>
      <c r="J876" s="3">
        <f>350*0</f>
        <v>0</v>
      </c>
      <c r="K876" s="4">
        <v>0</v>
      </c>
      <c r="L876" s="3">
        <v>0</v>
      </c>
      <c r="M876" s="3">
        <v>238.62</v>
      </c>
      <c r="N876" s="3">
        <f>M876*6600</f>
        <v>1574892</v>
      </c>
      <c r="O876" s="3">
        <v>0</v>
      </c>
      <c r="P876" s="3">
        <v>0</v>
      </c>
      <c r="Q876" s="3">
        <v>349.2</v>
      </c>
      <c r="R876" s="3">
        <f t="shared" si="526"/>
        <v>1117440</v>
      </c>
      <c r="S876" s="3">
        <v>122220</v>
      </c>
      <c r="T876" s="3">
        <v>0</v>
      </c>
      <c r="U876" s="3">
        <v>100000</v>
      </c>
      <c r="V876" s="6">
        <f>N876/M876</f>
        <v>6600</v>
      </c>
    </row>
    <row r="877" spans="1:22" ht="21.95" customHeight="1" x14ac:dyDescent="0.25">
      <c r="A877" s="37" t="s">
        <v>888</v>
      </c>
      <c r="B877" s="8" t="s">
        <v>232</v>
      </c>
      <c r="C877" s="2">
        <f t="shared" si="473"/>
        <v>3620606</v>
      </c>
      <c r="D877" s="3">
        <f t="shared" si="525"/>
        <v>389740</v>
      </c>
      <c r="E877" s="3">
        <f>700*299.8</f>
        <v>209860</v>
      </c>
      <c r="F877" s="3">
        <v>0</v>
      </c>
      <c r="G877" s="3">
        <f>300*299.8</f>
        <v>89940</v>
      </c>
      <c r="H877" s="3">
        <v>0</v>
      </c>
      <c r="I877" s="3">
        <f>300*299.8</f>
        <v>89940</v>
      </c>
      <c r="J877" s="3">
        <f>350*0</f>
        <v>0</v>
      </c>
      <c r="K877" s="4">
        <v>0</v>
      </c>
      <c r="L877" s="3">
        <v>0</v>
      </c>
      <c r="M877" s="3">
        <v>255.83</v>
      </c>
      <c r="N877" s="3">
        <f>M877*6600</f>
        <v>1688478</v>
      </c>
      <c r="O877" s="3">
        <v>0</v>
      </c>
      <c r="P877" s="3">
        <v>0</v>
      </c>
      <c r="Q877" s="3">
        <v>350</v>
      </c>
      <c r="R877" s="3">
        <f t="shared" si="526"/>
        <v>1120000</v>
      </c>
      <c r="S877" s="3">
        <v>122388</v>
      </c>
      <c r="T877" s="3">
        <v>0</v>
      </c>
      <c r="U877" s="3">
        <v>300000</v>
      </c>
      <c r="V877" s="6">
        <f t="shared" si="527"/>
        <v>6600</v>
      </c>
    </row>
    <row r="878" spans="1:22" ht="21.95" customHeight="1" x14ac:dyDescent="0.25">
      <c r="A878" s="37" t="s">
        <v>889</v>
      </c>
      <c r="B878" s="8" t="s">
        <v>235</v>
      </c>
      <c r="C878" s="2">
        <f t="shared" si="473"/>
        <v>3484976</v>
      </c>
      <c r="D878" s="3">
        <f t="shared" si="525"/>
        <v>147350</v>
      </c>
      <c r="E878" s="3">
        <f>700*210.5</f>
        <v>147350</v>
      </c>
      <c r="F878" s="3">
        <v>0</v>
      </c>
      <c r="G878" s="3">
        <v>0</v>
      </c>
      <c r="H878" s="3">
        <v>0</v>
      </c>
      <c r="I878" s="3">
        <v>0</v>
      </c>
      <c r="J878" s="3">
        <f>350*0</f>
        <v>0</v>
      </c>
      <c r="K878" s="4">
        <v>0</v>
      </c>
      <c r="L878" s="3">
        <v>0</v>
      </c>
      <c r="M878" s="3">
        <v>268.47000000000003</v>
      </c>
      <c r="N878" s="3">
        <f>M878*6600</f>
        <v>1771902.0000000002</v>
      </c>
      <c r="O878" s="3">
        <v>0</v>
      </c>
      <c r="P878" s="3">
        <v>0</v>
      </c>
      <c r="Q878" s="3">
        <v>361.44</v>
      </c>
      <c r="R878" s="3">
        <f t="shared" si="526"/>
        <v>1156608</v>
      </c>
      <c r="S878" s="3">
        <v>109116</v>
      </c>
      <c r="T878" s="3">
        <v>0</v>
      </c>
      <c r="U878" s="3">
        <v>300000</v>
      </c>
      <c r="V878" s="6">
        <f t="shared" si="527"/>
        <v>6600</v>
      </c>
    </row>
    <row r="879" spans="1:22" ht="45" customHeight="1" x14ac:dyDescent="0.25">
      <c r="A879" s="54" t="s">
        <v>241</v>
      </c>
      <c r="B879" s="54"/>
      <c r="C879" s="2">
        <f>SUM(C880:C881)</f>
        <v>7136460</v>
      </c>
      <c r="D879" s="2">
        <f t="shared" ref="D879:U879" si="528">SUM(D880:D881)</f>
        <v>707980</v>
      </c>
      <c r="E879" s="2">
        <f t="shared" si="528"/>
        <v>190610</v>
      </c>
      <c r="F879" s="2">
        <f t="shared" si="528"/>
        <v>353990</v>
      </c>
      <c r="G879" s="2">
        <f t="shared" si="528"/>
        <v>81690</v>
      </c>
      <c r="H879" s="2">
        <f t="shared" si="528"/>
        <v>0</v>
      </c>
      <c r="I879" s="2">
        <f t="shared" si="528"/>
        <v>81690</v>
      </c>
      <c r="J879" s="2">
        <f t="shared" si="528"/>
        <v>0</v>
      </c>
      <c r="K879" s="45">
        <f t="shared" si="528"/>
        <v>0</v>
      </c>
      <c r="L879" s="2">
        <f t="shared" si="528"/>
        <v>0</v>
      </c>
      <c r="M879" s="2">
        <f t="shared" si="528"/>
        <v>772</v>
      </c>
      <c r="N879" s="2">
        <f t="shared" si="528"/>
        <v>5095200</v>
      </c>
      <c r="O879" s="2">
        <f t="shared" si="528"/>
        <v>0</v>
      </c>
      <c r="P879" s="2">
        <f t="shared" si="528"/>
        <v>0</v>
      </c>
      <c r="Q879" s="2">
        <f t="shared" si="528"/>
        <v>335</v>
      </c>
      <c r="R879" s="2">
        <f t="shared" si="528"/>
        <v>1072000</v>
      </c>
      <c r="S879" s="2">
        <f t="shared" si="528"/>
        <v>161280</v>
      </c>
      <c r="T879" s="2">
        <f t="shared" si="528"/>
        <v>0</v>
      </c>
      <c r="U879" s="2">
        <f t="shared" si="528"/>
        <v>100000</v>
      </c>
      <c r="V879" s="18">
        <f>C879</f>
        <v>7136460</v>
      </c>
    </row>
    <row r="880" spans="1:22" ht="21.95" customHeight="1" x14ac:dyDescent="0.25">
      <c r="A880" s="37" t="s">
        <v>890</v>
      </c>
      <c r="B880" s="8" t="s">
        <v>1533</v>
      </c>
      <c r="C880" s="2">
        <f t="shared" ref="C880" si="529">D880+L880+N880+P880+R880+S880+T880+U880</f>
        <v>3300000</v>
      </c>
      <c r="D880" s="3">
        <f t="shared" ref="D880" si="530">SUM(E880:J880)</f>
        <v>0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f>350*0</f>
        <v>0</v>
      </c>
      <c r="K880" s="4">
        <v>0</v>
      </c>
      <c r="L880" s="3">
        <v>0</v>
      </c>
      <c r="M880" s="3">
        <v>500</v>
      </c>
      <c r="N880" s="3">
        <f>M880*6600</f>
        <v>3300000</v>
      </c>
      <c r="O880" s="3">
        <v>0</v>
      </c>
      <c r="P880" s="3">
        <v>0</v>
      </c>
      <c r="Q880" s="3">
        <v>0</v>
      </c>
      <c r="R880" s="3">
        <f t="shared" ref="R880:R881" si="531">Q880*3200</f>
        <v>0</v>
      </c>
      <c r="S880" s="3">
        <v>0</v>
      </c>
      <c r="T880" s="3">
        <v>0</v>
      </c>
      <c r="U880" s="3">
        <v>0</v>
      </c>
      <c r="V880" s="6">
        <f t="shared" ref="V880" si="532">N880/M880</f>
        <v>6600</v>
      </c>
    </row>
    <row r="881" spans="1:22" ht="21.95" customHeight="1" x14ac:dyDescent="0.25">
      <c r="A881" s="37" t="s">
        <v>891</v>
      </c>
      <c r="B881" s="8" t="s">
        <v>240</v>
      </c>
      <c r="C881" s="2">
        <f t="shared" si="473"/>
        <v>3836460</v>
      </c>
      <c r="D881" s="3">
        <f t="shared" ref="D881" si="533">SUM(E881:J881)</f>
        <v>707980</v>
      </c>
      <c r="E881" s="3">
        <f>700*272.3</f>
        <v>190610</v>
      </c>
      <c r="F881" s="3">
        <f>1300*272.3</f>
        <v>353990</v>
      </c>
      <c r="G881" s="3">
        <f>300*272.3</f>
        <v>81690</v>
      </c>
      <c r="H881" s="3">
        <v>0</v>
      </c>
      <c r="I881" s="3">
        <f>300*272.3</f>
        <v>81690</v>
      </c>
      <c r="J881" s="3">
        <f>350*0</f>
        <v>0</v>
      </c>
      <c r="K881" s="4">
        <v>0</v>
      </c>
      <c r="L881" s="3">
        <v>0</v>
      </c>
      <c r="M881" s="3">
        <v>272</v>
      </c>
      <c r="N881" s="3">
        <f>M881*6600</f>
        <v>1795200</v>
      </c>
      <c r="O881" s="3">
        <v>0</v>
      </c>
      <c r="P881" s="3">
        <v>0</v>
      </c>
      <c r="Q881" s="3">
        <v>335</v>
      </c>
      <c r="R881" s="3">
        <f t="shared" si="531"/>
        <v>1072000</v>
      </c>
      <c r="S881" s="3">
        <v>161280</v>
      </c>
      <c r="T881" s="3">
        <v>0</v>
      </c>
      <c r="U881" s="3">
        <v>100000</v>
      </c>
      <c r="V881" s="6">
        <f t="shared" ref="V881" si="534">N881/M881</f>
        <v>6600</v>
      </c>
    </row>
    <row r="882" spans="1:22" ht="45" customHeight="1" x14ac:dyDescent="0.25">
      <c r="A882" s="54" t="s">
        <v>266</v>
      </c>
      <c r="B882" s="54"/>
      <c r="C882" s="2">
        <f>SUM(C883:C896)</f>
        <v>89259601.5</v>
      </c>
      <c r="D882" s="2">
        <f t="shared" ref="D882:U882" si="535">SUM(D883:D896)</f>
        <v>33150770</v>
      </c>
      <c r="E882" s="2">
        <f t="shared" si="535"/>
        <v>9151870</v>
      </c>
      <c r="F882" s="2">
        <f t="shared" si="535"/>
        <v>16996330</v>
      </c>
      <c r="G882" s="2">
        <f t="shared" si="535"/>
        <v>3080340</v>
      </c>
      <c r="H882" s="2">
        <f t="shared" si="535"/>
        <v>0</v>
      </c>
      <c r="I882" s="2">
        <f t="shared" si="535"/>
        <v>3922230</v>
      </c>
      <c r="J882" s="2">
        <f t="shared" si="535"/>
        <v>0</v>
      </c>
      <c r="K882" s="14">
        <f t="shared" si="535"/>
        <v>0</v>
      </c>
      <c r="L882" s="2">
        <f t="shared" si="535"/>
        <v>0</v>
      </c>
      <c r="M882" s="2">
        <f t="shared" si="535"/>
        <v>5650.0199999999995</v>
      </c>
      <c r="N882" s="2">
        <f t="shared" si="535"/>
        <v>30530295.5</v>
      </c>
      <c r="O882" s="2">
        <f t="shared" si="535"/>
        <v>341.9</v>
      </c>
      <c r="P882" s="2">
        <f t="shared" si="535"/>
        <v>410280</v>
      </c>
      <c r="Q882" s="2">
        <f t="shared" si="535"/>
        <v>7458.83</v>
      </c>
      <c r="R882" s="2">
        <f t="shared" si="535"/>
        <v>23868256</v>
      </c>
      <c r="S882" s="2">
        <f t="shared" si="535"/>
        <v>500000</v>
      </c>
      <c r="T882" s="2">
        <f t="shared" si="535"/>
        <v>0</v>
      </c>
      <c r="U882" s="2">
        <f t="shared" si="535"/>
        <v>800000</v>
      </c>
    </row>
    <row r="883" spans="1:22" ht="24" customHeight="1" x14ac:dyDescent="0.25">
      <c r="A883" s="37" t="s">
        <v>892</v>
      </c>
      <c r="B883" s="8" t="s">
        <v>1204</v>
      </c>
      <c r="C883" s="2">
        <f t="shared" si="473"/>
        <v>4324580</v>
      </c>
      <c r="D883" s="3">
        <f t="shared" ref="D883:D896" si="536">SUM(E883:J883)</f>
        <v>4324580</v>
      </c>
      <c r="E883" s="3">
        <f>700*1663.3</f>
        <v>1164310</v>
      </c>
      <c r="F883" s="3">
        <f>1300*1663.3</f>
        <v>2162290</v>
      </c>
      <c r="G883" s="3">
        <f>300*1663.3</f>
        <v>498990</v>
      </c>
      <c r="H883" s="3">
        <v>0</v>
      </c>
      <c r="I883" s="3">
        <f>300*1663.3</f>
        <v>498990</v>
      </c>
      <c r="J883" s="3">
        <v>0</v>
      </c>
      <c r="K883" s="11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3">
        <f t="shared" ref="R883:R896" si="537">Q883*3200</f>
        <v>0</v>
      </c>
      <c r="S883" s="5">
        <v>0</v>
      </c>
      <c r="T883" s="5">
        <v>0</v>
      </c>
      <c r="U883" s="5">
        <v>0</v>
      </c>
      <c r="V883" s="6" t="e">
        <f t="shared" ref="V883:V896" si="538">N883/M883</f>
        <v>#DIV/0!</v>
      </c>
    </row>
    <row r="884" spans="1:22" ht="21.95" customHeight="1" x14ac:dyDescent="0.25">
      <c r="A884" s="37" t="s">
        <v>893</v>
      </c>
      <c r="B884" s="8" t="s">
        <v>1191</v>
      </c>
      <c r="C884" s="2">
        <f t="shared" si="473"/>
        <v>2062500</v>
      </c>
      <c r="D884" s="3">
        <f t="shared" si="536"/>
        <v>0</v>
      </c>
      <c r="E884" s="5">
        <v>0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11">
        <v>0</v>
      </c>
      <c r="L884" s="5">
        <v>0</v>
      </c>
      <c r="M884" s="5">
        <v>312.5</v>
      </c>
      <c r="N884" s="5">
        <f>M884*6600</f>
        <v>2062500</v>
      </c>
      <c r="O884" s="5">
        <v>0</v>
      </c>
      <c r="P884" s="5">
        <v>0</v>
      </c>
      <c r="Q884" s="5">
        <v>0</v>
      </c>
      <c r="R884" s="3">
        <f t="shared" si="537"/>
        <v>0</v>
      </c>
      <c r="S884" s="5">
        <v>0</v>
      </c>
      <c r="T884" s="5">
        <v>0</v>
      </c>
      <c r="U884" s="5">
        <v>0</v>
      </c>
      <c r="V884" s="6">
        <f t="shared" si="538"/>
        <v>6600</v>
      </c>
    </row>
    <row r="885" spans="1:22" ht="21.95" customHeight="1" x14ac:dyDescent="0.25">
      <c r="A885" s="37" t="s">
        <v>894</v>
      </c>
      <c r="B885" s="22" t="s">
        <v>246</v>
      </c>
      <c r="C885" s="2">
        <f t="shared" si="473"/>
        <v>8511470</v>
      </c>
      <c r="D885" s="3">
        <f t="shared" si="536"/>
        <v>8211310</v>
      </c>
      <c r="E885" s="3">
        <f>700*3482</f>
        <v>2437400</v>
      </c>
      <c r="F885" s="3">
        <f>1300*3482</f>
        <v>4526600</v>
      </c>
      <c r="G885" s="3">
        <f>300*675.7</f>
        <v>202710</v>
      </c>
      <c r="H885" s="3">
        <v>0</v>
      </c>
      <c r="I885" s="3">
        <f>300*3482</f>
        <v>1044600</v>
      </c>
      <c r="J885" s="3">
        <f>350*0</f>
        <v>0</v>
      </c>
      <c r="K885" s="4">
        <v>0</v>
      </c>
      <c r="L885" s="3">
        <v>0</v>
      </c>
      <c r="M885" s="3">
        <v>0</v>
      </c>
      <c r="N885" s="3">
        <v>0</v>
      </c>
      <c r="O885" s="3">
        <v>166.8</v>
      </c>
      <c r="P885" s="3">
        <f>O885*1200</f>
        <v>200160</v>
      </c>
      <c r="Q885" s="3">
        <v>0</v>
      </c>
      <c r="R885" s="3">
        <f t="shared" si="537"/>
        <v>0</v>
      </c>
      <c r="S885" s="3">
        <v>0</v>
      </c>
      <c r="T885" s="3">
        <v>0</v>
      </c>
      <c r="U885" s="3">
        <v>100000</v>
      </c>
      <c r="V885" s="6" t="e">
        <f t="shared" si="538"/>
        <v>#DIV/0!</v>
      </c>
    </row>
    <row r="886" spans="1:22" ht="24.95" customHeight="1" x14ac:dyDescent="0.25">
      <c r="A886" s="37" t="s">
        <v>895</v>
      </c>
      <c r="B886" s="22" t="s">
        <v>247</v>
      </c>
      <c r="C886" s="2">
        <f t="shared" si="473"/>
        <v>2896400</v>
      </c>
      <c r="D886" s="3">
        <f t="shared" ref="D886" si="539">SUM(E886:J886)</f>
        <v>0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f t="shared" ref="J886" si="540">350*0</f>
        <v>0</v>
      </c>
      <c r="K886" s="4">
        <v>0</v>
      </c>
      <c r="L886" s="3">
        <v>0</v>
      </c>
      <c r="M886" s="3">
        <v>0</v>
      </c>
      <c r="N886" s="3">
        <f t="shared" ref="N886" si="541">M886*5500</f>
        <v>0</v>
      </c>
      <c r="O886" s="3">
        <v>0</v>
      </c>
      <c r="P886" s="3">
        <v>0</v>
      </c>
      <c r="Q886" s="3">
        <v>827</v>
      </c>
      <c r="R886" s="3">
        <f t="shared" si="537"/>
        <v>2646400</v>
      </c>
      <c r="S886" s="3">
        <v>250000</v>
      </c>
      <c r="T886" s="3">
        <v>0</v>
      </c>
      <c r="U886" s="3">
        <v>0</v>
      </c>
      <c r="V886" s="6" t="e">
        <f t="shared" si="538"/>
        <v>#DIV/0!</v>
      </c>
    </row>
    <row r="887" spans="1:22" ht="21.95" customHeight="1" x14ac:dyDescent="0.25">
      <c r="A887" s="37" t="s">
        <v>896</v>
      </c>
      <c r="B887" s="22" t="s">
        <v>254</v>
      </c>
      <c r="C887" s="2">
        <f t="shared" si="473"/>
        <v>7519476</v>
      </c>
      <c r="D887" s="3">
        <f t="shared" si="536"/>
        <v>1756820.0000000002</v>
      </c>
      <c r="E887" s="3">
        <f>700*675.7</f>
        <v>472990.00000000006</v>
      </c>
      <c r="F887" s="3">
        <f>1300*675.7</f>
        <v>878410.00000000012</v>
      </c>
      <c r="G887" s="3">
        <f>300*675.7</f>
        <v>202710</v>
      </c>
      <c r="H887" s="3">
        <v>0</v>
      </c>
      <c r="I887" s="3">
        <f>300*675.7</f>
        <v>202710</v>
      </c>
      <c r="J887" s="3">
        <f>350*0</f>
        <v>0</v>
      </c>
      <c r="K887" s="4">
        <v>0</v>
      </c>
      <c r="L887" s="3">
        <v>0</v>
      </c>
      <c r="M887" s="3">
        <v>555.79999999999995</v>
      </c>
      <c r="N887" s="3">
        <f>M887*6600</f>
        <v>3668279.9999999995</v>
      </c>
      <c r="O887" s="3">
        <v>42.7</v>
      </c>
      <c r="P887" s="3">
        <f>O887*1200</f>
        <v>51240</v>
      </c>
      <c r="Q887" s="3">
        <v>607.23</v>
      </c>
      <c r="R887" s="3">
        <f t="shared" si="537"/>
        <v>1943136</v>
      </c>
      <c r="S887" s="3">
        <v>0</v>
      </c>
      <c r="T887" s="3">
        <v>0</v>
      </c>
      <c r="U887" s="3">
        <v>100000</v>
      </c>
      <c r="V887" s="6">
        <f t="shared" si="538"/>
        <v>6600</v>
      </c>
    </row>
    <row r="888" spans="1:22" ht="24.95" customHeight="1" x14ac:dyDescent="0.25">
      <c r="A888" s="37" t="s">
        <v>897</v>
      </c>
      <c r="B888" s="22" t="s">
        <v>255</v>
      </c>
      <c r="C888" s="2">
        <f t="shared" si="473"/>
        <v>3505800</v>
      </c>
      <c r="D888" s="3">
        <f t="shared" ref="D888" si="542">SUM(E888:J888)</f>
        <v>1479400</v>
      </c>
      <c r="E888" s="3">
        <f>700*569</f>
        <v>398300</v>
      </c>
      <c r="F888" s="3">
        <f>1300*569</f>
        <v>739700</v>
      </c>
      <c r="G888" s="3">
        <f>300*569</f>
        <v>170700</v>
      </c>
      <c r="H888" s="3">
        <v>0</v>
      </c>
      <c r="I888" s="3">
        <f>300*569</f>
        <v>170700</v>
      </c>
      <c r="J888" s="3">
        <f t="shared" ref="J888" si="543">350*0</f>
        <v>0</v>
      </c>
      <c r="K888" s="4">
        <v>0</v>
      </c>
      <c r="L888" s="3">
        <v>0</v>
      </c>
      <c r="M888" s="3">
        <v>0</v>
      </c>
      <c r="N888" s="3">
        <v>0</v>
      </c>
      <c r="O888" s="3">
        <v>0</v>
      </c>
      <c r="P888" s="3">
        <v>0</v>
      </c>
      <c r="Q888" s="3">
        <v>602</v>
      </c>
      <c r="R888" s="3">
        <f t="shared" si="537"/>
        <v>1926400</v>
      </c>
      <c r="S888" s="3">
        <v>0</v>
      </c>
      <c r="T888" s="3">
        <v>0</v>
      </c>
      <c r="U888" s="3">
        <v>100000</v>
      </c>
      <c r="V888" s="6" t="e">
        <f t="shared" si="538"/>
        <v>#DIV/0!</v>
      </c>
    </row>
    <row r="889" spans="1:22" ht="21.95" customHeight="1" x14ac:dyDescent="0.25">
      <c r="A889" s="37" t="s">
        <v>898</v>
      </c>
      <c r="B889" s="22" t="s">
        <v>259</v>
      </c>
      <c r="C889" s="2">
        <f t="shared" si="473"/>
        <v>3740879.9999999995</v>
      </c>
      <c r="D889" s="3">
        <f t="shared" si="536"/>
        <v>0</v>
      </c>
      <c r="E889" s="5">
        <v>0</v>
      </c>
      <c r="F889" s="5">
        <v>0</v>
      </c>
      <c r="G889" s="5">
        <v>0</v>
      </c>
      <c r="H889" s="5">
        <v>0</v>
      </c>
      <c r="I889" s="5">
        <v>0</v>
      </c>
      <c r="J889" s="5">
        <v>0</v>
      </c>
      <c r="K889" s="4">
        <v>0</v>
      </c>
      <c r="L889" s="3">
        <v>0</v>
      </c>
      <c r="M889" s="3">
        <v>566.79999999999995</v>
      </c>
      <c r="N889" s="3">
        <f>M889*6600</f>
        <v>3740879.9999999995</v>
      </c>
      <c r="O889" s="3">
        <v>0</v>
      </c>
      <c r="P889" s="3">
        <v>0</v>
      </c>
      <c r="Q889" s="3">
        <v>0</v>
      </c>
      <c r="R889" s="3">
        <f t="shared" si="537"/>
        <v>0</v>
      </c>
      <c r="S889" s="3">
        <v>0</v>
      </c>
      <c r="T889" s="3">
        <v>0</v>
      </c>
      <c r="U889" s="3">
        <v>0</v>
      </c>
      <c r="V889" s="6">
        <f t="shared" si="538"/>
        <v>6600</v>
      </c>
    </row>
    <row r="890" spans="1:22" ht="21.95" customHeight="1" x14ac:dyDescent="0.25">
      <c r="A890" s="37" t="s">
        <v>899</v>
      </c>
      <c r="B890" s="22" t="s">
        <v>1534</v>
      </c>
      <c r="C890" s="2">
        <f t="shared" ref="C890" si="544">D890+L890+N890+P890+R890+S890+T890+U890</f>
        <v>3782500</v>
      </c>
      <c r="D890" s="3">
        <f t="shared" ref="D890" si="545">SUM(E890:J890)</f>
        <v>0</v>
      </c>
      <c r="E890" s="5">
        <v>0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  <c r="K890" s="4">
        <v>0</v>
      </c>
      <c r="L890" s="3">
        <v>0</v>
      </c>
      <c r="M890" s="3">
        <v>850</v>
      </c>
      <c r="N890" s="3">
        <f>M890*4450</f>
        <v>3782500</v>
      </c>
      <c r="O890" s="3">
        <v>0</v>
      </c>
      <c r="P890" s="3">
        <v>0</v>
      </c>
      <c r="Q890" s="3">
        <v>0</v>
      </c>
      <c r="R890" s="3">
        <f t="shared" si="537"/>
        <v>0</v>
      </c>
      <c r="S890" s="3">
        <v>0</v>
      </c>
      <c r="T890" s="3">
        <v>0</v>
      </c>
      <c r="U890" s="3">
        <v>0</v>
      </c>
    </row>
    <row r="891" spans="1:22" ht="24.95" customHeight="1" x14ac:dyDescent="0.25">
      <c r="A891" s="37" t="s">
        <v>900</v>
      </c>
      <c r="B891" s="22" t="s">
        <v>260</v>
      </c>
      <c r="C891" s="2">
        <f t="shared" si="473"/>
        <v>13464670</v>
      </c>
      <c r="D891" s="3">
        <f t="shared" ref="D891" si="546">SUM(E891:J891)</f>
        <v>4713800</v>
      </c>
      <c r="E891" s="3">
        <f>700*1813</f>
        <v>1269100</v>
      </c>
      <c r="F891" s="3">
        <f>1300*1813</f>
        <v>2356900</v>
      </c>
      <c r="G891" s="3">
        <f>300*1813</f>
        <v>543900</v>
      </c>
      <c r="H891" s="3">
        <v>0</v>
      </c>
      <c r="I891" s="3">
        <f>300*1813</f>
        <v>543900</v>
      </c>
      <c r="J891" s="3">
        <f t="shared" ref="J891" si="547">350*0</f>
        <v>0</v>
      </c>
      <c r="K891" s="4">
        <v>0</v>
      </c>
      <c r="L891" s="3">
        <v>0</v>
      </c>
      <c r="M891" s="3">
        <v>866.2</v>
      </c>
      <c r="N891" s="3">
        <f>M891*4450</f>
        <v>3854590</v>
      </c>
      <c r="O891" s="3">
        <v>26.3</v>
      </c>
      <c r="P891" s="3">
        <f>O891*1200</f>
        <v>31560</v>
      </c>
      <c r="Q891" s="3">
        <v>1442.1</v>
      </c>
      <c r="R891" s="3">
        <f t="shared" si="537"/>
        <v>4614720</v>
      </c>
      <c r="S891" s="3">
        <v>250000</v>
      </c>
      <c r="T891" s="3">
        <v>0</v>
      </c>
      <c r="U891" s="3">
        <v>0</v>
      </c>
      <c r="V891" s="6">
        <f t="shared" si="538"/>
        <v>4450</v>
      </c>
    </row>
    <row r="892" spans="1:22" ht="21.95" customHeight="1" x14ac:dyDescent="0.25">
      <c r="A892" s="37" t="s">
        <v>901</v>
      </c>
      <c r="B892" s="22" t="s">
        <v>261</v>
      </c>
      <c r="C892" s="2">
        <f t="shared" si="473"/>
        <v>11208677</v>
      </c>
      <c r="D892" s="3">
        <f t="shared" si="536"/>
        <v>4138160</v>
      </c>
      <c r="E892" s="3">
        <f>700*1591.6</f>
        <v>1114120</v>
      </c>
      <c r="F892" s="3">
        <f>1300*1591.6</f>
        <v>2069079.9999999998</v>
      </c>
      <c r="G892" s="3">
        <f>300*1591.6</f>
        <v>477480</v>
      </c>
      <c r="H892" s="3">
        <v>0</v>
      </c>
      <c r="I892" s="3">
        <f>300*1591.6</f>
        <v>477480</v>
      </c>
      <c r="J892" s="3">
        <f>350*0</f>
        <v>0</v>
      </c>
      <c r="K892" s="4">
        <v>0</v>
      </c>
      <c r="L892" s="3">
        <v>0</v>
      </c>
      <c r="M892" s="3">
        <v>682.66</v>
      </c>
      <c r="N892" s="3">
        <f>M892*4450</f>
        <v>3037837</v>
      </c>
      <c r="O892" s="3">
        <v>52.7</v>
      </c>
      <c r="P892" s="3">
        <f t="shared" ref="P892:P893" si="548">O892*1200</f>
        <v>63240</v>
      </c>
      <c r="Q892" s="3">
        <v>1209.2</v>
      </c>
      <c r="R892" s="3">
        <f t="shared" si="537"/>
        <v>3869440</v>
      </c>
      <c r="S892" s="3">
        <v>0</v>
      </c>
      <c r="T892" s="3">
        <v>0</v>
      </c>
      <c r="U892" s="3">
        <v>100000</v>
      </c>
      <c r="V892" s="6">
        <f t="shared" si="538"/>
        <v>4450</v>
      </c>
    </row>
    <row r="893" spans="1:22" ht="21.95" customHeight="1" x14ac:dyDescent="0.25">
      <c r="A893" s="37" t="s">
        <v>902</v>
      </c>
      <c r="B893" s="22" t="s">
        <v>262</v>
      </c>
      <c r="C893" s="2">
        <f t="shared" si="473"/>
        <v>11499762.5</v>
      </c>
      <c r="D893" s="3">
        <f t="shared" si="536"/>
        <v>4180280</v>
      </c>
      <c r="E893" s="3">
        <f>700*1607.8</f>
        <v>1125460</v>
      </c>
      <c r="F893" s="3">
        <f>1300*1607.8</f>
        <v>2090140</v>
      </c>
      <c r="G893" s="3">
        <f>300*1607.8</f>
        <v>482340</v>
      </c>
      <c r="H893" s="3">
        <v>0</v>
      </c>
      <c r="I893" s="3">
        <f>300*1607.8</f>
        <v>482340</v>
      </c>
      <c r="J893" s="3">
        <f t="shared" ref="J893:J896" si="549">350*0</f>
        <v>0</v>
      </c>
      <c r="K893" s="4">
        <v>0</v>
      </c>
      <c r="L893" s="3">
        <v>0</v>
      </c>
      <c r="M893" s="3">
        <v>745.25</v>
      </c>
      <c r="N893" s="3">
        <f>M893*4450</f>
        <v>3316362.5</v>
      </c>
      <c r="O893" s="3">
        <v>53.4</v>
      </c>
      <c r="P893" s="3">
        <f t="shared" si="548"/>
        <v>64080</v>
      </c>
      <c r="Q893" s="3">
        <v>1199.7</v>
      </c>
      <c r="R893" s="3">
        <f t="shared" si="537"/>
        <v>3839040</v>
      </c>
      <c r="S893" s="3">
        <v>0</v>
      </c>
      <c r="T893" s="3">
        <v>0</v>
      </c>
      <c r="U893" s="3">
        <v>100000</v>
      </c>
      <c r="V893" s="6">
        <f t="shared" si="538"/>
        <v>4450</v>
      </c>
    </row>
    <row r="894" spans="1:22" ht="21.95" customHeight="1" x14ac:dyDescent="0.25">
      <c r="A894" s="37" t="s">
        <v>903</v>
      </c>
      <c r="B894" s="22" t="s">
        <v>263</v>
      </c>
      <c r="C894" s="2">
        <f t="shared" si="473"/>
        <v>7314524</v>
      </c>
      <c r="D894" s="3">
        <f t="shared" si="536"/>
        <v>1759160</v>
      </c>
      <c r="E894" s="3">
        <f>700*676.6</f>
        <v>473620</v>
      </c>
      <c r="F894" s="3">
        <f>1300*676.6</f>
        <v>879580</v>
      </c>
      <c r="G894" s="3">
        <f>300*676.6</f>
        <v>202980</v>
      </c>
      <c r="H894" s="3">
        <v>0</v>
      </c>
      <c r="I894" s="3">
        <f>300*676.6</f>
        <v>202980</v>
      </c>
      <c r="J894" s="3">
        <f t="shared" si="549"/>
        <v>0</v>
      </c>
      <c r="K894" s="4">
        <v>0</v>
      </c>
      <c r="L894" s="3">
        <v>0</v>
      </c>
      <c r="M894" s="3">
        <v>562.9</v>
      </c>
      <c r="N894" s="3">
        <f>M894*6600</f>
        <v>3715140</v>
      </c>
      <c r="O894" s="3">
        <v>0</v>
      </c>
      <c r="P894" s="3">
        <v>0</v>
      </c>
      <c r="Q894" s="3">
        <v>543.82000000000005</v>
      </c>
      <c r="R894" s="3">
        <f t="shared" si="537"/>
        <v>1740224.0000000002</v>
      </c>
      <c r="S894" s="3">
        <v>0</v>
      </c>
      <c r="T894" s="3">
        <v>0</v>
      </c>
      <c r="U894" s="3">
        <v>100000</v>
      </c>
      <c r="V894" s="6">
        <f t="shared" si="538"/>
        <v>6600</v>
      </c>
    </row>
    <row r="895" spans="1:22" ht="21.95" customHeight="1" x14ac:dyDescent="0.25">
      <c r="A895" s="37" t="s">
        <v>904</v>
      </c>
      <c r="B895" s="22" t="s">
        <v>264</v>
      </c>
      <c r="C895" s="2">
        <f t="shared" si="473"/>
        <v>7293030</v>
      </c>
      <c r="D895" s="3">
        <f t="shared" si="536"/>
        <v>1738360</v>
      </c>
      <c r="E895" s="3">
        <f>700*668.6</f>
        <v>468020</v>
      </c>
      <c r="F895" s="3">
        <f>1300*668.6</f>
        <v>869180</v>
      </c>
      <c r="G895" s="3">
        <f>300*668.6</f>
        <v>200580</v>
      </c>
      <c r="H895" s="3">
        <v>0</v>
      </c>
      <c r="I895" s="3">
        <f>300*668.6</f>
        <v>200580</v>
      </c>
      <c r="J895" s="3">
        <f t="shared" si="549"/>
        <v>0</v>
      </c>
      <c r="K895" s="4">
        <v>0</v>
      </c>
      <c r="L895" s="3">
        <v>0</v>
      </c>
      <c r="M895" s="3">
        <v>507.91</v>
      </c>
      <c r="N895" s="3">
        <f>M895*6600</f>
        <v>3352206</v>
      </c>
      <c r="O895" s="3">
        <v>0</v>
      </c>
      <c r="P895" s="3">
        <v>0</v>
      </c>
      <c r="Q895" s="3">
        <v>657.02</v>
      </c>
      <c r="R895" s="3">
        <f t="shared" si="537"/>
        <v>2102464</v>
      </c>
      <c r="S895" s="3">
        <v>0</v>
      </c>
      <c r="T895" s="3">
        <v>0</v>
      </c>
      <c r="U895" s="3">
        <v>100000</v>
      </c>
      <c r="V895" s="6">
        <f t="shared" si="538"/>
        <v>6600</v>
      </c>
    </row>
    <row r="896" spans="1:22" ht="21.95" customHeight="1" x14ac:dyDescent="0.25">
      <c r="A896" s="37" t="s">
        <v>905</v>
      </c>
      <c r="B896" s="22" t="s">
        <v>265</v>
      </c>
      <c r="C896" s="2">
        <f t="shared" si="473"/>
        <v>2135332</v>
      </c>
      <c r="D896" s="3">
        <f t="shared" si="536"/>
        <v>848900</v>
      </c>
      <c r="E896" s="3">
        <f>700*326.5</f>
        <v>228550</v>
      </c>
      <c r="F896" s="3">
        <f>1300*326.5</f>
        <v>424450</v>
      </c>
      <c r="G896" s="3">
        <f>300*326.5</f>
        <v>97950</v>
      </c>
      <c r="H896" s="3">
        <v>0</v>
      </c>
      <c r="I896" s="3">
        <f>300*326.5</f>
        <v>97950</v>
      </c>
      <c r="J896" s="3">
        <f t="shared" si="549"/>
        <v>0</v>
      </c>
      <c r="K896" s="4">
        <v>0</v>
      </c>
      <c r="L896" s="3">
        <v>0</v>
      </c>
      <c r="M896" s="3">
        <v>0</v>
      </c>
      <c r="N896" s="3">
        <v>0</v>
      </c>
      <c r="O896" s="3">
        <v>0</v>
      </c>
      <c r="P896" s="3">
        <v>0</v>
      </c>
      <c r="Q896" s="3">
        <v>370.76</v>
      </c>
      <c r="R896" s="3">
        <f t="shared" si="537"/>
        <v>1186432</v>
      </c>
      <c r="S896" s="3">
        <v>0</v>
      </c>
      <c r="T896" s="3">
        <v>0</v>
      </c>
      <c r="U896" s="3">
        <v>100000</v>
      </c>
      <c r="V896" s="6" t="e">
        <f t="shared" si="538"/>
        <v>#DIV/0!</v>
      </c>
    </row>
    <row r="897" spans="1:258" ht="45" customHeight="1" x14ac:dyDescent="0.25">
      <c r="A897" s="54" t="s">
        <v>269</v>
      </c>
      <c r="B897" s="54"/>
      <c r="C897" s="2">
        <f>SUM(C898:C899)</f>
        <v>9456900</v>
      </c>
      <c r="D897" s="2">
        <f t="shared" ref="D897:U897" si="550">SUM(D898:D899)</f>
        <v>1227460</v>
      </c>
      <c r="E897" s="2">
        <f t="shared" si="550"/>
        <v>574980</v>
      </c>
      <c r="F897" s="2">
        <f t="shared" si="550"/>
        <v>530140</v>
      </c>
      <c r="G897" s="2">
        <f t="shared" si="550"/>
        <v>122340</v>
      </c>
      <c r="H897" s="2">
        <f t="shared" si="550"/>
        <v>0</v>
      </c>
      <c r="I897" s="2">
        <f t="shared" si="550"/>
        <v>0</v>
      </c>
      <c r="J897" s="2">
        <f t="shared" si="550"/>
        <v>0</v>
      </c>
      <c r="K897" s="14">
        <f t="shared" si="550"/>
        <v>0</v>
      </c>
      <c r="L897" s="2">
        <f t="shared" si="550"/>
        <v>0</v>
      </c>
      <c r="M897" s="2">
        <f t="shared" si="550"/>
        <v>864</v>
      </c>
      <c r="N897" s="2">
        <f t="shared" si="550"/>
        <v>5702400</v>
      </c>
      <c r="O897" s="2">
        <f t="shared" si="550"/>
        <v>0</v>
      </c>
      <c r="P897" s="2">
        <f t="shared" si="550"/>
        <v>0</v>
      </c>
      <c r="Q897" s="2">
        <f t="shared" si="550"/>
        <v>727.2</v>
      </c>
      <c r="R897" s="2">
        <f t="shared" si="550"/>
        <v>2327040</v>
      </c>
      <c r="S897" s="2">
        <f t="shared" si="550"/>
        <v>0</v>
      </c>
      <c r="T897" s="2">
        <f t="shared" si="550"/>
        <v>0</v>
      </c>
      <c r="U897" s="2">
        <f t="shared" si="550"/>
        <v>200000</v>
      </c>
      <c r="V897" s="18">
        <f>C897</f>
        <v>9456900</v>
      </c>
    </row>
    <row r="898" spans="1:258" ht="21.95" customHeight="1" x14ac:dyDescent="0.25">
      <c r="A898" s="37" t="s">
        <v>1283</v>
      </c>
      <c r="B898" s="22" t="s">
        <v>270</v>
      </c>
      <c r="C898" s="2">
        <f t="shared" si="473"/>
        <v>5052660</v>
      </c>
      <c r="D898" s="3">
        <f t="shared" ref="D898:D899" si="551">SUM(E898:J898)</f>
        <v>937940</v>
      </c>
      <c r="E898" s="3">
        <f>700*407.8</f>
        <v>285460</v>
      </c>
      <c r="F898" s="3">
        <f>1300*407.8</f>
        <v>530140</v>
      </c>
      <c r="G898" s="3">
        <f>300*407.8</f>
        <v>122340</v>
      </c>
      <c r="H898" s="3">
        <v>0</v>
      </c>
      <c r="I898" s="3">
        <v>0</v>
      </c>
      <c r="J898" s="3">
        <f t="shared" ref="J898:J899" si="552">350*0</f>
        <v>0</v>
      </c>
      <c r="K898" s="4">
        <v>0</v>
      </c>
      <c r="L898" s="3">
        <v>0</v>
      </c>
      <c r="M898" s="3">
        <v>432</v>
      </c>
      <c r="N898" s="3">
        <f>M898*6600</f>
        <v>2851200</v>
      </c>
      <c r="O898" s="3">
        <v>0</v>
      </c>
      <c r="P898" s="3">
        <v>0</v>
      </c>
      <c r="Q898" s="3">
        <v>363.6</v>
      </c>
      <c r="R898" s="3">
        <f t="shared" ref="R898:R899" si="553">Q898*3200</f>
        <v>1163520</v>
      </c>
      <c r="S898" s="3">
        <v>0</v>
      </c>
      <c r="T898" s="3">
        <v>0</v>
      </c>
      <c r="U898" s="3">
        <v>100000</v>
      </c>
      <c r="V898" s="6">
        <f t="shared" ref="V898:V899" si="554">N898/M898</f>
        <v>6600</v>
      </c>
    </row>
    <row r="899" spans="1:258" ht="21.95" customHeight="1" x14ac:dyDescent="0.25">
      <c r="A899" s="37" t="s">
        <v>906</v>
      </c>
      <c r="B899" s="22" t="s">
        <v>1222</v>
      </c>
      <c r="C899" s="2">
        <f t="shared" si="473"/>
        <v>4404240</v>
      </c>
      <c r="D899" s="3">
        <f t="shared" si="551"/>
        <v>289520</v>
      </c>
      <c r="E899" s="3">
        <f>700*413.6</f>
        <v>289520</v>
      </c>
      <c r="F899" s="3">
        <v>0</v>
      </c>
      <c r="G899" s="3">
        <v>0</v>
      </c>
      <c r="H899" s="3">
        <v>0</v>
      </c>
      <c r="I899" s="3">
        <v>0</v>
      </c>
      <c r="J899" s="3">
        <f t="shared" si="552"/>
        <v>0</v>
      </c>
      <c r="K899" s="4">
        <v>0</v>
      </c>
      <c r="L899" s="3">
        <v>0</v>
      </c>
      <c r="M899" s="3">
        <v>432</v>
      </c>
      <c r="N899" s="3">
        <f>M899*6600</f>
        <v>2851200</v>
      </c>
      <c r="O899" s="3">
        <v>0</v>
      </c>
      <c r="P899" s="3">
        <v>0</v>
      </c>
      <c r="Q899" s="3">
        <v>363.6</v>
      </c>
      <c r="R899" s="3">
        <f t="shared" si="553"/>
        <v>1163520</v>
      </c>
      <c r="S899" s="3">
        <v>0</v>
      </c>
      <c r="T899" s="3">
        <v>0</v>
      </c>
      <c r="U899" s="3">
        <v>100000</v>
      </c>
      <c r="V899" s="6">
        <f t="shared" si="554"/>
        <v>6600</v>
      </c>
    </row>
    <row r="900" spans="1:258" ht="45" customHeight="1" x14ac:dyDescent="0.25">
      <c r="A900" s="54" t="s">
        <v>276</v>
      </c>
      <c r="B900" s="54"/>
      <c r="C900" s="2">
        <f>SUM(C901:C902)</f>
        <v>8932240</v>
      </c>
      <c r="D900" s="2">
        <f t="shared" ref="D900:U900" si="555">SUM(D901:D902)</f>
        <v>702800</v>
      </c>
      <c r="E900" s="2">
        <f t="shared" si="555"/>
        <v>702800</v>
      </c>
      <c r="F900" s="2">
        <f t="shared" si="555"/>
        <v>0</v>
      </c>
      <c r="G900" s="2">
        <f t="shared" si="555"/>
        <v>0</v>
      </c>
      <c r="H900" s="2">
        <f t="shared" si="555"/>
        <v>0</v>
      </c>
      <c r="I900" s="2">
        <f t="shared" si="555"/>
        <v>0</v>
      </c>
      <c r="J900" s="2">
        <f t="shared" si="555"/>
        <v>0</v>
      </c>
      <c r="K900" s="14">
        <f t="shared" si="555"/>
        <v>0</v>
      </c>
      <c r="L900" s="2">
        <f t="shared" si="555"/>
        <v>0</v>
      </c>
      <c r="M900" s="2">
        <f t="shared" si="555"/>
        <v>864</v>
      </c>
      <c r="N900" s="2">
        <f t="shared" si="555"/>
        <v>5702400</v>
      </c>
      <c r="O900" s="2">
        <f t="shared" si="555"/>
        <v>0</v>
      </c>
      <c r="P900" s="2">
        <f t="shared" si="555"/>
        <v>0</v>
      </c>
      <c r="Q900" s="2">
        <f t="shared" si="555"/>
        <v>727.2</v>
      </c>
      <c r="R900" s="2">
        <f t="shared" si="555"/>
        <v>2327040</v>
      </c>
      <c r="S900" s="2">
        <f t="shared" si="555"/>
        <v>0</v>
      </c>
      <c r="T900" s="2">
        <f t="shared" si="555"/>
        <v>0</v>
      </c>
      <c r="U900" s="2">
        <f t="shared" si="555"/>
        <v>200000</v>
      </c>
      <c r="V900" s="18">
        <f>C900</f>
        <v>8932240</v>
      </c>
    </row>
    <row r="901" spans="1:258" ht="21.95" customHeight="1" x14ac:dyDescent="0.25">
      <c r="A901" s="37" t="s">
        <v>907</v>
      </c>
      <c r="B901" s="22" t="s">
        <v>277</v>
      </c>
      <c r="C901" s="2">
        <f t="shared" si="473"/>
        <v>4466120</v>
      </c>
      <c r="D901" s="3">
        <f t="shared" ref="D901:D902" si="556">SUM(E901:J901)</f>
        <v>351400</v>
      </c>
      <c r="E901" s="3">
        <f>700*502</f>
        <v>351400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4">
        <v>0</v>
      </c>
      <c r="L901" s="3">
        <v>0</v>
      </c>
      <c r="M901" s="3">
        <v>432</v>
      </c>
      <c r="N901" s="3">
        <f>M901*6600</f>
        <v>2851200</v>
      </c>
      <c r="O901" s="3">
        <v>0</v>
      </c>
      <c r="P901" s="3">
        <v>0</v>
      </c>
      <c r="Q901" s="3">
        <v>363.6</v>
      </c>
      <c r="R901" s="3">
        <f t="shared" ref="R901:R902" si="557">Q901*3200</f>
        <v>1163520</v>
      </c>
      <c r="S901" s="3">
        <v>0</v>
      </c>
      <c r="T901" s="3">
        <v>0</v>
      </c>
      <c r="U901" s="3">
        <v>100000</v>
      </c>
      <c r="V901" s="6">
        <f t="shared" ref="V901:V902" si="558">N901/M901</f>
        <v>6600</v>
      </c>
    </row>
    <row r="902" spans="1:258" ht="21.95" customHeight="1" x14ac:dyDescent="0.25">
      <c r="A902" s="37" t="s">
        <v>908</v>
      </c>
      <c r="B902" s="22" t="s">
        <v>278</v>
      </c>
      <c r="C902" s="2">
        <f t="shared" si="473"/>
        <v>4466120</v>
      </c>
      <c r="D902" s="3">
        <f t="shared" si="556"/>
        <v>351400</v>
      </c>
      <c r="E902" s="3">
        <f>700*502</f>
        <v>351400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4">
        <v>0</v>
      </c>
      <c r="L902" s="3">
        <v>0</v>
      </c>
      <c r="M902" s="3">
        <v>432</v>
      </c>
      <c r="N902" s="3">
        <f>M902*6600</f>
        <v>2851200</v>
      </c>
      <c r="O902" s="3">
        <v>0</v>
      </c>
      <c r="P902" s="3">
        <v>0</v>
      </c>
      <c r="Q902" s="3">
        <v>363.6</v>
      </c>
      <c r="R902" s="3">
        <f t="shared" si="557"/>
        <v>1163520</v>
      </c>
      <c r="S902" s="3">
        <v>0</v>
      </c>
      <c r="T902" s="3">
        <v>0</v>
      </c>
      <c r="U902" s="3">
        <v>100000</v>
      </c>
      <c r="V902" s="6">
        <f t="shared" si="558"/>
        <v>6600</v>
      </c>
    </row>
    <row r="903" spans="1:258" ht="45" customHeight="1" x14ac:dyDescent="0.25">
      <c r="A903" s="54" t="s">
        <v>376</v>
      </c>
      <c r="B903" s="54"/>
      <c r="C903" s="2">
        <f>SUM(C904:C1107)</f>
        <v>970552759</v>
      </c>
      <c r="D903" s="2">
        <f t="shared" ref="D903:U903" si="559">SUM(D904:D1107)</f>
        <v>237375346</v>
      </c>
      <c r="E903" s="2">
        <f t="shared" si="559"/>
        <v>53921084</v>
      </c>
      <c r="F903" s="2">
        <f t="shared" si="559"/>
        <v>107409354</v>
      </c>
      <c r="G903" s="2">
        <f t="shared" si="559"/>
        <v>23109036</v>
      </c>
      <c r="H903" s="2">
        <f t="shared" si="559"/>
        <v>29826836</v>
      </c>
      <c r="I903" s="2">
        <f t="shared" si="559"/>
        <v>23109036</v>
      </c>
      <c r="J903" s="2">
        <f t="shared" si="559"/>
        <v>0</v>
      </c>
      <c r="K903" s="14">
        <f t="shared" si="559"/>
        <v>4</v>
      </c>
      <c r="L903" s="2">
        <f t="shared" si="559"/>
        <v>10800000</v>
      </c>
      <c r="M903" s="2">
        <f t="shared" si="559"/>
        <v>94287.08</v>
      </c>
      <c r="N903" s="2">
        <f t="shared" si="559"/>
        <v>606046533</v>
      </c>
      <c r="O903" s="2">
        <f t="shared" si="559"/>
        <v>438</v>
      </c>
      <c r="P903" s="2">
        <f t="shared" si="559"/>
        <v>525600</v>
      </c>
      <c r="Q903" s="2">
        <f t="shared" si="559"/>
        <v>33760.400000000001</v>
      </c>
      <c r="R903" s="2">
        <f t="shared" si="559"/>
        <v>108033280</v>
      </c>
      <c r="S903" s="2">
        <f t="shared" si="559"/>
        <v>472000</v>
      </c>
      <c r="T903" s="2">
        <f t="shared" si="559"/>
        <v>0</v>
      </c>
      <c r="U903" s="2">
        <f t="shared" si="559"/>
        <v>7300000</v>
      </c>
    </row>
    <row r="904" spans="1:258" ht="21.95" customHeight="1" x14ac:dyDescent="0.25">
      <c r="A904" s="37" t="s">
        <v>909</v>
      </c>
      <c r="B904" s="8" t="s">
        <v>755</v>
      </c>
      <c r="C904" s="2">
        <f t="shared" si="473"/>
        <v>3234000</v>
      </c>
      <c r="D904" s="3">
        <f t="shared" ref="D904:D980" si="560">SUM(E904:J904)</f>
        <v>0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11">
        <v>0</v>
      </c>
      <c r="L904" s="5">
        <v>0</v>
      </c>
      <c r="M904" s="5">
        <v>490</v>
      </c>
      <c r="N904" s="3">
        <f>M904*6600</f>
        <v>3234000</v>
      </c>
      <c r="O904" s="5">
        <v>0</v>
      </c>
      <c r="P904" s="5">
        <v>0</v>
      </c>
      <c r="Q904" s="5">
        <v>0</v>
      </c>
      <c r="R904" s="3">
        <f t="shared" ref="R904:R967" si="561">Q904*3200</f>
        <v>0</v>
      </c>
      <c r="S904" s="5">
        <v>0</v>
      </c>
      <c r="T904" s="5">
        <v>0</v>
      </c>
      <c r="U904" s="5">
        <v>0</v>
      </c>
      <c r="V904" s="6">
        <f t="shared" ref="V904:V977" si="562">N904/M904</f>
        <v>6600</v>
      </c>
    </row>
    <row r="905" spans="1:258" ht="21.95" customHeight="1" x14ac:dyDescent="0.25">
      <c r="A905" s="37" t="s">
        <v>910</v>
      </c>
      <c r="B905" s="8" t="s">
        <v>1022</v>
      </c>
      <c r="C905" s="2">
        <f t="shared" si="473"/>
        <v>1856000</v>
      </c>
      <c r="D905" s="3">
        <f t="shared" si="560"/>
        <v>0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11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580</v>
      </c>
      <c r="R905" s="3">
        <f t="shared" si="561"/>
        <v>1856000</v>
      </c>
      <c r="S905" s="5">
        <v>0</v>
      </c>
      <c r="T905" s="5">
        <v>0</v>
      </c>
      <c r="U905" s="5">
        <v>0</v>
      </c>
      <c r="V905" s="6" t="e">
        <f t="shared" si="562"/>
        <v>#DIV/0!</v>
      </c>
    </row>
    <row r="906" spans="1:258" ht="21.95" customHeight="1" x14ac:dyDescent="0.25">
      <c r="A906" s="37" t="s">
        <v>911</v>
      </c>
      <c r="B906" s="23" t="s">
        <v>441</v>
      </c>
      <c r="C906" s="2">
        <f t="shared" si="473"/>
        <v>774020</v>
      </c>
      <c r="D906" s="3">
        <f t="shared" si="560"/>
        <v>774020</v>
      </c>
      <c r="E906" s="3">
        <v>0</v>
      </c>
      <c r="F906" s="3">
        <f>1300*595.4</f>
        <v>774020</v>
      </c>
      <c r="G906" s="3">
        <v>0</v>
      </c>
      <c r="H906" s="3">
        <v>0</v>
      </c>
      <c r="I906" s="3">
        <v>0</v>
      </c>
      <c r="J906" s="3">
        <f>350*0</f>
        <v>0</v>
      </c>
      <c r="K906" s="4">
        <v>0</v>
      </c>
      <c r="L906" s="3">
        <v>0</v>
      </c>
      <c r="M906" s="3">
        <v>0</v>
      </c>
      <c r="N906" s="3">
        <f t="shared" ref="N906:N912" si="563">M906*6600</f>
        <v>0</v>
      </c>
      <c r="O906" s="3">
        <v>0</v>
      </c>
      <c r="P906" s="3">
        <v>0</v>
      </c>
      <c r="Q906" s="3">
        <v>0</v>
      </c>
      <c r="R906" s="3">
        <f t="shared" si="561"/>
        <v>0</v>
      </c>
      <c r="S906" s="3">
        <v>0</v>
      </c>
      <c r="T906" s="5">
        <v>0</v>
      </c>
      <c r="U906" s="3">
        <v>0</v>
      </c>
      <c r="V906" s="6" t="e">
        <f t="shared" si="562"/>
        <v>#DIV/0!</v>
      </c>
    </row>
    <row r="907" spans="1:258" ht="21.95" customHeight="1" x14ac:dyDescent="0.25">
      <c r="A907" s="37" t="s">
        <v>912</v>
      </c>
      <c r="B907" s="23" t="s">
        <v>756</v>
      </c>
      <c r="C907" s="2">
        <f t="shared" si="473"/>
        <v>1700820</v>
      </c>
      <c r="D907" s="3">
        <f t="shared" si="560"/>
        <v>0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4">
        <v>0</v>
      </c>
      <c r="L907" s="3">
        <v>0</v>
      </c>
      <c r="M907" s="3">
        <v>257.7</v>
      </c>
      <c r="N907" s="3">
        <f t="shared" si="563"/>
        <v>1700820</v>
      </c>
      <c r="O907" s="3">
        <v>0</v>
      </c>
      <c r="P907" s="3">
        <v>0</v>
      </c>
      <c r="Q907" s="3">
        <v>0</v>
      </c>
      <c r="R907" s="3">
        <f t="shared" si="561"/>
        <v>0</v>
      </c>
      <c r="S907" s="3">
        <v>0</v>
      </c>
      <c r="T907" s="3">
        <v>0</v>
      </c>
      <c r="U907" s="3">
        <v>0</v>
      </c>
      <c r="V907" s="6">
        <f t="shared" si="562"/>
        <v>6600</v>
      </c>
    </row>
    <row r="908" spans="1:258" ht="21.95" customHeight="1" x14ac:dyDescent="0.25">
      <c r="A908" s="37" t="s">
        <v>913</v>
      </c>
      <c r="B908" s="23" t="s">
        <v>757</v>
      </c>
      <c r="C908" s="2">
        <f t="shared" ref="C908:C982" si="564">D908+L908+N908+P908+R908+S908+T908+U908</f>
        <v>2783880</v>
      </c>
      <c r="D908" s="3">
        <f t="shared" si="560"/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4">
        <v>0</v>
      </c>
      <c r="L908" s="3">
        <v>0</v>
      </c>
      <c r="M908" s="3">
        <v>421.8</v>
      </c>
      <c r="N908" s="3">
        <f t="shared" si="563"/>
        <v>2783880</v>
      </c>
      <c r="O908" s="3">
        <v>0</v>
      </c>
      <c r="P908" s="3">
        <v>0</v>
      </c>
      <c r="Q908" s="3">
        <v>0</v>
      </c>
      <c r="R908" s="3">
        <f t="shared" si="561"/>
        <v>0</v>
      </c>
      <c r="S908" s="3">
        <v>0</v>
      </c>
      <c r="T908" s="3">
        <v>0</v>
      </c>
      <c r="U908" s="3">
        <v>0</v>
      </c>
      <c r="V908" s="6">
        <f t="shared" si="562"/>
        <v>6600</v>
      </c>
    </row>
    <row r="909" spans="1:258" ht="21.95" customHeight="1" x14ac:dyDescent="0.25">
      <c r="A909" s="37" t="s">
        <v>914</v>
      </c>
      <c r="B909" s="23" t="s">
        <v>758</v>
      </c>
      <c r="C909" s="2">
        <f t="shared" si="564"/>
        <v>1679700</v>
      </c>
      <c r="D909" s="3">
        <f t="shared" si="560"/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4">
        <v>0</v>
      </c>
      <c r="L909" s="3">
        <v>0</v>
      </c>
      <c r="M909" s="3">
        <v>254.5</v>
      </c>
      <c r="N909" s="3">
        <f t="shared" si="563"/>
        <v>1679700</v>
      </c>
      <c r="O909" s="3">
        <v>0</v>
      </c>
      <c r="P909" s="3">
        <v>0</v>
      </c>
      <c r="Q909" s="3">
        <v>0</v>
      </c>
      <c r="R909" s="3">
        <f t="shared" si="561"/>
        <v>0</v>
      </c>
      <c r="S909" s="3">
        <v>0</v>
      </c>
      <c r="T909" s="3">
        <v>0</v>
      </c>
      <c r="U909" s="3">
        <v>0</v>
      </c>
      <c r="V909" s="6">
        <f t="shared" si="562"/>
        <v>6600</v>
      </c>
    </row>
    <row r="910" spans="1:258" s="27" customFormat="1" ht="21.95" customHeight="1" x14ac:dyDescent="0.25">
      <c r="A910" s="37" t="s">
        <v>915</v>
      </c>
      <c r="B910" s="8" t="s">
        <v>759</v>
      </c>
      <c r="C910" s="2">
        <f t="shared" si="564"/>
        <v>3296700</v>
      </c>
      <c r="D910" s="3">
        <f t="shared" si="560"/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4">
        <v>0</v>
      </c>
      <c r="L910" s="3">
        <v>0</v>
      </c>
      <c r="M910" s="3">
        <v>499.5</v>
      </c>
      <c r="N910" s="3">
        <f t="shared" si="563"/>
        <v>3296700</v>
      </c>
      <c r="O910" s="3">
        <v>0</v>
      </c>
      <c r="P910" s="3">
        <v>0</v>
      </c>
      <c r="Q910" s="3">
        <v>0</v>
      </c>
      <c r="R910" s="3">
        <f t="shared" si="561"/>
        <v>0</v>
      </c>
      <c r="S910" s="3">
        <v>0</v>
      </c>
      <c r="T910" s="3">
        <v>0</v>
      </c>
      <c r="U910" s="3">
        <v>0</v>
      </c>
      <c r="V910" s="6">
        <f t="shared" si="562"/>
        <v>6600</v>
      </c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  <c r="DL910" s="7"/>
      <c r="DM910" s="7"/>
      <c r="DN910" s="7"/>
      <c r="DO910" s="7"/>
      <c r="DP910" s="7"/>
      <c r="DQ910" s="7"/>
      <c r="DR910" s="7"/>
      <c r="DS910" s="7"/>
      <c r="DT910" s="7"/>
      <c r="DU910" s="7"/>
      <c r="DV910" s="7"/>
      <c r="DW910" s="7"/>
      <c r="DX910" s="7"/>
      <c r="DY910" s="7"/>
      <c r="DZ910" s="7"/>
      <c r="EA910" s="7"/>
      <c r="EB910" s="7"/>
      <c r="EC910" s="7"/>
      <c r="ED910" s="7"/>
      <c r="EE910" s="7"/>
      <c r="EF910" s="7"/>
      <c r="EG910" s="7"/>
      <c r="EH910" s="7"/>
      <c r="EI910" s="7"/>
      <c r="EJ910" s="7"/>
      <c r="EK910" s="7"/>
      <c r="EL910" s="7"/>
      <c r="EM910" s="7"/>
      <c r="EN910" s="7"/>
      <c r="EO910" s="7"/>
      <c r="EP910" s="7"/>
      <c r="EQ910" s="7"/>
      <c r="ER910" s="7"/>
      <c r="ES910" s="7"/>
      <c r="ET910" s="7"/>
      <c r="EU910" s="7"/>
      <c r="EV910" s="7"/>
      <c r="EW910" s="7"/>
      <c r="EX910" s="7"/>
      <c r="EY910" s="7"/>
      <c r="EZ910" s="7"/>
      <c r="FA910" s="7"/>
      <c r="FB910" s="7"/>
      <c r="FC910" s="7"/>
      <c r="FD910" s="7"/>
      <c r="FE910" s="7"/>
      <c r="FF910" s="7"/>
      <c r="FG910" s="7"/>
      <c r="FH910" s="7"/>
      <c r="FI910" s="7"/>
      <c r="FJ910" s="7"/>
      <c r="FK910" s="7"/>
      <c r="FL910" s="7"/>
      <c r="FM910" s="7"/>
      <c r="FN910" s="7"/>
      <c r="FO910" s="7"/>
      <c r="FP910" s="7"/>
      <c r="FQ910" s="7"/>
      <c r="FR910" s="7"/>
      <c r="FS910" s="7"/>
      <c r="FT910" s="7"/>
      <c r="FU910" s="7"/>
      <c r="FV910" s="7"/>
      <c r="FW910" s="7"/>
      <c r="FX910" s="7"/>
      <c r="FY910" s="7"/>
      <c r="FZ910" s="7"/>
      <c r="GA910" s="7"/>
      <c r="GB910" s="7"/>
      <c r="GC910" s="7"/>
      <c r="GD910" s="7"/>
      <c r="GE910" s="7"/>
      <c r="GF910" s="7"/>
      <c r="GG910" s="7"/>
      <c r="GH910" s="7"/>
      <c r="GI910" s="7"/>
      <c r="GJ910" s="7"/>
      <c r="GK910" s="7"/>
      <c r="GL910" s="7"/>
      <c r="GM910" s="7"/>
      <c r="GN910" s="7"/>
      <c r="GO910" s="7"/>
      <c r="GP910" s="7"/>
      <c r="GQ910" s="7"/>
      <c r="GR910" s="7"/>
      <c r="GS910" s="7"/>
      <c r="GT910" s="7"/>
      <c r="GU910" s="7"/>
      <c r="GV910" s="7"/>
      <c r="GW910" s="7"/>
      <c r="GX910" s="7"/>
      <c r="GY910" s="7"/>
      <c r="GZ910" s="7"/>
      <c r="HA910" s="7"/>
      <c r="HB910" s="7"/>
      <c r="HC910" s="7"/>
      <c r="HD910" s="7"/>
      <c r="HE910" s="7"/>
      <c r="HF910" s="7"/>
      <c r="HG910" s="7"/>
      <c r="HH910" s="7"/>
      <c r="HI910" s="7"/>
      <c r="HJ910" s="7"/>
      <c r="HK910" s="7"/>
      <c r="HL910" s="7"/>
      <c r="HM910" s="7"/>
      <c r="HN910" s="7"/>
      <c r="HO910" s="7"/>
      <c r="HP910" s="7"/>
      <c r="HQ910" s="7"/>
      <c r="HR910" s="7"/>
      <c r="HS910" s="7"/>
      <c r="HT910" s="7"/>
      <c r="HU910" s="7"/>
      <c r="HV910" s="7"/>
      <c r="HW910" s="7"/>
      <c r="HX910" s="7"/>
      <c r="HY910" s="7"/>
      <c r="HZ910" s="7"/>
      <c r="IA910" s="7"/>
      <c r="IB910" s="7"/>
      <c r="IC910" s="7"/>
      <c r="ID910" s="7"/>
      <c r="IE910" s="7"/>
      <c r="IF910" s="7"/>
      <c r="IG910" s="7"/>
      <c r="IH910" s="7"/>
      <c r="II910" s="7"/>
      <c r="IJ910" s="7"/>
      <c r="IK910" s="7"/>
      <c r="IL910" s="7"/>
      <c r="IM910" s="7"/>
      <c r="IN910" s="7"/>
      <c r="IO910" s="7"/>
      <c r="IP910" s="7"/>
      <c r="IQ910" s="7"/>
      <c r="IR910" s="7"/>
      <c r="IS910" s="7"/>
      <c r="IT910" s="7"/>
      <c r="IU910" s="7"/>
      <c r="IV910" s="7"/>
      <c r="IW910" s="7"/>
      <c r="IX910" s="7"/>
    </row>
    <row r="911" spans="1:258" ht="21.95" customHeight="1" x14ac:dyDescent="0.25">
      <c r="A911" s="37" t="s">
        <v>1278</v>
      </c>
      <c r="B911" s="8" t="s">
        <v>575</v>
      </c>
      <c r="C911" s="2">
        <f t="shared" si="564"/>
        <v>1726560.0000000002</v>
      </c>
      <c r="D911" s="3">
        <f t="shared" ref="D911" si="565">SUM(E911:J911)</f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11">
        <v>0</v>
      </c>
      <c r="L911" s="5">
        <v>0</v>
      </c>
      <c r="M911" s="5">
        <v>261.60000000000002</v>
      </c>
      <c r="N911" s="3">
        <f t="shared" si="563"/>
        <v>1726560.0000000002</v>
      </c>
      <c r="O911" s="5">
        <v>0</v>
      </c>
      <c r="P911" s="5">
        <v>0</v>
      </c>
      <c r="Q911" s="5">
        <v>0</v>
      </c>
      <c r="R911" s="3">
        <f t="shared" si="561"/>
        <v>0</v>
      </c>
      <c r="S911" s="5">
        <v>0</v>
      </c>
      <c r="T911" s="5">
        <v>0</v>
      </c>
      <c r="U911" s="5">
        <v>0</v>
      </c>
      <c r="V911" s="6">
        <f t="shared" si="562"/>
        <v>6600</v>
      </c>
    </row>
    <row r="912" spans="1:258" s="17" customFormat="1" ht="21.95" customHeight="1" x14ac:dyDescent="0.25">
      <c r="A912" s="37" t="s">
        <v>916</v>
      </c>
      <c r="B912" s="8" t="s">
        <v>668</v>
      </c>
      <c r="C912" s="2">
        <f t="shared" si="564"/>
        <v>1799160.0000000002</v>
      </c>
      <c r="D912" s="3">
        <f t="shared" si="560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4">
        <v>0</v>
      </c>
      <c r="L912" s="3">
        <v>0</v>
      </c>
      <c r="M912" s="3">
        <v>272.60000000000002</v>
      </c>
      <c r="N912" s="3">
        <f t="shared" si="563"/>
        <v>1799160.0000000002</v>
      </c>
      <c r="O912" s="3">
        <v>0</v>
      </c>
      <c r="P912" s="3">
        <v>0</v>
      </c>
      <c r="Q912" s="3">
        <v>0</v>
      </c>
      <c r="R912" s="3">
        <f t="shared" si="561"/>
        <v>0</v>
      </c>
      <c r="S912" s="3">
        <v>0</v>
      </c>
      <c r="T912" s="3">
        <v>0</v>
      </c>
      <c r="U912" s="3">
        <v>0</v>
      </c>
      <c r="V912" s="6">
        <f t="shared" si="562"/>
        <v>6600</v>
      </c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  <c r="DL912" s="7"/>
      <c r="DM912" s="7"/>
      <c r="DN912" s="7"/>
      <c r="DO912" s="7"/>
      <c r="DP912" s="7"/>
      <c r="DQ912" s="7"/>
      <c r="DR912" s="7"/>
      <c r="DS912" s="7"/>
      <c r="DT912" s="7"/>
      <c r="DU912" s="7"/>
      <c r="DV912" s="7"/>
      <c r="DW912" s="7"/>
      <c r="DX912" s="7"/>
      <c r="DY912" s="7"/>
      <c r="DZ912" s="7"/>
      <c r="EA912" s="7"/>
      <c r="EB912" s="7"/>
      <c r="EC912" s="7"/>
      <c r="ED912" s="7"/>
      <c r="EE912" s="7"/>
      <c r="EF912" s="7"/>
      <c r="EG912" s="7"/>
      <c r="EH912" s="7"/>
      <c r="EI912" s="7"/>
      <c r="EJ912" s="7"/>
      <c r="EK912" s="7"/>
      <c r="EL912" s="7"/>
      <c r="EM912" s="7"/>
      <c r="EN912" s="7"/>
      <c r="EO912" s="7"/>
      <c r="EP912" s="7"/>
      <c r="EQ912" s="7"/>
      <c r="ER912" s="7"/>
      <c r="ES912" s="7"/>
      <c r="ET912" s="7"/>
      <c r="EU912" s="7"/>
      <c r="EV912" s="7"/>
      <c r="EW912" s="7"/>
      <c r="EX912" s="7"/>
      <c r="EY912" s="7"/>
      <c r="EZ912" s="7"/>
      <c r="FA912" s="7"/>
      <c r="FB912" s="7"/>
      <c r="FC912" s="7"/>
      <c r="FD912" s="7"/>
      <c r="FE912" s="7"/>
      <c r="FF912" s="7"/>
      <c r="FG912" s="7"/>
      <c r="FH912" s="7"/>
      <c r="FI912" s="7"/>
      <c r="FJ912" s="7"/>
      <c r="FK912" s="7"/>
      <c r="FL912" s="7"/>
      <c r="FM912" s="7"/>
      <c r="FN912" s="7"/>
      <c r="FO912" s="7"/>
      <c r="FP912" s="7"/>
      <c r="FQ912" s="7"/>
      <c r="FR912" s="7"/>
      <c r="FS912" s="7"/>
      <c r="FT912" s="7"/>
      <c r="FU912" s="7"/>
      <c r="FV912" s="7"/>
      <c r="FW912" s="7"/>
      <c r="FX912" s="7"/>
      <c r="FY912" s="7"/>
      <c r="FZ912" s="7"/>
      <c r="GA912" s="7"/>
      <c r="GB912" s="7"/>
      <c r="GC912" s="7"/>
      <c r="GD912" s="7"/>
      <c r="GE912" s="7"/>
      <c r="GF912" s="7"/>
      <c r="GG912" s="7"/>
      <c r="GH912" s="7"/>
      <c r="GI912" s="7"/>
      <c r="GJ912" s="7"/>
      <c r="GK912" s="7"/>
      <c r="GL912" s="7"/>
      <c r="GM912" s="7"/>
      <c r="GN912" s="7"/>
      <c r="GO912" s="7"/>
      <c r="GP912" s="7"/>
      <c r="GQ912" s="7"/>
      <c r="GR912" s="7"/>
      <c r="GS912" s="7"/>
      <c r="GT912" s="7"/>
      <c r="GU912" s="7"/>
      <c r="GV912" s="7"/>
      <c r="GW912" s="7"/>
      <c r="GX912" s="7"/>
      <c r="GY912" s="7"/>
      <c r="GZ912" s="7"/>
      <c r="HA912" s="7"/>
      <c r="HB912" s="7"/>
      <c r="HC912" s="7"/>
      <c r="HD912" s="7"/>
      <c r="HE912" s="7"/>
      <c r="HF912" s="7"/>
      <c r="HG912" s="7"/>
      <c r="HH912" s="7"/>
      <c r="HI912" s="7"/>
      <c r="HJ912" s="7"/>
      <c r="HK912" s="7"/>
      <c r="HL912" s="7"/>
      <c r="HM912" s="7"/>
      <c r="HN912" s="7"/>
      <c r="HO912" s="7"/>
      <c r="HP912" s="7"/>
      <c r="HQ912" s="7"/>
      <c r="HR912" s="7"/>
      <c r="HS912" s="7"/>
      <c r="HT912" s="7"/>
      <c r="HU912" s="7"/>
      <c r="HV912" s="7"/>
      <c r="HW912" s="7"/>
      <c r="HX912" s="7"/>
      <c r="HY912" s="7"/>
      <c r="HZ912" s="7"/>
      <c r="IA912" s="7"/>
      <c r="IB912" s="7"/>
      <c r="IC912" s="7"/>
      <c r="ID912" s="7"/>
      <c r="IE912" s="7"/>
      <c r="IF912" s="7"/>
      <c r="IG912" s="7"/>
      <c r="IH912" s="7"/>
      <c r="II912" s="7"/>
      <c r="IJ912" s="7"/>
      <c r="IK912" s="7"/>
      <c r="IL912" s="7"/>
      <c r="IM912" s="7"/>
      <c r="IN912" s="7"/>
      <c r="IO912" s="7"/>
      <c r="IP912" s="7"/>
      <c r="IQ912" s="7"/>
      <c r="IR912" s="7"/>
      <c r="IS912" s="7"/>
      <c r="IT912" s="7"/>
      <c r="IU912" s="7"/>
      <c r="IV912" s="7"/>
      <c r="IW912" s="7"/>
      <c r="IX912" s="7"/>
    </row>
    <row r="913" spans="1:258" ht="21.95" customHeight="1" x14ac:dyDescent="0.25">
      <c r="A913" s="37" t="s">
        <v>1077</v>
      </c>
      <c r="B913" s="8" t="s">
        <v>760</v>
      </c>
      <c r="C913" s="2">
        <f t="shared" si="564"/>
        <v>12705478</v>
      </c>
      <c r="D913" s="3">
        <f t="shared" si="560"/>
        <v>6403878.0000000009</v>
      </c>
      <c r="E913" s="3">
        <f>700*2463.03</f>
        <v>1724121.0000000002</v>
      </c>
      <c r="F913" s="3">
        <f>1300*2463.03</f>
        <v>3201939.0000000005</v>
      </c>
      <c r="G913" s="3">
        <f>300*2463.03</f>
        <v>738909.00000000012</v>
      </c>
      <c r="H913" s="3">
        <v>0</v>
      </c>
      <c r="I913" s="3">
        <f>300*2463.03</f>
        <v>738909.00000000012</v>
      </c>
      <c r="J913" s="3">
        <v>0</v>
      </c>
      <c r="K913" s="4">
        <v>0</v>
      </c>
      <c r="L913" s="3">
        <v>0</v>
      </c>
      <c r="M913" s="3">
        <v>0</v>
      </c>
      <c r="N913" s="3">
        <v>0</v>
      </c>
      <c r="O913" s="3">
        <v>0</v>
      </c>
      <c r="P913" s="3">
        <v>0</v>
      </c>
      <c r="Q913" s="3">
        <v>1938</v>
      </c>
      <c r="R913" s="3">
        <f t="shared" si="561"/>
        <v>6201600</v>
      </c>
      <c r="S913" s="3">
        <v>0</v>
      </c>
      <c r="T913" s="3">
        <v>0</v>
      </c>
      <c r="U913" s="3">
        <v>100000</v>
      </c>
      <c r="V913" s="6" t="e">
        <f t="shared" si="562"/>
        <v>#DIV/0!</v>
      </c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7"/>
      <c r="CA913" s="17"/>
      <c r="CB913" s="17"/>
      <c r="CC913" s="17"/>
      <c r="CD913" s="17"/>
      <c r="CE913" s="17"/>
      <c r="CF913" s="17"/>
      <c r="CG913" s="17"/>
      <c r="CH913" s="17"/>
      <c r="CI913" s="17"/>
      <c r="CJ913" s="17"/>
      <c r="CK913" s="17"/>
      <c r="CL913" s="17"/>
      <c r="CM913" s="17"/>
      <c r="CN913" s="17"/>
      <c r="CO913" s="17"/>
      <c r="CP913" s="17"/>
      <c r="CQ913" s="17"/>
      <c r="CR913" s="17"/>
      <c r="CS913" s="17"/>
      <c r="CT913" s="17"/>
      <c r="CU913" s="17"/>
      <c r="CV913" s="17"/>
      <c r="CW913" s="17"/>
      <c r="CX913" s="17"/>
      <c r="CY913" s="17"/>
      <c r="CZ913" s="17"/>
      <c r="DA913" s="17"/>
      <c r="DB913" s="17"/>
      <c r="DC913" s="17"/>
      <c r="DD913" s="17"/>
      <c r="DE913" s="17"/>
      <c r="DF913" s="17"/>
      <c r="DG913" s="17"/>
      <c r="DH913" s="17"/>
      <c r="DI913" s="17"/>
      <c r="DJ913" s="17"/>
      <c r="DK913" s="17"/>
      <c r="DL913" s="17"/>
      <c r="DM913" s="17"/>
      <c r="DN913" s="17"/>
      <c r="DO913" s="17"/>
      <c r="DP913" s="17"/>
      <c r="DQ913" s="17"/>
      <c r="DR913" s="17"/>
      <c r="DS913" s="17"/>
      <c r="DT913" s="17"/>
      <c r="DU913" s="17"/>
      <c r="DV913" s="17"/>
      <c r="DW913" s="17"/>
      <c r="DX913" s="17"/>
      <c r="DY913" s="17"/>
      <c r="DZ913" s="17"/>
      <c r="EA913" s="17"/>
      <c r="EB913" s="17"/>
      <c r="EC913" s="17"/>
      <c r="ED913" s="17"/>
      <c r="EE913" s="17"/>
      <c r="EF913" s="17"/>
      <c r="EG913" s="17"/>
      <c r="EH913" s="17"/>
      <c r="EI913" s="17"/>
      <c r="EJ913" s="17"/>
      <c r="EK913" s="17"/>
      <c r="EL913" s="17"/>
      <c r="EM913" s="17"/>
      <c r="EN913" s="17"/>
      <c r="EO913" s="17"/>
      <c r="EP913" s="17"/>
      <c r="EQ913" s="17"/>
      <c r="ER913" s="17"/>
      <c r="ES913" s="17"/>
      <c r="ET913" s="17"/>
      <c r="EU913" s="17"/>
      <c r="EV913" s="17"/>
      <c r="EW913" s="17"/>
      <c r="EX913" s="17"/>
      <c r="EY913" s="17"/>
      <c r="EZ913" s="17"/>
      <c r="FA913" s="17"/>
      <c r="FB913" s="17"/>
      <c r="FC913" s="17"/>
      <c r="FD913" s="17"/>
      <c r="FE913" s="17"/>
      <c r="FF913" s="17"/>
      <c r="FG913" s="17"/>
      <c r="FH913" s="17"/>
      <c r="FI913" s="17"/>
      <c r="FJ913" s="17"/>
      <c r="FK913" s="17"/>
      <c r="FL913" s="17"/>
      <c r="FM913" s="17"/>
      <c r="FN913" s="17"/>
      <c r="FO913" s="17"/>
      <c r="FP913" s="17"/>
      <c r="FQ913" s="17"/>
      <c r="FR913" s="17"/>
      <c r="FS913" s="17"/>
      <c r="FT913" s="17"/>
      <c r="FU913" s="17"/>
      <c r="FV913" s="17"/>
      <c r="FW913" s="17"/>
      <c r="FX913" s="17"/>
      <c r="FY913" s="17"/>
      <c r="FZ913" s="17"/>
      <c r="GA913" s="17"/>
      <c r="GB913" s="17"/>
      <c r="GC913" s="17"/>
      <c r="GD913" s="17"/>
      <c r="GE913" s="17"/>
      <c r="GF913" s="17"/>
      <c r="GG913" s="17"/>
      <c r="GH913" s="17"/>
      <c r="GI913" s="17"/>
      <c r="GJ913" s="17"/>
      <c r="GK913" s="17"/>
      <c r="GL913" s="17"/>
      <c r="GM913" s="17"/>
      <c r="GN913" s="17"/>
      <c r="GO913" s="17"/>
      <c r="GP913" s="17"/>
      <c r="GQ913" s="17"/>
      <c r="GR913" s="17"/>
      <c r="GS913" s="17"/>
      <c r="GT913" s="17"/>
      <c r="GU913" s="17"/>
      <c r="GV913" s="17"/>
      <c r="GW913" s="17"/>
      <c r="GX913" s="17"/>
      <c r="GY913" s="17"/>
      <c r="GZ913" s="17"/>
      <c r="HA913" s="17"/>
      <c r="HB913" s="17"/>
      <c r="HC913" s="17"/>
      <c r="HD913" s="17"/>
      <c r="HE913" s="17"/>
      <c r="HF913" s="17"/>
      <c r="HG913" s="17"/>
      <c r="HH913" s="17"/>
      <c r="HI913" s="17"/>
      <c r="HJ913" s="17"/>
      <c r="HK913" s="17"/>
      <c r="HL913" s="17"/>
      <c r="HM913" s="17"/>
      <c r="HN913" s="17"/>
      <c r="HO913" s="17"/>
      <c r="HP913" s="17"/>
      <c r="HQ913" s="17"/>
      <c r="HR913" s="17"/>
      <c r="HS913" s="17"/>
      <c r="HT913" s="17"/>
      <c r="HU913" s="17"/>
      <c r="HV913" s="17"/>
      <c r="HW913" s="17"/>
      <c r="HX913" s="17"/>
      <c r="HY913" s="17"/>
      <c r="HZ913" s="17"/>
      <c r="IA913" s="17"/>
      <c r="IB913" s="17"/>
      <c r="IC913" s="17"/>
      <c r="ID913" s="17"/>
      <c r="IE913" s="17"/>
      <c r="IF913" s="17"/>
      <c r="IG913" s="17"/>
      <c r="IH913" s="17"/>
      <c r="II913" s="17"/>
      <c r="IJ913" s="17"/>
      <c r="IK913" s="17"/>
      <c r="IL913" s="17"/>
      <c r="IM913" s="17"/>
      <c r="IN913" s="17"/>
      <c r="IO913" s="17"/>
      <c r="IP913" s="17"/>
      <c r="IQ913" s="17"/>
      <c r="IR913" s="17"/>
      <c r="IS913" s="17"/>
      <c r="IT913" s="17"/>
      <c r="IU913" s="17"/>
      <c r="IV913" s="17"/>
      <c r="IW913" s="17"/>
      <c r="IX913" s="17"/>
    </row>
    <row r="914" spans="1:258" ht="21.95" customHeight="1" x14ac:dyDescent="0.25">
      <c r="A914" s="37" t="s">
        <v>1078</v>
      </c>
      <c r="B914" s="8" t="s">
        <v>761</v>
      </c>
      <c r="C914" s="2">
        <f t="shared" si="564"/>
        <v>5736060</v>
      </c>
      <c r="D914" s="3">
        <f t="shared" si="560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4">
        <v>0</v>
      </c>
      <c r="L914" s="3">
        <v>0</v>
      </c>
      <c r="M914" s="3">
        <v>869.1</v>
      </c>
      <c r="N914" s="3">
        <f t="shared" ref="N914:N928" si="566">M914*6600</f>
        <v>5736060</v>
      </c>
      <c r="O914" s="3">
        <v>0</v>
      </c>
      <c r="P914" s="3">
        <v>0</v>
      </c>
      <c r="Q914" s="3">
        <v>0</v>
      </c>
      <c r="R914" s="3">
        <f t="shared" si="561"/>
        <v>0</v>
      </c>
      <c r="S914" s="3">
        <v>0</v>
      </c>
      <c r="T914" s="3">
        <v>0</v>
      </c>
      <c r="U914" s="3">
        <v>0</v>
      </c>
      <c r="V914" s="6">
        <f t="shared" si="562"/>
        <v>6600</v>
      </c>
    </row>
    <row r="915" spans="1:258" ht="21.95" customHeight="1" x14ac:dyDescent="0.25">
      <c r="A915" s="37" t="s">
        <v>917</v>
      </c>
      <c r="B915" s="8" t="s">
        <v>394</v>
      </c>
      <c r="C915" s="2">
        <f>D915+L915+N915+P915+R915+S915+T915+U915</f>
        <v>7333600</v>
      </c>
      <c r="D915" s="3">
        <f>SUM(E915:J915)</f>
        <v>2725800</v>
      </c>
      <c r="E915" s="3">
        <f>700*908.6</f>
        <v>636020</v>
      </c>
      <c r="F915" s="3">
        <f>908.6*1300</f>
        <v>1181180</v>
      </c>
      <c r="G915" s="3">
        <f>908.6*300</f>
        <v>272580</v>
      </c>
      <c r="H915" s="3">
        <f>908.6*400</f>
        <v>363440</v>
      </c>
      <c r="I915" s="3">
        <f>908.6*300</f>
        <v>272580</v>
      </c>
      <c r="J915" s="3">
        <f>350*0</f>
        <v>0</v>
      </c>
      <c r="K915" s="4">
        <v>0</v>
      </c>
      <c r="L915" s="3">
        <v>0</v>
      </c>
      <c r="M915" s="3">
        <v>683</v>
      </c>
      <c r="N915" s="3">
        <f t="shared" si="566"/>
        <v>4507800</v>
      </c>
      <c r="O915" s="3">
        <v>0</v>
      </c>
      <c r="P915" s="3">
        <v>0</v>
      </c>
      <c r="Q915" s="3">
        <v>0</v>
      </c>
      <c r="R915" s="3">
        <f t="shared" si="561"/>
        <v>0</v>
      </c>
      <c r="S915" s="3">
        <v>0</v>
      </c>
      <c r="T915" s="3">
        <v>0</v>
      </c>
      <c r="U915" s="3">
        <v>100000</v>
      </c>
      <c r="V915" s="6">
        <f>N915/M915</f>
        <v>6600</v>
      </c>
    </row>
    <row r="916" spans="1:258" ht="21.95" customHeight="1" x14ac:dyDescent="0.25">
      <c r="A916" s="37" t="s">
        <v>918</v>
      </c>
      <c r="B916" s="8" t="s">
        <v>762</v>
      </c>
      <c r="C916" s="2">
        <f t="shared" si="564"/>
        <v>5834400</v>
      </c>
      <c r="D916" s="3">
        <f t="shared" si="560"/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11">
        <v>0</v>
      </c>
      <c r="L916" s="5">
        <v>0</v>
      </c>
      <c r="M916" s="5">
        <v>884</v>
      </c>
      <c r="N916" s="3">
        <f t="shared" si="566"/>
        <v>5834400</v>
      </c>
      <c r="O916" s="5">
        <v>0</v>
      </c>
      <c r="P916" s="5">
        <v>0</v>
      </c>
      <c r="Q916" s="5">
        <v>0</v>
      </c>
      <c r="R916" s="3">
        <f t="shared" si="561"/>
        <v>0</v>
      </c>
      <c r="S916" s="5">
        <v>0</v>
      </c>
      <c r="T916" s="5">
        <v>0</v>
      </c>
      <c r="U916" s="5">
        <v>0</v>
      </c>
      <c r="V916" s="6">
        <f t="shared" si="562"/>
        <v>6600</v>
      </c>
    </row>
    <row r="917" spans="1:258" ht="21.95" customHeight="1" x14ac:dyDescent="0.25">
      <c r="A917" s="37" t="s">
        <v>919</v>
      </c>
      <c r="B917" s="8" t="s">
        <v>669</v>
      </c>
      <c r="C917" s="2">
        <f t="shared" si="564"/>
        <v>3685440</v>
      </c>
      <c r="D917" s="3">
        <f t="shared" si="560"/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4">
        <v>0</v>
      </c>
      <c r="L917" s="3">
        <v>0</v>
      </c>
      <c r="M917" s="3">
        <v>558.4</v>
      </c>
      <c r="N917" s="3">
        <f t="shared" si="566"/>
        <v>3685440</v>
      </c>
      <c r="O917" s="3">
        <v>0</v>
      </c>
      <c r="P917" s="3">
        <v>0</v>
      </c>
      <c r="Q917" s="3">
        <v>0</v>
      </c>
      <c r="R917" s="3">
        <f t="shared" si="561"/>
        <v>0</v>
      </c>
      <c r="S917" s="3">
        <v>0</v>
      </c>
      <c r="T917" s="5">
        <v>0</v>
      </c>
      <c r="U917" s="5">
        <v>0</v>
      </c>
      <c r="V917" s="6">
        <f t="shared" si="562"/>
        <v>6600</v>
      </c>
    </row>
    <row r="918" spans="1:258" ht="21.95" customHeight="1" x14ac:dyDescent="0.25">
      <c r="A918" s="37" t="s">
        <v>920</v>
      </c>
      <c r="B918" s="8" t="s">
        <v>763</v>
      </c>
      <c r="C918" s="2">
        <f t="shared" si="564"/>
        <v>3752034</v>
      </c>
      <c r="D918" s="3">
        <f t="shared" si="560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4">
        <v>0</v>
      </c>
      <c r="L918" s="3">
        <v>0</v>
      </c>
      <c r="M918" s="3">
        <v>568.49</v>
      </c>
      <c r="N918" s="3">
        <f t="shared" si="566"/>
        <v>3752034</v>
      </c>
      <c r="O918" s="3">
        <v>0</v>
      </c>
      <c r="P918" s="3">
        <v>0</v>
      </c>
      <c r="Q918" s="3">
        <v>0</v>
      </c>
      <c r="R918" s="3">
        <f t="shared" si="561"/>
        <v>0</v>
      </c>
      <c r="S918" s="3">
        <v>0</v>
      </c>
      <c r="T918" s="5">
        <v>0</v>
      </c>
      <c r="U918" s="5">
        <v>0</v>
      </c>
      <c r="V918" s="6">
        <f t="shared" si="562"/>
        <v>6600</v>
      </c>
    </row>
    <row r="919" spans="1:258" ht="21.95" customHeight="1" x14ac:dyDescent="0.25">
      <c r="A919" s="37" t="s">
        <v>921</v>
      </c>
      <c r="B919" s="8" t="s">
        <v>764</v>
      </c>
      <c r="C919" s="2">
        <f t="shared" si="564"/>
        <v>1703460.0000000002</v>
      </c>
      <c r="D919" s="3">
        <f t="shared" si="560"/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11">
        <v>0</v>
      </c>
      <c r="L919" s="5">
        <v>0</v>
      </c>
      <c r="M919" s="5">
        <v>258.10000000000002</v>
      </c>
      <c r="N919" s="3">
        <f t="shared" si="566"/>
        <v>1703460.0000000002</v>
      </c>
      <c r="O919" s="5">
        <v>0</v>
      </c>
      <c r="P919" s="5">
        <v>0</v>
      </c>
      <c r="Q919" s="5">
        <v>0</v>
      </c>
      <c r="R919" s="3">
        <f t="shared" si="561"/>
        <v>0</v>
      </c>
      <c r="S919" s="5">
        <v>0</v>
      </c>
      <c r="T919" s="5">
        <v>0</v>
      </c>
      <c r="U919" s="5">
        <v>0</v>
      </c>
      <c r="V919" s="6">
        <f t="shared" si="562"/>
        <v>6600</v>
      </c>
    </row>
    <row r="920" spans="1:258" ht="21.95" customHeight="1" x14ac:dyDescent="0.25">
      <c r="A920" s="37" t="s">
        <v>922</v>
      </c>
      <c r="B920" s="8" t="s">
        <v>670</v>
      </c>
      <c r="C920" s="2">
        <f t="shared" si="564"/>
        <v>3669600</v>
      </c>
      <c r="D920" s="3">
        <f t="shared" si="560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11">
        <v>0</v>
      </c>
      <c r="L920" s="5">
        <v>0</v>
      </c>
      <c r="M920" s="3">
        <v>556</v>
      </c>
      <c r="N920" s="3">
        <f t="shared" si="566"/>
        <v>3669600</v>
      </c>
      <c r="O920" s="5">
        <v>0</v>
      </c>
      <c r="P920" s="5">
        <v>0</v>
      </c>
      <c r="Q920" s="5">
        <v>0</v>
      </c>
      <c r="R920" s="3">
        <f t="shared" si="561"/>
        <v>0</v>
      </c>
      <c r="S920" s="5">
        <v>0</v>
      </c>
      <c r="T920" s="5">
        <v>0</v>
      </c>
      <c r="U920" s="5">
        <v>0</v>
      </c>
      <c r="V920" s="6">
        <f t="shared" si="562"/>
        <v>6600</v>
      </c>
    </row>
    <row r="921" spans="1:258" ht="21.95" customHeight="1" x14ac:dyDescent="0.25">
      <c r="A921" s="37" t="s">
        <v>923</v>
      </c>
      <c r="B921" s="8" t="s">
        <v>990</v>
      </c>
      <c r="C921" s="2">
        <f t="shared" si="564"/>
        <v>3260000</v>
      </c>
      <c r="D921" s="3">
        <f t="shared" si="560"/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11">
        <v>0</v>
      </c>
      <c r="L921" s="5">
        <v>0</v>
      </c>
      <c r="M921" s="3">
        <v>300</v>
      </c>
      <c r="N921" s="3">
        <f t="shared" si="566"/>
        <v>1980000</v>
      </c>
      <c r="O921" s="5">
        <v>0</v>
      </c>
      <c r="P921" s="5">
        <v>0</v>
      </c>
      <c r="Q921" s="5">
        <v>400</v>
      </c>
      <c r="R921" s="3">
        <f t="shared" si="561"/>
        <v>1280000</v>
      </c>
      <c r="S921" s="5">
        <v>0</v>
      </c>
      <c r="T921" s="5">
        <v>0</v>
      </c>
      <c r="U921" s="5">
        <v>0</v>
      </c>
      <c r="V921" s="6">
        <f t="shared" si="562"/>
        <v>6600</v>
      </c>
    </row>
    <row r="922" spans="1:258" ht="21.95" customHeight="1" x14ac:dyDescent="0.25">
      <c r="A922" s="37" t="s">
        <v>924</v>
      </c>
      <c r="B922" s="8" t="s">
        <v>765</v>
      </c>
      <c r="C922" s="2">
        <f t="shared" si="564"/>
        <v>4342800</v>
      </c>
      <c r="D922" s="3">
        <f t="shared" si="560"/>
        <v>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4">
        <v>0</v>
      </c>
      <c r="L922" s="3">
        <v>0</v>
      </c>
      <c r="M922" s="3">
        <v>658</v>
      </c>
      <c r="N922" s="3">
        <f t="shared" si="566"/>
        <v>4342800</v>
      </c>
      <c r="O922" s="5">
        <v>0</v>
      </c>
      <c r="P922" s="5">
        <v>0</v>
      </c>
      <c r="Q922" s="5">
        <v>0</v>
      </c>
      <c r="R922" s="3">
        <f t="shared" si="561"/>
        <v>0</v>
      </c>
      <c r="S922" s="5">
        <v>0</v>
      </c>
      <c r="T922" s="5">
        <v>0</v>
      </c>
      <c r="U922" s="5">
        <v>0</v>
      </c>
      <c r="V922" s="6">
        <f t="shared" si="562"/>
        <v>6600</v>
      </c>
    </row>
    <row r="923" spans="1:258" ht="21.95" customHeight="1" x14ac:dyDescent="0.25">
      <c r="A923" s="37" t="s">
        <v>925</v>
      </c>
      <c r="B923" s="8" t="s">
        <v>766</v>
      </c>
      <c r="C923" s="2">
        <f t="shared" si="564"/>
        <v>4243800</v>
      </c>
      <c r="D923" s="3">
        <f t="shared" si="560"/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5">
        <v>643</v>
      </c>
      <c r="N923" s="3">
        <f t="shared" si="566"/>
        <v>4243800</v>
      </c>
      <c r="O923" s="5">
        <v>0</v>
      </c>
      <c r="P923" s="5">
        <v>0</v>
      </c>
      <c r="Q923" s="5">
        <v>0</v>
      </c>
      <c r="R923" s="3">
        <f t="shared" si="561"/>
        <v>0</v>
      </c>
      <c r="S923" s="5">
        <v>0</v>
      </c>
      <c r="T923" s="5">
        <v>0</v>
      </c>
      <c r="U923" s="5">
        <v>0</v>
      </c>
      <c r="V923" s="6">
        <f t="shared" si="562"/>
        <v>6600</v>
      </c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7"/>
      <c r="CA923" s="17"/>
      <c r="CB923" s="17"/>
      <c r="CC923" s="17"/>
      <c r="CD923" s="17"/>
      <c r="CE923" s="17"/>
      <c r="CF923" s="17"/>
      <c r="CG923" s="17"/>
      <c r="CH923" s="17"/>
      <c r="CI923" s="17"/>
      <c r="CJ923" s="17"/>
      <c r="CK923" s="17"/>
      <c r="CL923" s="17"/>
      <c r="CM923" s="17"/>
      <c r="CN923" s="17"/>
      <c r="CO923" s="17"/>
      <c r="CP923" s="17"/>
      <c r="CQ923" s="17"/>
      <c r="CR923" s="17"/>
      <c r="CS923" s="17"/>
      <c r="CT923" s="17"/>
      <c r="CU923" s="17"/>
      <c r="CV923" s="17"/>
      <c r="CW923" s="17"/>
      <c r="CX923" s="17"/>
      <c r="CY923" s="17"/>
      <c r="CZ923" s="17"/>
      <c r="DA923" s="17"/>
      <c r="DB923" s="17"/>
      <c r="DC923" s="17"/>
      <c r="DD923" s="17"/>
      <c r="DE923" s="17"/>
      <c r="DF923" s="17"/>
      <c r="DG923" s="17"/>
      <c r="DH923" s="17"/>
      <c r="DI923" s="17"/>
      <c r="DJ923" s="17"/>
      <c r="DK923" s="17"/>
      <c r="DL923" s="17"/>
      <c r="DM923" s="17"/>
      <c r="DN923" s="17"/>
      <c r="DO923" s="17"/>
      <c r="DP923" s="17"/>
      <c r="DQ923" s="17"/>
      <c r="DR923" s="17"/>
      <c r="DS923" s="17"/>
      <c r="DT923" s="17"/>
      <c r="DU923" s="17"/>
      <c r="DV923" s="17"/>
      <c r="DW923" s="17"/>
      <c r="DX923" s="17"/>
      <c r="DY923" s="17"/>
      <c r="DZ923" s="17"/>
      <c r="EA923" s="17"/>
      <c r="EB923" s="17"/>
      <c r="EC923" s="17"/>
      <c r="ED923" s="17"/>
      <c r="EE923" s="17"/>
      <c r="EF923" s="17"/>
      <c r="EG923" s="17"/>
      <c r="EH923" s="17"/>
      <c r="EI923" s="17"/>
      <c r="EJ923" s="17"/>
      <c r="EK923" s="17"/>
      <c r="EL923" s="17"/>
      <c r="EM923" s="17"/>
      <c r="EN923" s="17"/>
      <c r="EO923" s="17"/>
      <c r="EP923" s="17"/>
      <c r="EQ923" s="17"/>
      <c r="ER923" s="17"/>
      <c r="ES923" s="17"/>
      <c r="ET923" s="17"/>
      <c r="EU923" s="17"/>
      <c r="EV923" s="17"/>
      <c r="EW923" s="17"/>
      <c r="EX923" s="17"/>
      <c r="EY923" s="17"/>
      <c r="EZ923" s="17"/>
      <c r="FA923" s="17"/>
      <c r="FB923" s="17"/>
      <c r="FC923" s="17"/>
      <c r="FD923" s="17"/>
      <c r="FE923" s="17"/>
      <c r="FF923" s="17"/>
      <c r="FG923" s="17"/>
      <c r="FH923" s="17"/>
      <c r="FI923" s="17"/>
      <c r="FJ923" s="17"/>
      <c r="FK923" s="17"/>
      <c r="FL923" s="17"/>
      <c r="FM923" s="17"/>
      <c r="FN923" s="17"/>
      <c r="FO923" s="17"/>
      <c r="FP923" s="17"/>
      <c r="FQ923" s="17"/>
      <c r="FR923" s="17"/>
      <c r="FS923" s="17"/>
      <c r="FT923" s="17"/>
      <c r="FU923" s="17"/>
      <c r="FV923" s="17"/>
      <c r="FW923" s="17"/>
      <c r="FX923" s="17"/>
      <c r="FY923" s="17"/>
      <c r="FZ923" s="17"/>
      <c r="GA923" s="17"/>
      <c r="GB923" s="17"/>
      <c r="GC923" s="17"/>
      <c r="GD923" s="17"/>
      <c r="GE923" s="17"/>
      <c r="GF923" s="17"/>
      <c r="GG923" s="17"/>
      <c r="GH923" s="17"/>
      <c r="GI923" s="17"/>
      <c r="GJ923" s="17"/>
      <c r="GK923" s="17"/>
      <c r="GL923" s="17"/>
      <c r="GM923" s="17"/>
      <c r="GN923" s="17"/>
      <c r="GO923" s="17"/>
      <c r="GP923" s="17"/>
      <c r="GQ923" s="17"/>
      <c r="GR923" s="17"/>
      <c r="GS923" s="17"/>
      <c r="GT923" s="17"/>
      <c r="GU923" s="17"/>
      <c r="GV923" s="17"/>
      <c r="GW923" s="17"/>
      <c r="GX923" s="17"/>
      <c r="GY923" s="17"/>
      <c r="GZ923" s="17"/>
      <c r="HA923" s="17"/>
      <c r="HB923" s="17"/>
      <c r="HC923" s="17"/>
      <c r="HD923" s="17"/>
      <c r="HE923" s="17"/>
      <c r="HF923" s="17"/>
      <c r="HG923" s="17"/>
      <c r="HH923" s="17"/>
      <c r="HI923" s="17"/>
      <c r="HJ923" s="17"/>
      <c r="HK923" s="17"/>
      <c r="HL923" s="17"/>
      <c r="HM923" s="17"/>
      <c r="HN923" s="17"/>
      <c r="HO923" s="17"/>
      <c r="HP923" s="17"/>
      <c r="HQ923" s="17"/>
      <c r="HR923" s="17"/>
      <c r="HS923" s="17"/>
      <c r="HT923" s="17"/>
      <c r="HU923" s="17"/>
      <c r="HV923" s="17"/>
      <c r="HW923" s="17"/>
      <c r="HX923" s="17"/>
      <c r="HY923" s="17"/>
      <c r="HZ923" s="17"/>
      <c r="IA923" s="17"/>
      <c r="IB923" s="17"/>
      <c r="IC923" s="17"/>
      <c r="ID923" s="17"/>
      <c r="IE923" s="17"/>
      <c r="IF923" s="17"/>
      <c r="IG923" s="17"/>
      <c r="IH923" s="17"/>
      <c r="II923" s="17"/>
      <c r="IJ923" s="17"/>
      <c r="IK923" s="17"/>
      <c r="IL923" s="17"/>
      <c r="IM923" s="17"/>
      <c r="IN923" s="17"/>
      <c r="IO923" s="17"/>
      <c r="IP923" s="17"/>
      <c r="IQ923" s="17"/>
      <c r="IR923" s="17"/>
      <c r="IS923" s="17"/>
      <c r="IT923" s="17"/>
      <c r="IU923" s="17"/>
      <c r="IV923" s="17"/>
      <c r="IW923" s="17"/>
      <c r="IX923" s="17"/>
    </row>
    <row r="924" spans="1:258" ht="21.95" customHeight="1" x14ac:dyDescent="0.25">
      <c r="A924" s="37" t="s">
        <v>926</v>
      </c>
      <c r="B924" s="8" t="s">
        <v>767</v>
      </c>
      <c r="C924" s="2">
        <f t="shared" si="564"/>
        <v>1968120</v>
      </c>
      <c r="D924" s="3">
        <f t="shared" si="560"/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3">
        <v>298.2</v>
      </c>
      <c r="N924" s="3">
        <f t="shared" si="566"/>
        <v>1968120</v>
      </c>
      <c r="O924" s="5">
        <v>0</v>
      </c>
      <c r="P924" s="5">
        <v>0</v>
      </c>
      <c r="Q924" s="5">
        <v>0</v>
      </c>
      <c r="R924" s="3">
        <f t="shared" si="561"/>
        <v>0</v>
      </c>
      <c r="S924" s="5">
        <v>0</v>
      </c>
      <c r="T924" s="5">
        <v>0</v>
      </c>
      <c r="U924" s="5">
        <v>0</v>
      </c>
      <c r="V924" s="6">
        <f t="shared" si="562"/>
        <v>6600</v>
      </c>
    </row>
    <row r="925" spans="1:258" ht="21.95" customHeight="1" x14ac:dyDescent="0.25">
      <c r="A925" s="37" t="s">
        <v>927</v>
      </c>
      <c r="B925" s="8" t="s">
        <v>768</v>
      </c>
      <c r="C925" s="2">
        <f t="shared" si="564"/>
        <v>1425600</v>
      </c>
      <c r="D925" s="3">
        <f t="shared" si="560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5">
        <v>216</v>
      </c>
      <c r="N925" s="3">
        <f t="shared" si="566"/>
        <v>1425600</v>
      </c>
      <c r="O925" s="5">
        <v>0</v>
      </c>
      <c r="P925" s="5">
        <v>0</v>
      </c>
      <c r="Q925" s="5">
        <v>0</v>
      </c>
      <c r="R925" s="3">
        <f t="shared" si="561"/>
        <v>0</v>
      </c>
      <c r="S925" s="5">
        <v>0</v>
      </c>
      <c r="T925" s="5">
        <v>0</v>
      </c>
      <c r="U925" s="5">
        <v>0</v>
      </c>
      <c r="V925" s="6">
        <f t="shared" si="562"/>
        <v>6600</v>
      </c>
    </row>
    <row r="926" spans="1:258" s="6" customFormat="1" ht="21.95" customHeight="1" x14ac:dyDescent="0.25">
      <c r="A926" s="37" t="s">
        <v>928</v>
      </c>
      <c r="B926" s="8" t="s">
        <v>671</v>
      </c>
      <c r="C926" s="2">
        <f t="shared" si="564"/>
        <v>2409000</v>
      </c>
      <c r="D926" s="3">
        <f t="shared" si="560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4">
        <v>0</v>
      </c>
      <c r="L926" s="3">
        <v>0</v>
      </c>
      <c r="M926" s="3">
        <v>365</v>
      </c>
      <c r="N926" s="3">
        <f t="shared" si="566"/>
        <v>2409000</v>
      </c>
      <c r="O926" s="5">
        <v>0</v>
      </c>
      <c r="P926" s="5">
        <v>0</v>
      </c>
      <c r="Q926" s="5">
        <v>0</v>
      </c>
      <c r="R926" s="3">
        <f t="shared" si="561"/>
        <v>0</v>
      </c>
      <c r="S926" s="5">
        <v>0</v>
      </c>
      <c r="T926" s="5">
        <v>0</v>
      </c>
      <c r="U926" s="5">
        <v>0</v>
      </c>
      <c r="V926" s="6">
        <f t="shared" si="562"/>
        <v>6600</v>
      </c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  <c r="DL926" s="7"/>
      <c r="DM926" s="7"/>
      <c r="DN926" s="7"/>
      <c r="DO926" s="7"/>
      <c r="DP926" s="7"/>
      <c r="DQ926" s="7"/>
      <c r="DR926" s="7"/>
      <c r="DS926" s="7"/>
      <c r="DT926" s="7"/>
      <c r="DU926" s="7"/>
      <c r="DV926" s="7"/>
      <c r="DW926" s="7"/>
      <c r="DX926" s="7"/>
      <c r="DY926" s="7"/>
      <c r="DZ926" s="7"/>
      <c r="EA926" s="7"/>
      <c r="EB926" s="7"/>
      <c r="EC926" s="7"/>
      <c r="ED926" s="7"/>
      <c r="EE926" s="7"/>
      <c r="EF926" s="7"/>
      <c r="EG926" s="7"/>
      <c r="EH926" s="7"/>
      <c r="EI926" s="7"/>
      <c r="EJ926" s="7"/>
      <c r="EK926" s="7"/>
      <c r="EL926" s="7"/>
      <c r="EM926" s="7"/>
      <c r="EN926" s="7"/>
      <c r="EO926" s="7"/>
      <c r="EP926" s="7"/>
      <c r="EQ926" s="7"/>
      <c r="ER926" s="7"/>
      <c r="ES926" s="7"/>
      <c r="ET926" s="7"/>
      <c r="EU926" s="7"/>
      <c r="EV926" s="7"/>
      <c r="EW926" s="7"/>
      <c r="EX926" s="7"/>
      <c r="EY926" s="7"/>
      <c r="EZ926" s="7"/>
      <c r="FA926" s="7"/>
      <c r="FB926" s="7"/>
      <c r="FC926" s="7"/>
      <c r="FD926" s="7"/>
      <c r="FE926" s="7"/>
      <c r="FF926" s="7"/>
      <c r="FG926" s="7"/>
      <c r="FH926" s="7"/>
      <c r="FI926" s="7"/>
      <c r="FJ926" s="7"/>
      <c r="FK926" s="7"/>
      <c r="FL926" s="7"/>
      <c r="FM926" s="7"/>
      <c r="FN926" s="7"/>
      <c r="FO926" s="7"/>
      <c r="FP926" s="7"/>
      <c r="FQ926" s="7"/>
      <c r="FR926" s="7"/>
      <c r="FS926" s="7"/>
      <c r="FT926" s="7"/>
      <c r="FU926" s="7"/>
      <c r="FV926" s="7"/>
      <c r="FW926" s="7"/>
      <c r="FX926" s="7"/>
      <c r="FY926" s="7"/>
      <c r="FZ926" s="7"/>
      <c r="GA926" s="7"/>
      <c r="GB926" s="7"/>
      <c r="GC926" s="7"/>
      <c r="GD926" s="7"/>
      <c r="GE926" s="7"/>
      <c r="GF926" s="7"/>
      <c r="GG926" s="7"/>
      <c r="GH926" s="7"/>
      <c r="GI926" s="7"/>
      <c r="GJ926" s="7"/>
      <c r="GK926" s="7"/>
      <c r="GL926" s="7"/>
      <c r="GM926" s="7"/>
      <c r="GN926" s="7"/>
      <c r="GO926" s="7"/>
      <c r="GP926" s="7"/>
      <c r="GQ926" s="7"/>
      <c r="GR926" s="7"/>
      <c r="GS926" s="7"/>
      <c r="GT926" s="7"/>
      <c r="GU926" s="7"/>
      <c r="GV926" s="7"/>
      <c r="GW926" s="7"/>
      <c r="GX926" s="7"/>
      <c r="GY926" s="7"/>
      <c r="GZ926" s="7"/>
      <c r="HA926" s="7"/>
      <c r="HB926" s="7"/>
      <c r="HC926" s="7"/>
      <c r="HD926" s="7"/>
      <c r="HE926" s="7"/>
      <c r="HF926" s="7"/>
      <c r="HG926" s="7"/>
      <c r="HH926" s="7"/>
      <c r="HI926" s="7"/>
      <c r="HJ926" s="7"/>
      <c r="HK926" s="7"/>
      <c r="HL926" s="7"/>
      <c r="HM926" s="7"/>
      <c r="HN926" s="7"/>
      <c r="HO926" s="7"/>
      <c r="HP926" s="7"/>
      <c r="HQ926" s="7"/>
      <c r="HR926" s="7"/>
      <c r="HS926" s="7"/>
      <c r="HT926" s="7"/>
      <c r="HU926" s="7"/>
      <c r="HV926" s="7"/>
      <c r="HW926" s="7"/>
      <c r="HX926" s="7"/>
      <c r="HY926" s="7"/>
      <c r="HZ926" s="7"/>
      <c r="IA926" s="7"/>
      <c r="IB926" s="7"/>
      <c r="IC926" s="7"/>
      <c r="ID926" s="7"/>
      <c r="IE926" s="7"/>
      <c r="IF926" s="7"/>
      <c r="IG926" s="7"/>
      <c r="IH926" s="7"/>
      <c r="II926" s="7"/>
      <c r="IJ926" s="7"/>
      <c r="IK926" s="7"/>
      <c r="IL926" s="7"/>
      <c r="IM926" s="7"/>
      <c r="IN926" s="7"/>
      <c r="IO926" s="7"/>
      <c r="IP926" s="7"/>
      <c r="IQ926" s="7"/>
      <c r="IR926" s="7"/>
      <c r="IS926" s="7"/>
      <c r="IT926" s="7"/>
      <c r="IU926" s="7"/>
      <c r="IV926" s="7"/>
      <c r="IW926" s="7"/>
      <c r="IX926" s="7"/>
    </row>
    <row r="927" spans="1:258" ht="21.95" customHeight="1" x14ac:dyDescent="0.25">
      <c r="A927" s="37" t="s">
        <v>929</v>
      </c>
      <c r="B927" s="8" t="s">
        <v>673</v>
      </c>
      <c r="C927" s="2">
        <f t="shared" si="564"/>
        <v>1350360</v>
      </c>
      <c r="D927" s="3">
        <f t="shared" si="560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4">
        <v>0</v>
      </c>
      <c r="L927" s="3">
        <v>0</v>
      </c>
      <c r="M927" s="5">
        <v>204.6</v>
      </c>
      <c r="N927" s="3">
        <f t="shared" si="566"/>
        <v>1350360</v>
      </c>
      <c r="O927" s="3">
        <v>0</v>
      </c>
      <c r="P927" s="3">
        <v>0</v>
      </c>
      <c r="Q927" s="3">
        <v>0</v>
      </c>
      <c r="R927" s="3">
        <f t="shared" si="561"/>
        <v>0</v>
      </c>
      <c r="S927" s="3">
        <v>0</v>
      </c>
      <c r="T927" s="5">
        <v>0</v>
      </c>
      <c r="U927" s="3">
        <v>0</v>
      </c>
      <c r="V927" s="6">
        <f t="shared" si="562"/>
        <v>6600</v>
      </c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  <c r="CA927" s="6"/>
      <c r="CB927" s="6"/>
      <c r="CC927" s="6"/>
      <c r="CD927" s="6"/>
      <c r="CE927" s="6"/>
      <c r="CF927" s="6"/>
      <c r="CG927" s="6"/>
      <c r="CH927" s="6"/>
      <c r="CI927" s="6"/>
      <c r="CJ927" s="6"/>
      <c r="CK927" s="6"/>
      <c r="CL927" s="6"/>
      <c r="CM927" s="6"/>
      <c r="CN927" s="6"/>
      <c r="CO927" s="6"/>
      <c r="CP927" s="6"/>
      <c r="CQ927" s="6"/>
      <c r="CR927" s="6"/>
      <c r="CS927" s="6"/>
      <c r="CT927" s="6"/>
      <c r="CU927" s="6"/>
      <c r="CV927" s="6"/>
      <c r="CW927" s="6"/>
      <c r="CX927" s="6"/>
      <c r="CY927" s="6"/>
      <c r="CZ927" s="6"/>
      <c r="DA927" s="6"/>
      <c r="DB927" s="6"/>
      <c r="DC927" s="6"/>
      <c r="DD927" s="6"/>
      <c r="DE927" s="6"/>
      <c r="DF927" s="6"/>
      <c r="DG927" s="6"/>
      <c r="DH927" s="6"/>
      <c r="DI927" s="6"/>
      <c r="DJ927" s="6"/>
      <c r="DK927" s="6"/>
      <c r="DL927" s="6"/>
      <c r="DM927" s="6"/>
      <c r="DN927" s="6"/>
      <c r="DO927" s="6"/>
      <c r="DP927" s="6"/>
      <c r="DQ927" s="6"/>
      <c r="DR927" s="6"/>
      <c r="DS927" s="6"/>
      <c r="DT927" s="6"/>
      <c r="DU927" s="6"/>
      <c r="DV927" s="6"/>
      <c r="DW927" s="6"/>
      <c r="DX927" s="6"/>
      <c r="DY927" s="6"/>
      <c r="DZ927" s="6"/>
      <c r="EA927" s="6"/>
      <c r="EB927" s="6"/>
      <c r="EC927" s="6"/>
      <c r="ED927" s="6"/>
      <c r="EE927" s="6"/>
      <c r="EF927" s="6"/>
      <c r="EG927" s="6"/>
      <c r="EH927" s="6"/>
      <c r="EI927" s="6"/>
      <c r="EJ927" s="6"/>
      <c r="EK927" s="6"/>
      <c r="EL927" s="6"/>
      <c r="EM927" s="6"/>
      <c r="EN927" s="6"/>
      <c r="EO927" s="6"/>
      <c r="EP927" s="6"/>
      <c r="EQ927" s="6"/>
      <c r="ER927" s="6"/>
      <c r="ES927" s="6"/>
      <c r="ET927" s="6"/>
      <c r="EU927" s="6"/>
      <c r="EV927" s="6"/>
      <c r="EW927" s="6"/>
      <c r="EX927" s="6"/>
      <c r="EY927" s="6"/>
      <c r="EZ927" s="6"/>
      <c r="FA927" s="6"/>
      <c r="FB927" s="6"/>
      <c r="FC927" s="6"/>
      <c r="FD927" s="6"/>
      <c r="FE927" s="6"/>
      <c r="FF927" s="6"/>
      <c r="FG927" s="6"/>
      <c r="FH927" s="6"/>
      <c r="FI927" s="6"/>
      <c r="FJ927" s="6"/>
      <c r="FK927" s="6"/>
      <c r="FL927" s="6"/>
      <c r="FM927" s="6"/>
      <c r="FN927" s="6"/>
      <c r="FO927" s="6"/>
      <c r="FP927" s="6"/>
      <c r="FQ927" s="6"/>
      <c r="FR927" s="6"/>
      <c r="FS927" s="6"/>
      <c r="FT927" s="6"/>
      <c r="FU927" s="6"/>
      <c r="FV927" s="6"/>
      <c r="FW927" s="6"/>
      <c r="FX927" s="6"/>
      <c r="FY927" s="6"/>
      <c r="FZ927" s="6"/>
      <c r="GA927" s="6"/>
      <c r="GB927" s="6"/>
      <c r="GC927" s="6"/>
      <c r="GD927" s="6"/>
      <c r="GE927" s="6"/>
      <c r="GF927" s="6"/>
      <c r="GG927" s="6"/>
      <c r="GH927" s="6"/>
      <c r="GI927" s="6"/>
      <c r="GJ927" s="6"/>
      <c r="GK927" s="6"/>
      <c r="GL927" s="6"/>
      <c r="GM927" s="6"/>
      <c r="GN927" s="6"/>
      <c r="GO927" s="6"/>
      <c r="GP927" s="6"/>
      <c r="GQ927" s="6"/>
      <c r="GR927" s="6"/>
      <c r="GS927" s="6"/>
      <c r="GT927" s="6"/>
      <c r="GU927" s="6"/>
      <c r="GV927" s="6"/>
      <c r="GW927" s="6"/>
      <c r="GX927" s="6"/>
      <c r="GY927" s="6"/>
      <c r="GZ927" s="6"/>
      <c r="HA927" s="6"/>
      <c r="HB927" s="6"/>
      <c r="HC927" s="6"/>
      <c r="HD927" s="6"/>
      <c r="HE927" s="6"/>
      <c r="HF927" s="6"/>
      <c r="HG927" s="6"/>
      <c r="HH927" s="6"/>
      <c r="HI927" s="6"/>
      <c r="HJ927" s="6"/>
      <c r="HK927" s="6"/>
      <c r="HL927" s="6"/>
      <c r="HM927" s="6"/>
      <c r="HN927" s="6"/>
      <c r="HO927" s="6"/>
      <c r="HP927" s="6"/>
      <c r="HQ927" s="6"/>
      <c r="HR927" s="6"/>
      <c r="HS927" s="6"/>
      <c r="HT927" s="6"/>
      <c r="HU927" s="6"/>
      <c r="HV927" s="6"/>
      <c r="HW927" s="6"/>
      <c r="HX927" s="6"/>
      <c r="HY927" s="6"/>
      <c r="HZ927" s="6"/>
      <c r="IA927" s="6"/>
      <c r="IB927" s="6"/>
      <c r="IC927" s="6"/>
      <c r="ID927" s="6"/>
      <c r="IE927" s="6"/>
      <c r="IF927" s="6"/>
      <c r="IG927" s="6"/>
      <c r="IH927" s="6"/>
      <c r="II927" s="6"/>
      <c r="IJ927" s="6"/>
      <c r="IK927" s="6"/>
      <c r="IL927" s="6"/>
      <c r="IM927" s="6"/>
      <c r="IN927" s="6"/>
      <c r="IO927" s="6"/>
      <c r="IP927" s="6"/>
      <c r="IQ927" s="6"/>
      <c r="IR927" s="6"/>
      <c r="IS927" s="6"/>
      <c r="IT927" s="6"/>
      <c r="IU927" s="6"/>
      <c r="IV927" s="6"/>
      <c r="IW927" s="6"/>
      <c r="IX927" s="6"/>
    </row>
    <row r="928" spans="1:258" ht="21.95" customHeight="1" x14ac:dyDescent="0.25">
      <c r="A928" s="37" t="s">
        <v>930</v>
      </c>
      <c r="B928" s="8" t="s">
        <v>769</v>
      </c>
      <c r="C928" s="2">
        <f t="shared" si="564"/>
        <v>1431936</v>
      </c>
      <c r="D928" s="3">
        <f t="shared" si="560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4">
        <v>0</v>
      </c>
      <c r="L928" s="3">
        <v>0</v>
      </c>
      <c r="M928" s="5">
        <v>216.96</v>
      </c>
      <c r="N928" s="3">
        <f t="shared" si="566"/>
        <v>1431936</v>
      </c>
      <c r="O928" s="3">
        <v>0</v>
      </c>
      <c r="P928" s="3">
        <v>0</v>
      </c>
      <c r="Q928" s="3">
        <v>0</v>
      </c>
      <c r="R928" s="3">
        <f t="shared" si="561"/>
        <v>0</v>
      </c>
      <c r="S928" s="3">
        <v>0</v>
      </c>
      <c r="T928" s="5">
        <v>0</v>
      </c>
      <c r="U928" s="3">
        <v>0</v>
      </c>
      <c r="V928" s="6">
        <f t="shared" si="562"/>
        <v>6600</v>
      </c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6"/>
      <c r="AX928" s="26"/>
      <c r="AY928" s="26"/>
      <c r="AZ928" s="26"/>
      <c r="BA928" s="26"/>
      <c r="BB928" s="26"/>
      <c r="BC928" s="26"/>
      <c r="BD928" s="26"/>
      <c r="BE928" s="26"/>
      <c r="BF928" s="26"/>
      <c r="BG928" s="26"/>
      <c r="BH928" s="26"/>
      <c r="BI928" s="26"/>
      <c r="BJ928" s="26"/>
      <c r="BK928" s="26"/>
      <c r="BL928" s="26"/>
      <c r="BM928" s="26"/>
      <c r="BN928" s="26"/>
      <c r="BO928" s="26"/>
      <c r="BP928" s="26"/>
      <c r="BQ928" s="26"/>
      <c r="BR928" s="26"/>
      <c r="BS928" s="26"/>
      <c r="BT928" s="26"/>
      <c r="BU928" s="26"/>
      <c r="BV928" s="26"/>
      <c r="BW928" s="26"/>
      <c r="BX928" s="26"/>
      <c r="BY928" s="26"/>
      <c r="BZ928" s="26"/>
      <c r="CA928" s="26"/>
      <c r="CB928" s="26"/>
      <c r="CC928" s="26"/>
      <c r="CD928" s="26"/>
      <c r="CE928" s="26"/>
      <c r="CF928" s="26"/>
      <c r="CG928" s="26"/>
      <c r="CH928" s="26"/>
      <c r="CI928" s="26"/>
      <c r="CJ928" s="26"/>
      <c r="CK928" s="26"/>
      <c r="CL928" s="26"/>
      <c r="CM928" s="26"/>
      <c r="CN928" s="26"/>
      <c r="CO928" s="26"/>
      <c r="CP928" s="26"/>
      <c r="CQ928" s="26"/>
      <c r="CR928" s="26"/>
      <c r="CS928" s="26"/>
      <c r="CT928" s="26"/>
      <c r="CU928" s="26"/>
      <c r="CV928" s="26"/>
      <c r="CW928" s="26"/>
      <c r="CX928" s="26"/>
      <c r="CY928" s="26"/>
      <c r="CZ928" s="26"/>
      <c r="DA928" s="26"/>
      <c r="DB928" s="26"/>
      <c r="DC928" s="26"/>
      <c r="DD928" s="26"/>
      <c r="DE928" s="26"/>
      <c r="DF928" s="26"/>
      <c r="DG928" s="26"/>
      <c r="DH928" s="26"/>
      <c r="DI928" s="26"/>
      <c r="DJ928" s="26"/>
      <c r="DK928" s="26"/>
      <c r="DL928" s="26"/>
      <c r="DM928" s="26"/>
      <c r="DN928" s="26"/>
      <c r="DO928" s="26"/>
      <c r="DP928" s="26"/>
      <c r="DQ928" s="26"/>
      <c r="DR928" s="26"/>
      <c r="DS928" s="26"/>
      <c r="DT928" s="26"/>
      <c r="DU928" s="26"/>
      <c r="DV928" s="26"/>
      <c r="DW928" s="26"/>
      <c r="DX928" s="26"/>
      <c r="DY928" s="26"/>
      <c r="DZ928" s="26"/>
      <c r="EA928" s="26"/>
      <c r="EB928" s="26"/>
      <c r="EC928" s="26"/>
      <c r="ED928" s="26"/>
      <c r="EE928" s="26"/>
      <c r="EF928" s="26"/>
      <c r="EG928" s="26"/>
      <c r="EH928" s="26"/>
      <c r="EI928" s="26"/>
      <c r="EJ928" s="26"/>
      <c r="EK928" s="26"/>
      <c r="EL928" s="26"/>
      <c r="EM928" s="26"/>
      <c r="EN928" s="26"/>
      <c r="EO928" s="26"/>
      <c r="EP928" s="26"/>
      <c r="EQ928" s="26"/>
      <c r="ER928" s="26"/>
      <c r="ES928" s="26"/>
      <c r="ET928" s="26"/>
      <c r="EU928" s="26"/>
      <c r="EV928" s="26"/>
      <c r="EW928" s="26"/>
      <c r="EX928" s="26"/>
      <c r="EY928" s="26"/>
      <c r="EZ928" s="26"/>
      <c r="FA928" s="26"/>
      <c r="FB928" s="26"/>
      <c r="FC928" s="26"/>
      <c r="FD928" s="26"/>
      <c r="FE928" s="26"/>
      <c r="FF928" s="26"/>
      <c r="FG928" s="26"/>
      <c r="FH928" s="26"/>
      <c r="FI928" s="26"/>
      <c r="FJ928" s="26"/>
      <c r="FK928" s="26"/>
      <c r="FL928" s="26"/>
      <c r="FM928" s="26"/>
      <c r="FN928" s="26"/>
      <c r="FO928" s="26"/>
      <c r="FP928" s="26"/>
      <c r="FQ928" s="26"/>
      <c r="FR928" s="26"/>
      <c r="FS928" s="26"/>
      <c r="FT928" s="26"/>
      <c r="FU928" s="26"/>
      <c r="FV928" s="26"/>
      <c r="FW928" s="26"/>
      <c r="FX928" s="26"/>
      <c r="FY928" s="26"/>
      <c r="FZ928" s="26"/>
      <c r="GA928" s="26"/>
      <c r="GB928" s="26"/>
      <c r="GC928" s="26"/>
      <c r="GD928" s="26"/>
      <c r="GE928" s="26"/>
      <c r="GF928" s="26"/>
      <c r="GG928" s="26"/>
      <c r="GH928" s="26"/>
      <c r="GI928" s="26"/>
      <c r="GJ928" s="26"/>
      <c r="GK928" s="26"/>
      <c r="GL928" s="26"/>
      <c r="GM928" s="26"/>
      <c r="GN928" s="26"/>
      <c r="GO928" s="26"/>
      <c r="GP928" s="26"/>
      <c r="GQ928" s="26"/>
      <c r="GR928" s="26"/>
      <c r="GS928" s="26"/>
      <c r="GT928" s="26"/>
      <c r="GU928" s="26"/>
      <c r="GV928" s="26"/>
      <c r="GW928" s="26"/>
      <c r="GX928" s="26"/>
      <c r="GY928" s="26"/>
      <c r="GZ928" s="26"/>
      <c r="HA928" s="26"/>
      <c r="HB928" s="26"/>
      <c r="HC928" s="26"/>
      <c r="HD928" s="26"/>
      <c r="HE928" s="26"/>
      <c r="HF928" s="26"/>
      <c r="HG928" s="26"/>
      <c r="HH928" s="26"/>
      <c r="HI928" s="26"/>
      <c r="HJ928" s="26"/>
      <c r="HK928" s="26"/>
      <c r="HL928" s="26"/>
      <c r="HM928" s="26"/>
      <c r="HN928" s="26"/>
      <c r="HO928" s="26"/>
      <c r="HP928" s="26"/>
      <c r="HQ928" s="26"/>
      <c r="HR928" s="26"/>
      <c r="HS928" s="26"/>
      <c r="HT928" s="26"/>
      <c r="HU928" s="26"/>
      <c r="HV928" s="26"/>
      <c r="HW928" s="26"/>
      <c r="HX928" s="26"/>
      <c r="HY928" s="26"/>
      <c r="HZ928" s="26"/>
      <c r="IA928" s="26"/>
      <c r="IB928" s="26"/>
      <c r="IC928" s="26"/>
      <c r="ID928" s="26"/>
      <c r="IE928" s="26"/>
      <c r="IF928" s="26"/>
      <c r="IG928" s="26"/>
      <c r="IH928" s="26"/>
      <c r="II928" s="26"/>
      <c r="IJ928" s="26"/>
      <c r="IK928" s="26"/>
      <c r="IL928" s="26"/>
      <c r="IM928" s="26"/>
      <c r="IN928" s="26"/>
      <c r="IO928" s="26"/>
      <c r="IP928" s="26"/>
      <c r="IQ928" s="26"/>
      <c r="IR928" s="26"/>
      <c r="IS928" s="26"/>
      <c r="IT928" s="26"/>
      <c r="IU928" s="26"/>
      <c r="IV928" s="26"/>
      <c r="IW928" s="26"/>
      <c r="IX928" s="26"/>
    </row>
    <row r="929" spans="1:258" ht="21.95" customHeight="1" x14ac:dyDescent="0.25">
      <c r="A929" s="37" t="s">
        <v>931</v>
      </c>
      <c r="B929" s="23" t="s">
        <v>582</v>
      </c>
      <c r="C929" s="2">
        <f>D929+L929+N929+P929+R929+S929+T929+U929</f>
        <v>2336500</v>
      </c>
      <c r="D929" s="3">
        <f>SUM(E929:J929)</f>
        <v>2236500</v>
      </c>
      <c r="E929" s="3">
        <f>700*745.5</f>
        <v>521850</v>
      </c>
      <c r="F929" s="3">
        <f>1300*745.5</f>
        <v>969150</v>
      </c>
      <c r="G929" s="3">
        <f>300*745.5</f>
        <v>223650</v>
      </c>
      <c r="H929" s="3">
        <f>400*745.5</f>
        <v>298200</v>
      </c>
      <c r="I929" s="3">
        <f>300*745.5</f>
        <v>223650</v>
      </c>
      <c r="J929" s="3">
        <f>350*0</f>
        <v>0</v>
      </c>
      <c r="K929" s="11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3">
        <f t="shared" si="561"/>
        <v>0</v>
      </c>
      <c r="S929" s="5">
        <v>0</v>
      </c>
      <c r="T929" s="5">
        <v>0</v>
      </c>
      <c r="U929" s="5">
        <v>100000</v>
      </c>
      <c r="V929" s="6" t="e">
        <f>N929/M929</f>
        <v>#DIV/0!</v>
      </c>
      <c r="W929" s="7" t="s">
        <v>1289</v>
      </c>
    </row>
    <row r="930" spans="1:258" ht="21.95" customHeight="1" x14ac:dyDescent="0.25">
      <c r="A930" s="37" t="s">
        <v>932</v>
      </c>
      <c r="B930" s="8" t="s">
        <v>674</v>
      </c>
      <c r="C930" s="2">
        <f t="shared" si="564"/>
        <v>6981600</v>
      </c>
      <c r="D930" s="3">
        <f t="shared" si="560"/>
        <v>1672440</v>
      </c>
      <c r="E930" s="3">
        <f>700*557.48</f>
        <v>390236</v>
      </c>
      <c r="F930" s="3">
        <f>1300*557.48</f>
        <v>724724</v>
      </c>
      <c r="G930" s="3">
        <f>300*557.48</f>
        <v>167244</v>
      </c>
      <c r="H930" s="3">
        <f>400*557.48</f>
        <v>222992</v>
      </c>
      <c r="I930" s="3">
        <f>300*557.48</f>
        <v>167244</v>
      </c>
      <c r="J930" s="3">
        <v>0</v>
      </c>
      <c r="K930" s="4">
        <v>0</v>
      </c>
      <c r="L930" s="3">
        <v>0</v>
      </c>
      <c r="M930" s="3">
        <v>519.4</v>
      </c>
      <c r="N930" s="3">
        <f t="shared" ref="N930:N940" si="567">M930*6600</f>
        <v>3428040</v>
      </c>
      <c r="O930" s="3">
        <v>0</v>
      </c>
      <c r="P930" s="3">
        <v>0</v>
      </c>
      <c r="Q930" s="3">
        <v>556.6</v>
      </c>
      <c r="R930" s="3">
        <f t="shared" si="561"/>
        <v>1781120</v>
      </c>
      <c r="S930" s="3">
        <v>0</v>
      </c>
      <c r="T930" s="5">
        <v>0</v>
      </c>
      <c r="U930" s="3">
        <v>100000</v>
      </c>
      <c r="V930" s="6">
        <f t="shared" si="562"/>
        <v>6600</v>
      </c>
    </row>
    <row r="931" spans="1:258" ht="21.95" customHeight="1" x14ac:dyDescent="0.25">
      <c r="A931" s="37" t="s">
        <v>933</v>
      </c>
      <c r="B931" s="8" t="s">
        <v>675</v>
      </c>
      <c r="C931" s="2">
        <f t="shared" si="564"/>
        <v>300000</v>
      </c>
      <c r="D931" s="3">
        <f t="shared" si="560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4">
        <v>0</v>
      </c>
      <c r="L931" s="3">
        <v>0</v>
      </c>
      <c r="M931" s="5">
        <v>0</v>
      </c>
      <c r="N931" s="3">
        <f t="shared" si="567"/>
        <v>0</v>
      </c>
      <c r="O931" s="3">
        <v>0</v>
      </c>
      <c r="P931" s="3">
        <v>0</v>
      </c>
      <c r="Q931" s="3">
        <v>0</v>
      </c>
      <c r="R931" s="3">
        <f t="shared" si="561"/>
        <v>0</v>
      </c>
      <c r="S931" s="3">
        <v>0</v>
      </c>
      <c r="T931" s="5">
        <v>0</v>
      </c>
      <c r="U931" s="3">
        <v>300000</v>
      </c>
      <c r="V931" s="6" t="e">
        <f t="shared" si="562"/>
        <v>#DIV/0!</v>
      </c>
    </row>
    <row r="932" spans="1:258" ht="21.95" customHeight="1" x14ac:dyDescent="0.25">
      <c r="A932" s="37" t="s">
        <v>934</v>
      </c>
      <c r="B932" s="23" t="s">
        <v>989</v>
      </c>
      <c r="C932" s="2">
        <f t="shared" si="564"/>
        <v>3984600</v>
      </c>
      <c r="D932" s="3">
        <f t="shared" ref="D932:D933" si="568">SUM(E932:J932)</f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11">
        <v>0</v>
      </c>
      <c r="L932" s="5">
        <v>0</v>
      </c>
      <c r="M932" s="5">
        <v>371</v>
      </c>
      <c r="N932" s="3">
        <f t="shared" si="567"/>
        <v>2448600</v>
      </c>
      <c r="O932" s="5">
        <v>0</v>
      </c>
      <c r="P932" s="5">
        <v>0</v>
      </c>
      <c r="Q932" s="5">
        <v>480</v>
      </c>
      <c r="R932" s="3">
        <f t="shared" si="561"/>
        <v>1536000</v>
      </c>
      <c r="S932" s="5">
        <v>0</v>
      </c>
      <c r="T932" s="5">
        <v>0</v>
      </c>
      <c r="U932" s="5">
        <v>0</v>
      </c>
      <c r="V932" s="6">
        <f t="shared" si="562"/>
        <v>6600</v>
      </c>
    </row>
    <row r="933" spans="1:258" ht="21.95" customHeight="1" x14ac:dyDescent="0.25">
      <c r="A933" s="37" t="s">
        <v>935</v>
      </c>
      <c r="B933" s="23" t="s">
        <v>505</v>
      </c>
      <c r="C933" s="2">
        <f t="shared" si="564"/>
        <v>3135000</v>
      </c>
      <c r="D933" s="3">
        <f t="shared" si="568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11">
        <v>0</v>
      </c>
      <c r="L933" s="5">
        <v>0</v>
      </c>
      <c r="M933" s="5">
        <v>475</v>
      </c>
      <c r="N933" s="3">
        <f t="shared" si="567"/>
        <v>3135000</v>
      </c>
      <c r="O933" s="5">
        <v>0</v>
      </c>
      <c r="P933" s="5">
        <v>0</v>
      </c>
      <c r="Q933" s="5">
        <v>0</v>
      </c>
      <c r="R933" s="3">
        <f t="shared" si="561"/>
        <v>0</v>
      </c>
      <c r="S933" s="5">
        <v>0</v>
      </c>
      <c r="T933" s="5">
        <v>0</v>
      </c>
      <c r="U933" s="5">
        <v>0</v>
      </c>
      <c r="V933" s="6">
        <f t="shared" si="562"/>
        <v>6600</v>
      </c>
    </row>
    <row r="934" spans="1:258" ht="21.95" customHeight="1" x14ac:dyDescent="0.25">
      <c r="A934" s="37" t="s">
        <v>936</v>
      </c>
      <c r="B934" s="23" t="s">
        <v>676</v>
      </c>
      <c r="C934" s="2">
        <f t="shared" si="564"/>
        <v>2742000</v>
      </c>
      <c r="D934" s="3">
        <f t="shared" si="560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4">
        <v>0</v>
      </c>
      <c r="L934" s="3">
        <v>0</v>
      </c>
      <c r="M934" s="3">
        <v>370</v>
      </c>
      <c r="N934" s="3">
        <f t="shared" si="567"/>
        <v>2442000</v>
      </c>
      <c r="O934" s="3">
        <v>0</v>
      </c>
      <c r="P934" s="3">
        <v>0</v>
      </c>
      <c r="Q934" s="3">
        <v>0</v>
      </c>
      <c r="R934" s="3">
        <f t="shared" si="561"/>
        <v>0</v>
      </c>
      <c r="S934" s="3">
        <v>0</v>
      </c>
      <c r="T934" s="5">
        <v>0</v>
      </c>
      <c r="U934" s="3">
        <v>300000</v>
      </c>
      <c r="V934" s="6">
        <f t="shared" si="562"/>
        <v>6600</v>
      </c>
    </row>
    <row r="935" spans="1:258" ht="21.95" customHeight="1" x14ac:dyDescent="0.25">
      <c r="A935" s="37" t="s">
        <v>937</v>
      </c>
      <c r="B935" s="8" t="s">
        <v>677</v>
      </c>
      <c r="C935" s="2">
        <f t="shared" si="564"/>
        <v>3684779.9999999995</v>
      </c>
      <c r="D935" s="3">
        <f t="shared" si="560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4">
        <v>0</v>
      </c>
      <c r="L935" s="3">
        <v>0</v>
      </c>
      <c r="M935" s="5">
        <v>558.29999999999995</v>
      </c>
      <c r="N935" s="3">
        <f t="shared" si="567"/>
        <v>3684779.9999999995</v>
      </c>
      <c r="O935" s="3">
        <v>0</v>
      </c>
      <c r="P935" s="3">
        <v>0</v>
      </c>
      <c r="Q935" s="3">
        <v>0</v>
      </c>
      <c r="R935" s="3">
        <f t="shared" si="561"/>
        <v>0</v>
      </c>
      <c r="S935" s="3">
        <v>0</v>
      </c>
      <c r="T935" s="5">
        <v>0</v>
      </c>
      <c r="U935" s="3">
        <v>0</v>
      </c>
      <c r="V935" s="6">
        <f t="shared" si="562"/>
        <v>6600</v>
      </c>
    </row>
    <row r="936" spans="1:258" ht="21.95" customHeight="1" x14ac:dyDescent="0.25">
      <c r="A936" s="37" t="s">
        <v>938</v>
      </c>
      <c r="B936" s="8" t="s">
        <v>678</v>
      </c>
      <c r="C936" s="2">
        <f t="shared" si="564"/>
        <v>1737120</v>
      </c>
      <c r="D936" s="3">
        <f t="shared" si="560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11">
        <v>0</v>
      </c>
      <c r="L936" s="3">
        <v>0</v>
      </c>
      <c r="M936" s="3">
        <v>263.2</v>
      </c>
      <c r="N936" s="3">
        <f t="shared" si="567"/>
        <v>1737120</v>
      </c>
      <c r="O936" s="3">
        <v>0</v>
      </c>
      <c r="P936" s="3">
        <v>0</v>
      </c>
      <c r="Q936" s="3">
        <v>0</v>
      </c>
      <c r="R936" s="3">
        <f t="shared" si="561"/>
        <v>0</v>
      </c>
      <c r="S936" s="3">
        <v>0</v>
      </c>
      <c r="T936" s="5">
        <v>0</v>
      </c>
      <c r="U936" s="3">
        <v>0</v>
      </c>
      <c r="V936" s="6">
        <f t="shared" si="562"/>
        <v>6600</v>
      </c>
    </row>
    <row r="937" spans="1:258" s="17" customFormat="1" ht="21.95" customHeight="1" x14ac:dyDescent="0.25">
      <c r="A937" s="37" t="s">
        <v>939</v>
      </c>
      <c r="B937" s="8" t="s">
        <v>679</v>
      </c>
      <c r="C937" s="2">
        <f t="shared" si="564"/>
        <v>2349600</v>
      </c>
      <c r="D937" s="3">
        <f t="shared" si="560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11">
        <v>0</v>
      </c>
      <c r="L937" s="3">
        <v>0</v>
      </c>
      <c r="M937" s="3">
        <v>356</v>
      </c>
      <c r="N937" s="3">
        <f t="shared" si="567"/>
        <v>2349600</v>
      </c>
      <c r="O937" s="3">
        <v>0</v>
      </c>
      <c r="P937" s="3">
        <v>0</v>
      </c>
      <c r="Q937" s="3">
        <v>0</v>
      </c>
      <c r="R937" s="3">
        <f t="shared" si="561"/>
        <v>0</v>
      </c>
      <c r="S937" s="3">
        <v>0</v>
      </c>
      <c r="T937" s="5">
        <v>0</v>
      </c>
      <c r="U937" s="3">
        <v>0</v>
      </c>
      <c r="V937" s="6">
        <f t="shared" si="562"/>
        <v>6600</v>
      </c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  <c r="CU937" s="7"/>
      <c r="CV937" s="7"/>
      <c r="CW937" s="7"/>
      <c r="CX937" s="7"/>
      <c r="CY937" s="7"/>
      <c r="CZ937" s="7"/>
      <c r="DA937" s="7"/>
      <c r="DB937" s="7"/>
      <c r="DC937" s="7"/>
      <c r="DD937" s="7"/>
      <c r="DE937" s="7"/>
      <c r="DF937" s="7"/>
      <c r="DG937" s="7"/>
      <c r="DH937" s="7"/>
      <c r="DI937" s="7"/>
      <c r="DJ937" s="7"/>
      <c r="DK937" s="7"/>
      <c r="DL937" s="7"/>
      <c r="DM937" s="7"/>
      <c r="DN937" s="7"/>
      <c r="DO937" s="7"/>
      <c r="DP937" s="7"/>
      <c r="DQ937" s="7"/>
      <c r="DR937" s="7"/>
      <c r="DS937" s="7"/>
      <c r="DT937" s="7"/>
      <c r="DU937" s="7"/>
      <c r="DV937" s="7"/>
      <c r="DW937" s="7"/>
      <c r="DX937" s="7"/>
      <c r="DY937" s="7"/>
      <c r="DZ937" s="7"/>
      <c r="EA937" s="7"/>
      <c r="EB937" s="7"/>
      <c r="EC937" s="7"/>
      <c r="ED937" s="7"/>
      <c r="EE937" s="7"/>
      <c r="EF937" s="7"/>
      <c r="EG937" s="7"/>
      <c r="EH937" s="7"/>
      <c r="EI937" s="7"/>
      <c r="EJ937" s="7"/>
      <c r="EK937" s="7"/>
      <c r="EL937" s="7"/>
      <c r="EM937" s="7"/>
      <c r="EN937" s="7"/>
      <c r="EO937" s="7"/>
      <c r="EP937" s="7"/>
      <c r="EQ937" s="7"/>
      <c r="ER937" s="7"/>
      <c r="ES937" s="7"/>
      <c r="ET937" s="7"/>
      <c r="EU937" s="7"/>
      <c r="EV937" s="7"/>
      <c r="EW937" s="7"/>
      <c r="EX937" s="7"/>
      <c r="EY937" s="7"/>
      <c r="EZ937" s="7"/>
      <c r="FA937" s="7"/>
      <c r="FB937" s="7"/>
      <c r="FC937" s="7"/>
      <c r="FD937" s="7"/>
      <c r="FE937" s="7"/>
      <c r="FF937" s="7"/>
      <c r="FG937" s="7"/>
      <c r="FH937" s="7"/>
      <c r="FI937" s="7"/>
      <c r="FJ937" s="7"/>
      <c r="FK937" s="7"/>
      <c r="FL937" s="7"/>
      <c r="FM937" s="7"/>
      <c r="FN937" s="7"/>
      <c r="FO937" s="7"/>
      <c r="FP937" s="7"/>
      <c r="FQ937" s="7"/>
      <c r="FR937" s="7"/>
      <c r="FS937" s="7"/>
      <c r="FT937" s="7"/>
      <c r="FU937" s="7"/>
      <c r="FV937" s="7"/>
      <c r="FW937" s="7"/>
      <c r="FX937" s="7"/>
      <c r="FY937" s="7"/>
      <c r="FZ937" s="7"/>
      <c r="GA937" s="7"/>
      <c r="GB937" s="7"/>
      <c r="GC937" s="7"/>
      <c r="GD937" s="7"/>
      <c r="GE937" s="7"/>
      <c r="GF937" s="7"/>
      <c r="GG937" s="7"/>
      <c r="GH937" s="7"/>
      <c r="GI937" s="7"/>
      <c r="GJ937" s="7"/>
      <c r="GK937" s="7"/>
      <c r="GL937" s="7"/>
      <c r="GM937" s="7"/>
      <c r="GN937" s="7"/>
      <c r="GO937" s="7"/>
      <c r="GP937" s="7"/>
      <c r="GQ937" s="7"/>
      <c r="GR937" s="7"/>
      <c r="GS937" s="7"/>
      <c r="GT937" s="7"/>
      <c r="GU937" s="7"/>
      <c r="GV937" s="7"/>
      <c r="GW937" s="7"/>
      <c r="GX937" s="7"/>
      <c r="GY937" s="7"/>
      <c r="GZ937" s="7"/>
      <c r="HA937" s="7"/>
      <c r="HB937" s="7"/>
      <c r="HC937" s="7"/>
      <c r="HD937" s="7"/>
      <c r="HE937" s="7"/>
      <c r="HF937" s="7"/>
      <c r="HG937" s="7"/>
      <c r="HH937" s="7"/>
      <c r="HI937" s="7"/>
      <c r="HJ937" s="7"/>
      <c r="HK937" s="7"/>
      <c r="HL937" s="7"/>
      <c r="HM937" s="7"/>
      <c r="HN937" s="7"/>
      <c r="HO937" s="7"/>
      <c r="HP937" s="7"/>
      <c r="HQ937" s="7"/>
      <c r="HR937" s="7"/>
      <c r="HS937" s="7"/>
      <c r="HT937" s="7"/>
      <c r="HU937" s="7"/>
      <c r="HV937" s="7"/>
      <c r="HW937" s="7"/>
      <c r="HX937" s="7"/>
      <c r="HY937" s="7"/>
      <c r="HZ937" s="7"/>
      <c r="IA937" s="7"/>
      <c r="IB937" s="7"/>
      <c r="IC937" s="7"/>
      <c r="ID937" s="7"/>
      <c r="IE937" s="7"/>
      <c r="IF937" s="7"/>
      <c r="IG937" s="7"/>
      <c r="IH937" s="7"/>
      <c r="II937" s="7"/>
      <c r="IJ937" s="7"/>
      <c r="IK937" s="7"/>
      <c r="IL937" s="7"/>
      <c r="IM937" s="7"/>
      <c r="IN937" s="7"/>
      <c r="IO937" s="7"/>
      <c r="IP937" s="7"/>
      <c r="IQ937" s="7"/>
      <c r="IR937" s="7"/>
      <c r="IS937" s="7"/>
      <c r="IT937" s="7"/>
      <c r="IU937" s="7"/>
      <c r="IV937" s="7"/>
      <c r="IW937" s="7"/>
      <c r="IX937" s="7"/>
    </row>
    <row r="938" spans="1:258" ht="21.95" customHeight="1" x14ac:dyDescent="0.25">
      <c r="A938" s="37" t="s">
        <v>940</v>
      </c>
      <c r="B938" s="8" t="s">
        <v>770</v>
      </c>
      <c r="C938" s="2">
        <f t="shared" si="564"/>
        <v>2204400</v>
      </c>
      <c r="D938" s="3">
        <f t="shared" si="560"/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11">
        <v>0</v>
      </c>
      <c r="L938" s="3">
        <v>0</v>
      </c>
      <c r="M938" s="3">
        <v>334</v>
      </c>
      <c r="N938" s="3">
        <f t="shared" si="567"/>
        <v>2204400</v>
      </c>
      <c r="O938" s="3">
        <v>0</v>
      </c>
      <c r="P938" s="3">
        <v>0</v>
      </c>
      <c r="Q938" s="3">
        <v>0</v>
      </c>
      <c r="R938" s="3">
        <f t="shared" si="561"/>
        <v>0</v>
      </c>
      <c r="S938" s="3">
        <v>0</v>
      </c>
      <c r="T938" s="5">
        <v>0</v>
      </c>
      <c r="U938" s="3">
        <v>0</v>
      </c>
      <c r="V938" s="6">
        <f t="shared" si="562"/>
        <v>6600</v>
      </c>
    </row>
    <row r="939" spans="1:258" ht="21.95" customHeight="1" x14ac:dyDescent="0.25">
      <c r="A939" s="37" t="s">
        <v>941</v>
      </c>
      <c r="B939" s="8" t="s">
        <v>583</v>
      </c>
      <c r="C939" s="2">
        <f t="shared" si="564"/>
        <v>3379200</v>
      </c>
      <c r="D939" s="3">
        <f t="shared" ref="D939" si="569">SUM(E939:J939)</f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11">
        <v>0</v>
      </c>
      <c r="L939" s="5">
        <v>0</v>
      </c>
      <c r="M939" s="5">
        <v>512</v>
      </c>
      <c r="N939" s="3">
        <f t="shared" si="567"/>
        <v>3379200</v>
      </c>
      <c r="O939" s="5">
        <v>0</v>
      </c>
      <c r="P939" s="5">
        <v>0</v>
      </c>
      <c r="Q939" s="5">
        <v>0</v>
      </c>
      <c r="R939" s="3">
        <f t="shared" si="561"/>
        <v>0</v>
      </c>
      <c r="S939" s="5">
        <v>0</v>
      </c>
      <c r="T939" s="5">
        <v>0</v>
      </c>
      <c r="U939" s="5">
        <v>0</v>
      </c>
      <c r="V939" s="6">
        <f t="shared" si="562"/>
        <v>6600</v>
      </c>
    </row>
    <row r="940" spans="1:258" ht="21.95" customHeight="1" x14ac:dyDescent="0.25">
      <c r="A940" s="37" t="s">
        <v>942</v>
      </c>
      <c r="B940" s="8" t="s">
        <v>506</v>
      </c>
      <c r="C940" s="2">
        <f t="shared" si="564"/>
        <v>1524600</v>
      </c>
      <c r="D940" s="3">
        <f t="shared" ref="D940" si="570">SUM(E940:J940)</f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11">
        <v>0</v>
      </c>
      <c r="L940" s="5">
        <v>0</v>
      </c>
      <c r="M940" s="5">
        <v>231</v>
      </c>
      <c r="N940" s="3">
        <f t="shared" si="567"/>
        <v>1524600</v>
      </c>
      <c r="O940" s="5">
        <v>0</v>
      </c>
      <c r="P940" s="5">
        <v>0</v>
      </c>
      <c r="Q940" s="5">
        <v>0</v>
      </c>
      <c r="R940" s="3">
        <f t="shared" si="561"/>
        <v>0</v>
      </c>
      <c r="S940" s="5">
        <v>0</v>
      </c>
      <c r="T940" s="5">
        <v>0</v>
      </c>
      <c r="U940" s="5">
        <v>0</v>
      </c>
      <c r="V940" s="6">
        <f t="shared" si="562"/>
        <v>6600</v>
      </c>
    </row>
    <row r="941" spans="1:258" s="26" customFormat="1" ht="21.95" customHeight="1" x14ac:dyDescent="0.25">
      <c r="A941" s="37" t="s">
        <v>943</v>
      </c>
      <c r="B941" s="23" t="s">
        <v>771</v>
      </c>
      <c r="C941" s="2">
        <f t="shared" si="564"/>
        <v>5032950</v>
      </c>
      <c r="D941" s="3">
        <f t="shared" si="560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11">
        <v>0</v>
      </c>
      <c r="L941" s="3">
        <v>0</v>
      </c>
      <c r="M941" s="3">
        <v>1131</v>
      </c>
      <c r="N941" s="3">
        <f>M941*4450</f>
        <v>5032950</v>
      </c>
      <c r="O941" s="3">
        <v>0</v>
      </c>
      <c r="P941" s="3">
        <v>0</v>
      </c>
      <c r="Q941" s="3">
        <v>0</v>
      </c>
      <c r="R941" s="3">
        <f t="shared" si="561"/>
        <v>0</v>
      </c>
      <c r="S941" s="3">
        <v>0</v>
      </c>
      <c r="T941" s="5">
        <v>0</v>
      </c>
      <c r="U941" s="3">
        <v>0</v>
      </c>
      <c r="V941" s="6">
        <f t="shared" si="562"/>
        <v>4450</v>
      </c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  <c r="CU941" s="7"/>
      <c r="CV941" s="7"/>
      <c r="CW941" s="7"/>
      <c r="CX941" s="7"/>
      <c r="CY941" s="7"/>
      <c r="CZ941" s="7"/>
      <c r="DA941" s="7"/>
      <c r="DB941" s="7"/>
      <c r="DC941" s="7"/>
      <c r="DD941" s="7"/>
      <c r="DE941" s="7"/>
      <c r="DF941" s="7"/>
      <c r="DG941" s="7"/>
      <c r="DH941" s="7"/>
      <c r="DI941" s="7"/>
      <c r="DJ941" s="7"/>
      <c r="DK941" s="7"/>
      <c r="DL941" s="7"/>
      <c r="DM941" s="7"/>
      <c r="DN941" s="7"/>
      <c r="DO941" s="7"/>
      <c r="DP941" s="7"/>
      <c r="DQ941" s="7"/>
      <c r="DR941" s="7"/>
      <c r="DS941" s="7"/>
      <c r="DT941" s="7"/>
      <c r="DU941" s="7"/>
      <c r="DV941" s="7"/>
      <c r="DW941" s="7"/>
      <c r="DX941" s="7"/>
      <c r="DY941" s="7"/>
      <c r="DZ941" s="7"/>
      <c r="EA941" s="7"/>
      <c r="EB941" s="7"/>
      <c r="EC941" s="7"/>
      <c r="ED941" s="7"/>
      <c r="EE941" s="7"/>
      <c r="EF941" s="7"/>
      <c r="EG941" s="7"/>
      <c r="EH941" s="7"/>
      <c r="EI941" s="7"/>
      <c r="EJ941" s="7"/>
      <c r="EK941" s="7"/>
      <c r="EL941" s="7"/>
      <c r="EM941" s="7"/>
      <c r="EN941" s="7"/>
      <c r="EO941" s="7"/>
      <c r="EP941" s="7"/>
      <c r="EQ941" s="7"/>
      <c r="ER941" s="7"/>
      <c r="ES941" s="7"/>
      <c r="ET941" s="7"/>
      <c r="EU941" s="7"/>
      <c r="EV941" s="7"/>
      <c r="EW941" s="7"/>
      <c r="EX941" s="7"/>
      <c r="EY941" s="7"/>
      <c r="EZ941" s="7"/>
      <c r="FA941" s="7"/>
      <c r="FB941" s="7"/>
      <c r="FC941" s="7"/>
      <c r="FD941" s="7"/>
      <c r="FE941" s="7"/>
      <c r="FF941" s="7"/>
      <c r="FG941" s="7"/>
      <c r="FH941" s="7"/>
      <c r="FI941" s="7"/>
      <c r="FJ941" s="7"/>
      <c r="FK941" s="7"/>
      <c r="FL941" s="7"/>
      <c r="FM941" s="7"/>
      <c r="FN941" s="7"/>
      <c r="FO941" s="7"/>
      <c r="FP941" s="7"/>
      <c r="FQ941" s="7"/>
      <c r="FR941" s="7"/>
      <c r="FS941" s="7"/>
      <c r="FT941" s="7"/>
      <c r="FU941" s="7"/>
      <c r="FV941" s="7"/>
      <c r="FW941" s="7"/>
      <c r="FX941" s="7"/>
      <c r="FY941" s="7"/>
      <c r="FZ941" s="7"/>
      <c r="GA941" s="7"/>
      <c r="GB941" s="7"/>
      <c r="GC941" s="7"/>
      <c r="GD941" s="7"/>
      <c r="GE941" s="7"/>
      <c r="GF941" s="7"/>
      <c r="GG941" s="7"/>
      <c r="GH941" s="7"/>
      <c r="GI941" s="7"/>
      <c r="GJ941" s="7"/>
      <c r="GK941" s="7"/>
      <c r="GL941" s="7"/>
      <c r="GM941" s="7"/>
      <c r="GN941" s="7"/>
      <c r="GO941" s="7"/>
      <c r="GP941" s="7"/>
      <c r="GQ941" s="7"/>
      <c r="GR941" s="7"/>
      <c r="GS941" s="7"/>
      <c r="GT941" s="7"/>
      <c r="GU941" s="7"/>
      <c r="GV941" s="7"/>
      <c r="GW941" s="7"/>
      <c r="GX941" s="7"/>
      <c r="GY941" s="7"/>
      <c r="GZ941" s="7"/>
      <c r="HA941" s="7"/>
      <c r="HB941" s="7"/>
      <c r="HC941" s="7"/>
      <c r="HD941" s="7"/>
      <c r="HE941" s="7"/>
      <c r="HF941" s="7"/>
      <c r="HG941" s="7"/>
      <c r="HH941" s="7"/>
      <c r="HI941" s="7"/>
      <c r="HJ941" s="7"/>
      <c r="HK941" s="7"/>
      <c r="HL941" s="7"/>
      <c r="HM941" s="7"/>
      <c r="HN941" s="7"/>
      <c r="HO941" s="7"/>
      <c r="HP941" s="7"/>
      <c r="HQ941" s="7"/>
      <c r="HR941" s="7"/>
      <c r="HS941" s="7"/>
      <c r="HT941" s="7"/>
      <c r="HU941" s="7"/>
      <c r="HV941" s="7"/>
      <c r="HW941" s="7"/>
      <c r="HX941" s="7"/>
      <c r="HY941" s="7"/>
      <c r="HZ941" s="7"/>
      <c r="IA941" s="7"/>
      <c r="IB941" s="7"/>
      <c r="IC941" s="7"/>
      <c r="ID941" s="7"/>
      <c r="IE941" s="7"/>
      <c r="IF941" s="7"/>
      <c r="IG941" s="7"/>
      <c r="IH941" s="7"/>
      <c r="II941" s="7"/>
      <c r="IJ941" s="7"/>
      <c r="IK941" s="7"/>
      <c r="IL941" s="7"/>
      <c r="IM941" s="7"/>
      <c r="IN941" s="7"/>
      <c r="IO941" s="7"/>
      <c r="IP941" s="7"/>
      <c r="IQ941" s="7"/>
      <c r="IR941" s="7"/>
      <c r="IS941" s="7"/>
      <c r="IT941" s="7"/>
      <c r="IU941" s="7"/>
      <c r="IV941" s="7"/>
      <c r="IW941" s="7"/>
      <c r="IX941" s="7"/>
    </row>
    <row r="942" spans="1:258" s="26" customFormat="1" ht="21.95" customHeight="1" x14ac:dyDescent="0.25">
      <c r="A942" s="37" t="s">
        <v>944</v>
      </c>
      <c r="B942" s="23" t="s">
        <v>818</v>
      </c>
      <c r="C942" s="2">
        <f t="shared" si="564"/>
        <v>31400650</v>
      </c>
      <c r="D942" s="3">
        <f t="shared" si="560"/>
        <v>13639290</v>
      </c>
      <c r="E942" s="3">
        <f>700*4546.43</f>
        <v>3182501</v>
      </c>
      <c r="F942" s="3">
        <f>1300*4546.43</f>
        <v>5910359</v>
      </c>
      <c r="G942" s="3">
        <f>300*4546.43</f>
        <v>1363929</v>
      </c>
      <c r="H942" s="3">
        <f>400*4546.43</f>
        <v>1818572</v>
      </c>
      <c r="I942" s="3">
        <f>300*4546.43</f>
        <v>1363929</v>
      </c>
      <c r="J942" s="3">
        <v>0</v>
      </c>
      <c r="K942" s="4">
        <v>0</v>
      </c>
      <c r="L942" s="3">
        <v>0</v>
      </c>
      <c r="M942" s="5">
        <v>1234</v>
      </c>
      <c r="N942" s="3">
        <f t="shared" ref="N942:N958" si="571">M942*6600</f>
        <v>8144400</v>
      </c>
      <c r="O942" s="3">
        <v>0</v>
      </c>
      <c r="P942" s="3">
        <v>0</v>
      </c>
      <c r="Q942" s="3">
        <v>2974.05</v>
      </c>
      <c r="R942" s="3">
        <f t="shared" si="561"/>
        <v>9516960</v>
      </c>
      <c r="S942" s="3">
        <v>0</v>
      </c>
      <c r="T942" s="5">
        <v>0</v>
      </c>
      <c r="U942" s="3">
        <v>100000</v>
      </c>
      <c r="V942" s="6">
        <f t="shared" si="562"/>
        <v>6600</v>
      </c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7"/>
      <c r="DO942" s="7"/>
      <c r="DP942" s="7"/>
      <c r="DQ942" s="7"/>
      <c r="DR942" s="7"/>
      <c r="DS942" s="7"/>
      <c r="DT942" s="7"/>
      <c r="DU942" s="7"/>
      <c r="DV942" s="7"/>
      <c r="DW942" s="7"/>
      <c r="DX942" s="7"/>
      <c r="DY942" s="7"/>
      <c r="DZ942" s="7"/>
      <c r="EA942" s="7"/>
      <c r="EB942" s="7"/>
      <c r="EC942" s="7"/>
      <c r="ED942" s="7"/>
      <c r="EE942" s="7"/>
      <c r="EF942" s="7"/>
      <c r="EG942" s="7"/>
      <c r="EH942" s="7"/>
      <c r="EI942" s="7"/>
      <c r="EJ942" s="7"/>
      <c r="EK942" s="7"/>
      <c r="EL942" s="7"/>
      <c r="EM942" s="7"/>
      <c r="EN942" s="7"/>
      <c r="EO942" s="7"/>
      <c r="EP942" s="7"/>
      <c r="EQ942" s="7"/>
      <c r="ER942" s="7"/>
      <c r="ES942" s="7"/>
      <c r="ET942" s="7"/>
      <c r="EU942" s="7"/>
      <c r="EV942" s="7"/>
      <c r="EW942" s="7"/>
      <c r="EX942" s="7"/>
      <c r="EY942" s="7"/>
      <c r="EZ942" s="7"/>
      <c r="FA942" s="7"/>
      <c r="FB942" s="7"/>
      <c r="FC942" s="7"/>
      <c r="FD942" s="7"/>
      <c r="FE942" s="7"/>
      <c r="FF942" s="7"/>
      <c r="FG942" s="7"/>
      <c r="FH942" s="7"/>
      <c r="FI942" s="7"/>
      <c r="FJ942" s="7"/>
      <c r="FK942" s="7"/>
      <c r="FL942" s="7"/>
      <c r="FM942" s="7"/>
      <c r="FN942" s="7"/>
      <c r="FO942" s="7"/>
      <c r="FP942" s="7"/>
      <c r="FQ942" s="7"/>
      <c r="FR942" s="7"/>
      <c r="FS942" s="7"/>
      <c r="FT942" s="7"/>
      <c r="FU942" s="7"/>
      <c r="FV942" s="7"/>
      <c r="FW942" s="7"/>
      <c r="FX942" s="7"/>
      <c r="FY942" s="7"/>
      <c r="FZ942" s="7"/>
      <c r="GA942" s="7"/>
      <c r="GB942" s="7"/>
      <c r="GC942" s="7"/>
      <c r="GD942" s="7"/>
      <c r="GE942" s="7"/>
      <c r="GF942" s="7"/>
      <c r="GG942" s="7"/>
      <c r="GH942" s="7"/>
      <c r="GI942" s="7"/>
      <c r="GJ942" s="7"/>
      <c r="GK942" s="7"/>
      <c r="GL942" s="7"/>
      <c r="GM942" s="7"/>
      <c r="GN942" s="7"/>
      <c r="GO942" s="7"/>
      <c r="GP942" s="7"/>
      <c r="GQ942" s="7"/>
      <c r="GR942" s="7"/>
      <c r="GS942" s="7"/>
      <c r="GT942" s="7"/>
      <c r="GU942" s="7"/>
      <c r="GV942" s="7"/>
      <c r="GW942" s="7"/>
      <c r="GX942" s="7"/>
      <c r="GY942" s="7"/>
      <c r="GZ942" s="7"/>
      <c r="HA942" s="7"/>
      <c r="HB942" s="7"/>
      <c r="HC942" s="7"/>
      <c r="HD942" s="7"/>
      <c r="HE942" s="7"/>
      <c r="HF942" s="7"/>
      <c r="HG942" s="7"/>
      <c r="HH942" s="7"/>
      <c r="HI942" s="7"/>
      <c r="HJ942" s="7"/>
      <c r="HK942" s="7"/>
      <c r="HL942" s="7"/>
      <c r="HM942" s="7"/>
      <c r="HN942" s="7"/>
      <c r="HO942" s="7"/>
      <c r="HP942" s="7"/>
      <c r="HQ942" s="7"/>
      <c r="HR942" s="7"/>
      <c r="HS942" s="7"/>
      <c r="HT942" s="7"/>
      <c r="HU942" s="7"/>
      <c r="HV942" s="7"/>
      <c r="HW942" s="7"/>
      <c r="HX942" s="7"/>
      <c r="HY942" s="7"/>
      <c r="HZ942" s="7"/>
      <c r="IA942" s="7"/>
      <c r="IB942" s="7"/>
      <c r="IC942" s="7"/>
      <c r="ID942" s="7"/>
      <c r="IE942" s="7"/>
      <c r="IF942" s="7"/>
      <c r="IG942" s="7"/>
      <c r="IH942" s="7"/>
      <c r="II942" s="7"/>
      <c r="IJ942" s="7"/>
      <c r="IK942" s="7"/>
      <c r="IL942" s="7"/>
      <c r="IM942" s="7"/>
      <c r="IN942" s="7"/>
      <c r="IO942" s="7"/>
      <c r="IP942" s="7"/>
      <c r="IQ942" s="7"/>
      <c r="IR942" s="7"/>
      <c r="IS942" s="7"/>
      <c r="IT942" s="7"/>
      <c r="IU942" s="7"/>
      <c r="IV942" s="7"/>
      <c r="IW942" s="7"/>
      <c r="IX942" s="7"/>
    </row>
    <row r="943" spans="1:258" ht="21.95" customHeight="1" x14ac:dyDescent="0.25">
      <c r="A943" s="37" t="s">
        <v>945</v>
      </c>
      <c r="B943" s="8" t="s">
        <v>681</v>
      </c>
      <c r="C943" s="2">
        <f t="shared" si="564"/>
        <v>1914000</v>
      </c>
      <c r="D943" s="3">
        <f t="shared" si="560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4">
        <v>0</v>
      </c>
      <c r="L943" s="3">
        <v>0</v>
      </c>
      <c r="M943" s="3">
        <v>290</v>
      </c>
      <c r="N943" s="3">
        <f t="shared" si="571"/>
        <v>1914000</v>
      </c>
      <c r="O943" s="3">
        <v>0</v>
      </c>
      <c r="P943" s="3">
        <v>0</v>
      </c>
      <c r="Q943" s="3">
        <v>0</v>
      </c>
      <c r="R943" s="3">
        <f t="shared" si="561"/>
        <v>0</v>
      </c>
      <c r="S943" s="3">
        <v>0</v>
      </c>
      <c r="T943" s="5">
        <v>0</v>
      </c>
      <c r="U943" s="3">
        <v>0</v>
      </c>
      <c r="V943" s="6">
        <f t="shared" si="562"/>
        <v>6600</v>
      </c>
    </row>
    <row r="944" spans="1:258" ht="21.95" customHeight="1" x14ac:dyDescent="0.25">
      <c r="A944" s="37" t="s">
        <v>946</v>
      </c>
      <c r="B944" s="8" t="s">
        <v>682</v>
      </c>
      <c r="C944" s="2">
        <f t="shared" si="564"/>
        <v>1933800</v>
      </c>
      <c r="D944" s="3">
        <f t="shared" si="560"/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4">
        <v>0</v>
      </c>
      <c r="L944" s="3">
        <v>0</v>
      </c>
      <c r="M944" s="3">
        <v>293</v>
      </c>
      <c r="N944" s="3">
        <f t="shared" si="571"/>
        <v>1933800</v>
      </c>
      <c r="O944" s="3">
        <v>0</v>
      </c>
      <c r="P944" s="3">
        <v>0</v>
      </c>
      <c r="Q944" s="3">
        <v>0</v>
      </c>
      <c r="R944" s="3">
        <f t="shared" si="561"/>
        <v>0</v>
      </c>
      <c r="S944" s="3">
        <v>0</v>
      </c>
      <c r="T944" s="5">
        <v>0</v>
      </c>
      <c r="U944" s="3">
        <v>0</v>
      </c>
      <c r="V944" s="6">
        <f t="shared" si="562"/>
        <v>6600</v>
      </c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  <c r="CK944" s="17"/>
      <c r="CL944" s="17"/>
      <c r="CM944" s="17"/>
      <c r="CN944" s="17"/>
      <c r="CO944" s="17"/>
      <c r="CP944" s="17"/>
      <c r="CQ944" s="17"/>
      <c r="CR944" s="17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  <c r="DD944" s="17"/>
      <c r="DE944" s="17"/>
      <c r="DF944" s="17"/>
      <c r="DG944" s="17"/>
      <c r="DH944" s="17"/>
      <c r="DI944" s="17"/>
      <c r="DJ944" s="17"/>
      <c r="DK944" s="17"/>
      <c r="DL944" s="17"/>
      <c r="DM944" s="17"/>
      <c r="DN944" s="17"/>
      <c r="DO944" s="17"/>
      <c r="DP944" s="17"/>
      <c r="DQ944" s="17"/>
      <c r="DR944" s="17"/>
      <c r="DS944" s="17"/>
      <c r="DT944" s="17"/>
      <c r="DU944" s="17"/>
      <c r="DV944" s="17"/>
      <c r="DW944" s="17"/>
      <c r="DX944" s="17"/>
      <c r="DY944" s="17"/>
      <c r="DZ944" s="17"/>
      <c r="EA944" s="17"/>
      <c r="EB944" s="17"/>
      <c r="EC944" s="17"/>
      <c r="ED944" s="17"/>
      <c r="EE944" s="17"/>
      <c r="EF944" s="17"/>
      <c r="EG944" s="17"/>
      <c r="EH944" s="17"/>
      <c r="EI944" s="17"/>
      <c r="EJ944" s="17"/>
      <c r="EK944" s="17"/>
      <c r="EL944" s="17"/>
      <c r="EM944" s="17"/>
      <c r="EN944" s="17"/>
      <c r="EO944" s="17"/>
      <c r="EP944" s="17"/>
      <c r="EQ944" s="17"/>
      <c r="ER944" s="17"/>
      <c r="ES944" s="17"/>
      <c r="ET944" s="17"/>
      <c r="EU944" s="17"/>
      <c r="EV944" s="17"/>
      <c r="EW944" s="17"/>
      <c r="EX944" s="17"/>
      <c r="EY944" s="17"/>
      <c r="EZ944" s="17"/>
      <c r="FA944" s="17"/>
      <c r="FB944" s="17"/>
      <c r="FC944" s="17"/>
      <c r="FD944" s="17"/>
      <c r="FE944" s="17"/>
      <c r="FF944" s="17"/>
      <c r="FG944" s="17"/>
      <c r="FH944" s="17"/>
      <c r="FI944" s="17"/>
      <c r="FJ944" s="17"/>
      <c r="FK944" s="17"/>
      <c r="FL944" s="17"/>
      <c r="FM944" s="17"/>
      <c r="FN944" s="17"/>
      <c r="FO944" s="17"/>
      <c r="FP944" s="17"/>
      <c r="FQ944" s="17"/>
      <c r="FR944" s="17"/>
      <c r="FS944" s="17"/>
      <c r="FT944" s="17"/>
      <c r="FU944" s="17"/>
      <c r="FV944" s="17"/>
      <c r="FW944" s="17"/>
      <c r="FX944" s="17"/>
      <c r="FY944" s="17"/>
      <c r="FZ944" s="17"/>
      <c r="GA944" s="17"/>
      <c r="GB944" s="17"/>
      <c r="GC944" s="17"/>
      <c r="GD944" s="17"/>
      <c r="GE944" s="17"/>
      <c r="GF944" s="17"/>
      <c r="GG944" s="17"/>
      <c r="GH944" s="17"/>
      <c r="GI944" s="17"/>
      <c r="GJ944" s="17"/>
      <c r="GK944" s="17"/>
      <c r="GL944" s="17"/>
      <c r="GM944" s="17"/>
      <c r="GN944" s="17"/>
      <c r="GO944" s="17"/>
      <c r="GP944" s="17"/>
      <c r="GQ944" s="17"/>
      <c r="GR944" s="17"/>
      <c r="GS944" s="17"/>
      <c r="GT944" s="17"/>
      <c r="GU944" s="17"/>
      <c r="GV944" s="17"/>
      <c r="GW944" s="17"/>
      <c r="GX944" s="17"/>
      <c r="GY944" s="17"/>
      <c r="GZ944" s="17"/>
      <c r="HA944" s="17"/>
      <c r="HB944" s="17"/>
      <c r="HC944" s="17"/>
      <c r="HD944" s="17"/>
      <c r="HE944" s="17"/>
      <c r="HF944" s="17"/>
      <c r="HG944" s="17"/>
      <c r="HH944" s="17"/>
      <c r="HI944" s="17"/>
      <c r="HJ944" s="17"/>
      <c r="HK944" s="17"/>
      <c r="HL944" s="17"/>
      <c r="HM944" s="17"/>
      <c r="HN944" s="17"/>
      <c r="HO944" s="17"/>
      <c r="HP944" s="17"/>
      <c r="HQ944" s="17"/>
      <c r="HR944" s="17"/>
      <c r="HS944" s="17"/>
      <c r="HT944" s="17"/>
      <c r="HU944" s="17"/>
      <c r="HV944" s="17"/>
      <c r="HW944" s="17"/>
      <c r="HX944" s="17"/>
      <c r="HY944" s="17"/>
      <c r="HZ944" s="17"/>
      <c r="IA944" s="17"/>
      <c r="IB944" s="17"/>
      <c r="IC944" s="17"/>
      <c r="ID944" s="17"/>
      <c r="IE944" s="17"/>
      <c r="IF944" s="17"/>
      <c r="IG944" s="17"/>
      <c r="IH944" s="17"/>
      <c r="II944" s="17"/>
      <c r="IJ944" s="17"/>
      <c r="IK944" s="17"/>
      <c r="IL944" s="17"/>
      <c r="IM944" s="17"/>
      <c r="IN944" s="17"/>
      <c r="IO944" s="17"/>
      <c r="IP944" s="17"/>
      <c r="IQ944" s="17"/>
      <c r="IR944" s="17"/>
      <c r="IS944" s="17"/>
      <c r="IT944" s="17"/>
      <c r="IU944" s="17"/>
      <c r="IV944" s="17"/>
      <c r="IW944" s="17"/>
      <c r="IX944" s="17"/>
    </row>
    <row r="945" spans="1:258" s="17" customFormat="1" ht="21.95" customHeight="1" x14ac:dyDescent="0.25">
      <c r="A945" s="37" t="s">
        <v>947</v>
      </c>
      <c r="B945" s="8" t="s">
        <v>683</v>
      </c>
      <c r="C945" s="2">
        <f t="shared" si="564"/>
        <v>1933800</v>
      </c>
      <c r="D945" s="3">
        <f t="shared" si="560"/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4">
        <v>0</v>
      </c>
      <c r="L945" s="3">
        <v>0</v>
      </c>
      <c r="M945" s="3">
        <v>293</v>
      </c>
      <c r="N945" s="3">
        <f t="shared" si="571"/>
        <v>1933800</v>
      </c>
      <c r="O945" s="3">
        <v>0</v>
      </c>
      <c r="P945" s="3">
        <v>0</v>
      </c>
      <c r="Q945" s="3">
        <v>0</v>
      </c>
      <c r="R945" s="3">
        <f t="shared" si="561"/>
        <v>0</v>
      </c>
      <c r="S945" s="3">
        <v>0</v>
      </c>
      <c r="T945" s="5">
        <v>0</v>
      </c>
      <c r="U945" s="3">
        <v>0</v>
      </c>
      <c r="V945" s="6">
        <f t="shared" si="562"/>
        <v>6600</v>
      </c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7"/>
      <c r="DO945" s="7"/>
      <c r="DP945" s="7"/>
      <c r="DQ945" s="7"/>
      <c r="DR945" s="7"/>
      <c r="DS945" s="7"/>
      <c r="DT945" s="7"/>
      <c r="DU945" s="7"/>
      <c r="DV945" s="7"/>
      <c r="DW945" s="7"/>
      <c r="DX945" s="7"/>
      <c r="DY945" s="7"/>
      <c r="DZ945" s="7"/>
      <c r="EA945" s="7"/>
      <c r="EB945" s="7"/>
      <c r="EC945" s="7"/>
      <c r="ED945" s="7"/>
      <c r="EE945" s="7"/>
      <c r="EF945" s="7"/>
      <c r="EG945" s="7"/>
      <c r="EH945" s="7"/>
      <c r="EI945" s="7"/>
      <c r="EJ945" s="7"/>
      <c r="EK945" s="7"/>
      <c r="EL945" s="7"/>
      <c r="EM945" s="7"/>
      <c r="EN945" s="7"/>
      <c r="EO945" s="7"/>
      <c r="EP945" s="7"/>
      <c r="EQ945" s="7"/>
      <c r="ER945" s="7"/>
      <c r="ES945" s="7"/>
      <c r="ET945" s="7"/>
      <c r="EU945" s="7"/>
      <c r="EV945" s="7"/>
      <c r="EW945" s="7"/>
      <c r="EX945" s="7"/>
      <c r="EY945" s="7"/>
      <c r="EZ945" s="7"/>
      <c r="FA945" s="7"/>
      <c r="FB945" s="7"/>
      <c r="FC945" s="7"/>
      <c r="FD945" s="7"/>
      <c r="FE945" s="7"/>
      <c r="FF945" s="7"/>
      <c r="FG945" s="7"/>
      <c r="FH945" s="7"/>
      <c r="FI945" s="7"/>
      <c r="FJ945" s="7"/>
      <c r="FK945" s="7"/>
      <c r="FL945" s="7"/>
      <c r="FM945" s="7"/>
      <c r="FN945" s="7"/>
      <c r="FO945" s="7"/>
      <c r="FP945" s="7"/>
      <c r="FQ945" s="7"/>
      <c r="FR945" s="7"/>
      <c r="FS945" s="7"/>
      <c r="FT945" s="7"/>
      <c r="FU945" s="7"/>
      <c r="FV945" s="7"/>
      <c r="FW945" s="7"/>
      <c r="FX945" s="7"/>
      <c r="FY945" s="7"/>
      <c r="FZ945" s="7"/>
      <c r="GA945" s="7"/>
      <c r="GB945" s="7"/>
      <c r="GC945" s="7"/>
      <c r="GD945" s="7"/>
      <c r="GE945" s="7"/>
      <c r="GF945" s="7"/>
      <c r="GG945" s="7"/>
      <c r="GH945" s="7"/>
      <c r="GI945" s="7"/>
      <c r="GJ945" s="7"/>
      <c r="GK945" s="7"/>
      <c r="GL945" s="7"/>
      <c r="GM945" s="7"/>
      <c r="GN945" s="7"/>
      <c r="GO945" s="7"/>
      <c r="GP945" s="7"/>
      <c r="GQ945" s="7"/>
      <c r="GR945" s="7"/>
      <c r="GS945" s="7"/>
      <c r="GT945" s="7"/>
      <c r="GU945" s="7"/>
      <c r="GV945" s="7"/>
      <c r="GW945" s="7"/>
      <c r="GX945" s="7"/>
      <c r="GY945" s="7"/>
      <c r="GZ945" s="7"/>
      <c r="HA945" s="7"/>
      <c r="HB945" s="7"/>
      <c r="HC945" s="7"/>
      <c r="HD945" s="7"/>
      <c r="HE945" s="7"/>
      <c r="HF945" s="7"/>
      <c r="HG945" s="7"/>
      <c r="HH945" s="7"/>
      <c r="HI945" s="7"/>
      <c r="HJ945" s="7"/>
      <c r="HK945" s="7"/>
      <c r="HL945" s="7"/>
      <c r="HM945" s="7"/>
      <c r="HN945" s="7"/>
      <c r="HO945" s="7"/>
      <c r="HP945" s="7"/>
      <c r="HQ945" s="7"/>
      <c r="HR945" s="7"/>
      <c r="HS945" s="7"/>
      <c r="HT945" s="7"/>
      <c r="HU945" s="7"/>
      <c r="HV945" s="7"/>
      <c r="HW945" s="7"/>
      <c r="HX945" s="7"/>
      <c r="HY945" s="7"/>
      <c r="HZ945" s="7"/>
      <c r="IA945" s="7"/>
      <c r="IB945" s="7"/>
      <c r="IC945" s="7"/>
      <c r="ID945" s="7"/>
      <c r="IE945" s="7"/>
      <c r="IF945" s="7"/>
      <c r="IG945" s="7"/>
      <c r="IH945" s="7"/>
      <c r="II945" s="7"/>
      <c r="IJ945" s="7"/>
      <c r="IK945" s="7"/>
      <c r="IL945" s="7"/>
      <c r="IM945" s="7"/>
      <c r="IN945" s="7"/>
      <c r="IO945" s="7"/>
      <c r="IP945" s="7"/>
      <c r="IQ945" s="7"/>
      <c r="IR945" s="7"/>
      <c r="IS945" s="7"/>
      <c r="IT945" s="7"/>
      <c r="IU945" s="7"/>
      <c r="IV945" s="7"/>
      <c r="IW945" s="7"/>
      <c r="IX945" s="7"/>
    </row>
    <row r="946" spans="1:258" ht="21.95" customHeight="1" x14ac:dyDescent="0.25">
      <c r="A946" s="37" t="s">
        <v>948</v>
      </c>
      <c r="B946" s="8" t="s">
        <v>684</v>
      </c>
      <c r="C946" s="2">
        <f t="shared" si="564"/>
        <v>1940400</v>
      </c>
      <c r="D946" s="3">
        <f t="shared" si="560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4">
        <v>0</v>
      </c>
      <c r="L946" s="3">
        <v>0</v>
      </c>
      <c r="M946" s="3">
        <v>294</v>
      </c>
      <c r="N946" s="3">
        <f t="shared" si="571"/>
        <v>1940400</v>
      </c>
      <c r="O946" s="3">
        <v>0</v>
      </c>
      <c r="P946" s="3">
        <v>0</v>
      </c>
      <c r="Q946" s="3">
        <v>0</v>
      </c>
      <c r="R946" s="3">
        <f t="shared" si="561"/>
        <v>0</v>
      </c>
      <c r="S946" s="3">
        <v>0</v>
      </c>
      <c r="T946" s="5">
        <v>0</v>
      </c>
      <c r="U946" s="3">
        <v>0</v>
      </c>
      <c r="V946" s="6">
        <f t="shared" si="562"/>
        <v>6600</v>
      </c>
    </row>
    <row r="947" spans="1:258" ht="21.95" customHeight="1" x14ac:dyDescent="0.25">
      <c r="A947" s="37" t="s">
        <v>949</v>
      </c>
      <c r="B947" s="8" t="s">
        <v>685</v>
      </c>
      <c r="C947" s="2">
        <f t="shared" si="564"/>
        <v>1920600</v>
      </c>
      <c r="D947" s="3">
        <f t="shared" si="560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4">
        <v>0</v>
      </c>
      <c r="L947" s="3">
        <v>0</v>
      </c>
      <c r="M947" s="3">
        <v>291</v>
      </c>
      <c r="N947" s="3">
        <f t="shared" si="571"/>
        <v>1920600</v>
      </c>
      <c r="O947" s="3">
        <v>0</v>
      </c>
      <c r="P947" s="3">
        <v>0</v>
      </c>
      <c r="Q947" s="3">
        <v>0</v>
      </c>
      <c r="R947" s="3">
        <f t="shared" si="561"/>
        <v>0</v>
      </c>
      <c r="S947" s="3">
        <v>0</v>
      </c>
      <c r="T947" s="5">
        <v>0</v>
      </c>
      <c r="U947" s="3">
        <v>0</v>
      </c>
      <c r="V947" s="6">
        <f t="shared" si="562"/>
        <v>6600</v>
      </c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  <c r="BJ947" s="26"/>
      <c r="BK947" s="26"/>
      <c r="BL947" s="26"/>
      <c r="BM947" s="26"/>
      <c r="BN947" s="26"/>
      <c r="BO947" s="26"/>
      <c r="BP947" s="26"/>
      <c r="BQ947" s="26"/>
      <c r="BR947" s="26"/>
      <c r="BS947" s="26"/>
      <c r="BT947" s="26"/>
      <c r="BU947" s="26"/>
      <c r="BV947" s="26"/>
      <c r="BW947" s="26"/>
      <c r="BX947" s="26"/>
      <c r="BY947" s="26"/>
      <c r="BZ947" s="26"/>
      <c r="CA947" s="26"/>
      <c r="CB947" s="26"/>
      <c r="CC947" s="26"/>
      <c r="CD947" s="26"/>
      <c r="CE947" s="26"/>
      <c r="CF947" s="26"/>
      <c r="CG947" s="26"/>
      <c r="CH947" s="26"/>
      <c r="CI947" s="26"/>
      <c r="CJ947" s="26"/>
      <c r="CK947" s="26"/>
      <c r="CL947" s="26"/>
      <c r="CM947" s="26"/>
      <c r="CN947" s="26"/>
      <c r="CO947" s="26"/>
      <c r="CP947" s="26"/>
      <c r="CQ947" s="26"/>
      <c r="CR947" s="26"/>
      <c r="CS947" s="26"/>
      <c r="CT947" s="26"/>
      <c r="CU947" s="26"/>
      <c r="CV947" s="26"/>
      <c r="CW947" s="26"/>
      <c r="CX947" s="26"/>
      <c r="CY947" s="26"/>
      <c r="CZ947" s="26"/>
      <c r="DA947" s="26"/>
      <c r="DB947" s="26"/>
      <c r="DC947" s="26"/>
      <c r="DD947" s="26"/>
      <c r="DE947" s="26"/>
      <c r="DF947" s="26"/>
      <c r="DG947" s="26"/>
      <c r="DH947" s="26"/>
      <c r="DI947" s="26"/>
      <c r="DJ947" s="26"/>
      <c r="DK947" s="26"/>
      <c r="DL947" s="26"/>
      <c r="DM947" s="26"/>
      <c r="DN947" s="26"/>
      <c r="DO947" s="26"/>
      <c r="DP947" s="26"/>
      <c r="DQ947" s="26"/>
      <c r="DR947" s="26"/>
      <c r="DS947" s="26"/>
      <c r="DT947" s="26"/>
      <c r="DU947" s="26"/>
      <c r="DV947" s="26"/>
      <c r="DW947" s="26"/>
      <c r="DX947" s="26"/>
      <c r="DY947" s="26"/>
      <c r="DZ947" s="26"/>
      <c r="EA947" s="26"/>
      <c r="EB947" s="26"/>
      <c r="EC947" s="26"/>
      <c r="ED947" s="26"/>
      <c r="EE947" s="26"/>
      <c r="EF947" s="26"/>
      <c r="EG947" s="26"/>
      <c r="EH947" s="26"/>
      <c r="EI947" s="26"/>
      <c r="EJ947" s="26"/>
      <c r="EK947" s="26"/>
      <c r="EL947" s="26"/>
      <c r="EM947" s="26"/>
      <c r="EN947" s="26"/>
      <c r="EO947" s="26"/>
      <c r="EP947" s="26"/>
      <c r="EQ947" s="26"/>
      <c r="ER947" s="26"/>
      <c r="ES947" s="26"/>
      <c r="ET947" s="26"/>
      <c r="EU947" s="26"/>
      <c r="EV947" s="26"/>
      <c r="EW947" s="26"/>
      <c r="EX947" s="26"/>
      <c r="EY947" s="26"/>
      <c r="EZ947" s="26"/>
      <c r="FA947" s="26"/>
      <c r="FB947" s="26"/>
      <c r="FC947" s="26"/>
      <c r="FD947" s="26"/>
      <c r="FE947" s="26"/>
      <c r="FF947" s="26"/>
      <c r="FG947" s="26"/>
      <c r="FH947" s="26"/>
      <c r="FI947" s="26"/>
      <c r="FJ947" s="26"/>
      <c r="FK947" s="26"/>
      <c r="FL947" s="26"/>
      <c r="FM947" s="26"/>
      <c r="FN947" s="26"/>
      <c r="FO947" s="26"/>
      <c r="FP947" s="26"/>
      <c r="FQ947" s="26"/>
      <c r="FR947" s="26"/>
      <c r="FS947" s="26"/>
      <c r="FT947" s="26"/>
      <c r="FU947" s="26"/>
      <c r="FV947" s="26"/>
      <c r="FW947" s="26"/>
      <c r="FX947" s="26"/>
      <c r="FY947" s="26"/>
      <c r="FZ947" s="26"/>
      <c r="GA947" s="26"/>
      <c r="GB947" s="26"/>
      <c r="GC947" s="26"/>
      <c r="GD947" s="26"/>
      <c r="GE947" s="26"/>
      <c r="GF947" s="26"/>
      <c r="GG947" s="26"/>
      <c r="GH947" s="26"/>
      <c r="GI947" s="26"/>
      <c r="GJ947" s="26"/>
      <c r="GK947" s="26"/>
      <c r="GL947" s="26"/>
      <c r="GM947" s="26"/>
      <c r="GN947" s="26"/>
      <c r="GO947" s="26"/>
      <c r="GP947" s="26"/>
      <c r="GQ947" s="26"/>
      <c r="GR947" s="26"/>
      <c r="GS947" s="26"/>
      <c r="GT947" s="26"/>
      <c r="GU947" s="26"/>
      <c r="GV947" s="26"/>
      <c r="GW947" s="26"/>
      <c r="GX947" s="26"/>
      <c r="GY947" s="26"/>
      <c r="GZ947" s="26"/>
      <c r="HA947" s="26"/>
      <c r="HB947" s="26"/>
      <c r="HC947" s="26"/>
      <c r="HD947" s="26"/>
      <c r="HE947" s="26"/>
      <c r="HF947" s="26"/>
      <c r="HG947" s="26"/>
      <c r="HH947" s="26"/>
      <c r="HI947" s="26"/>
      <c r="HJ947" s="26"/>
      <c r="HK947" s="26"/>
      <c r="HL947" s="26"/>
      <c r="HM947" s="26"/>
      <c r="HN947" s="26"/>
      <c r="HO947" s="26"/>
      <c r="HP947" s="26"/>
      <c r="HQ947" s="26"/>
      <c r="HR947" s="26"/>
      <c r="HS947" s="26"/>
      <c r="HT947" s="26"/>
      <c r="HU947" s="26"/>
      <c r="HV947" s="26"/>
      <c r="HW947" s="26"/>
      <c r="HX947" s="26"/>
      <c r="HY947" s="26"/>
      <c r="HZ947" s="26"/>
      <c r="IA947" s="26"/>
      <c r="IB947" s="26"/>
      <c r="IC947" s="26"/>
      <c r="ID947" s="26"/>
      <c r="IE947" s="26"/>
      <c r="IF947" s="26"/>
      <c r="IG947" s="26"/>
      <c r="IH947" s="26"/>
      <c r="II947" s="26"/>
      <c r="IJ947" s="26"/>
      <c r="IK947" s="26"/>
      <c r="IL947" s="26"/>
      <c r="IM947" s="26"/>
      <c r="IN947" s="26"/>
      <c r="IO947" s="26"/>
      <c r="IP947" s="26"/>
      <c r="IQ947" s="26"/>
      <c r="IR947" s="26"/>
      <c r="IS947" s="26"/>
      <c r="IT947" s="26"/>
      <c r="IU947" s="26"/>
      <c r="IV947" s="26"/>
      <c r="IW947" s="26"/>
      <c r="IX947" s="26"/>
    </row>
    <row r="948" spans="1:258" ht="21.95" customHeight="1" x14ac:dyDescent="0.25">
      <c r="A948" s="37" t="s">
        <v>950</v>
      </c>
      <c r="B948" s="8" t="s">
        <v>686</v>
      </c>
      <c r="C948" s="2">
        <f t="shared" si="564"/>
        <v>1907400</v>
      </c>
      <c r="D948" s="3">
        <f t="shared" si="560"/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3">
        <v>289</v>
      </c>
      <c r="N948" s="3">
        <f t="shared" si="571"/>
        <v>1907400</v>
      </c>
      <c r="O948" s="3">
        <v>0</v>
      </c>
      <c r="P948" s="3">
        <v>0</v>
      </c>
      <c r="Q948" s="3">
        <v>0</v>
      </c>
      <c r="R948" s="3">
        <f t="shared" si="561"/>
        <v>0</v>
      </c>
      <c r="S948" s="3">
        <v>0</v>
      </c>
      <c r="T948" s="5">
        <v>0</v>
      </c>
      <c r="U948" s="3">
        <v>0</v>
      </c>
      <c r="V948" s="6">
        <f t="shared" si="562"/>
        <v>6600</v>
      </c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  <c r="BI948" s="26"/>
      <c r="BJ948" s="26"/>
      <c r="BK948" s="26"/>
      <c r="BL948" s="26"/>
      <c r="BM948" s="26"/>
      <c r="BN948" s="26"/>
      <c r="BO948" s="26"/>
      <c r="BP948" s="26"/>
      <c r="BQ948" s="26"/>
      <c r="BR948" s="26"/>
      <c r="BS948" s="26"/>
      <c r="BT948" s="26"/>
      <c r="BU948" s="26"/>
      <c r="BV948" s="26"/>
      <c r="BW948" s="26"/>
      <c r="BX948" s="26"/>
      <c r="BY948" s="26"/>
      <c r="BZ948" s="26"/>
      <c r="CA948" s="26"/>
      <c r="CB948" s="26"/>
      <c r="CC948" s="26"/>
      <c r="CD948" s="26"/>
      <c r="CE948" s="26"/>
      <c r="CF948" s="26"/>
      <c r="CG948" s="26"/>
      <c r="CH948" s="26"/>
      <c r="CI948" s="26"/>
      <c r="CJ948" s="26"/>
      <c r="CK948" s="26"/>
      <c r="CL948" s="26"/>
      <c r="CM948" s="26"/>
      <c r="CN948" s="26"/>
      <c r="CO948" s="26"/>
      <c r="CP948" s="26"/>
      <c r="CQ948" s="26"/>
      <c r="CR948" s="26"/>
      <c r="CS948" s="26"/>
      <c r="CT948" s="26"/>
      <c r="CU948" s="26"/>
      <c r="CV948" s="26"/>
      <c r="CW948" s="26"/>
      <c r="CX948" s="26"/>
      <c r="CY948" s="26"/>
      <c r="CZ948" s="26"/>
      <c r="DA948" s="26"/>
      <c r="DB948" s="26"/>
      <c r="DC948" s="26"/>
      <c r="DD948" s="26"/>
      <c r="DE948" s="26"/>
      <c r="DF948" s="26"/>
      <c r="DG948" s="26"/>
      <c r="DH948" s="26"/>
      <c r="DI948" s="26"/>
      <c r="DJ948" s="26"/>
      <c r="DK948" s="26"/>
      <c r="DL948" s="26"/>
      <c r="DM948" s="26"/>
      <c r="DN948" s="26"/>
      <c r="DO948" s="26"/>
      <c r="DP948" s="26"/>
      <c r="DQ948" s="26"/>
      <c r="DR948" s="26"/>
      <c r="DS948" s="26"/>
      <c r="DT948" s="26"/>
      <c r="DU948" s="26"/>
      <c r="DV948" s="26"/>
      <c r="DW948" s="26"/>
      <c r="DX948" s="26"/>
      <c r="DY948" s="26"/>
      <c r="DZ948" s="26"/>
      <c r="EA948" s="26"/>
      <c r="EB948" s="26"/>
      <c r="EC948" s="26"/>
      <c r="ED948" s="26"/>
      <c r="EE948" s="26"/>
      <c r="EF948" s="26"/>
      <c r="EG948" s="26"/>
      <c r="EH948" s="26"/>
      <c r="EI948" s="26"/>
      <c r="EJ948" s="26"/>
      <c r="EK948" s="26"/>
      <c r="EL948" s="26"/>
      <c r="EM948" s="26"/>
      <c r="EN948" s="26"/>
      <c r="EO948" s="26"/>
      <c r="EP948" s="26"/>
      <c r="EQ948" s="26"/>
      <c r="ER948" s="26"/>
      <c r="ES948" s="26"/>
      <c r="ET948" s="26"/>
      <c r="EU948" s="26"/>
      <c r="EV948" s="26"/>
      <c r="EW948" s="26"/>
      <c r="EX948" s="26"/>
      <c r="EY948" s="26"/>
      <c r="EZ948" s="26"/>
      <c r="FA948" s="26"/>
      <c r="FB948" s="26"/>
      <c r="FC948" s="26"/>
      <c r="FD948" s="26"/>
      <c r="FE948" s="26"/>
      <c r="FF948" s="26"/>
      <c r="FG948" s="26"/>
      <c r="FH948" s="26"/>
      <c r="FI948" s="26"/>
      <c r="FJ948" s="26"/>
      <c r="FK948" s="26"/>
      <c r="FL948" s="26"/>
      <c r="FM948" s="26"/>
      <c r="FN948" s="26"/>
      <c r="FO948" s="26"/>
      <c r="FP948" s="26"/>
      <c r="FQ948" s="26"/>
      <c r="FR948" s="26"/>
      <c r="FS948" s="26"/>
      <c r="FT948" s="26"/>
      <c r="FU948" s="26"/>
      <c r="FV948" s="26"/>
      <c r="FW948" s="26"/>
      <c r="FX948" s="26"/>
      <c r="FY948" s="26"/>
      <c r="FZ948" s="26"/>
      <c r="GA948" s="26"/>
      <c r="GB948" s="26"/>
      <c r="GC948" s="26"/>
      <c r="GD948" s="26"/>
      <c r="GE948" s="26"/>
      <c r="GF948" s="26"/>
      <c r="GG948" s="26"/>
      <c r="GH948" s="26"/>
      <c r="GI948" s="26"/>
      <c r="GJ948" s="26"/>
      <c r="GK948" s="26"/>
      <c r="GL948" s="26"/>
      <c r="GM948" s="26"/>
      <c r="GN948" s="26"/>
      <c r="GO948" s="26"/>
      <c r="GP948" s="26"/>
      <c r="GQ948" s="26"/>
      <c r="GR948" s="26"/>
      <c r="GS948" s="26"/>
      <c r="GT948" s="26"/>
      <c r="GU948" s="26"/>
      <c r="GV948" s="26"/>
      <c r="GW948" s="26"/>
      <c r="GX948" s="26"/>
      <c r="GY948" s="26"/>
      <c r="GZ948" s="26"/>
      <c r="HA948" s="26"/>
      <c r="HB948" s="26"/>
      <c r="HC948" s="26"/>
      <c r="HD948" s="26"/>
      <c r="HE948" s="26"/>
      <c r="HF948" s="26"/>
      <c r="HG948" s="26"/>
      <c r="HH948" s="26"/>
      <c r="HI948" s="26"/>
      <c r="HJ948" s="26"/>
      <c r="HK948" s="26"/>
      <c r="HL948" s="26"/>
      <c r="HM948" s="26"/>
      <c r="HN948" s="26"/>
      <c r="HO948" s="26"/>
      <c r="HP948" s="26"/>
      <c r="HQ948" s="26"/>
      <c r="HR948" s="26"/>
      <c r="HS948" s="26"/>
      <c r="HT948" s="26"/>
      <c r="HU948" s="26"/>
      <c r="HV948" s="26"/>
      <c r="HW948" s="26"/>
      <c r="HX948" s="26"/>
      <c r="HY948" s="26"/>
      <c r="HZ948" s="26"/>
      <c r="IA948" s="26"/>
      <c r="IB948" s="26"/>
      <c r="IC948" s="26"/>
      <c r="ID948" s="26"/>
      <c r="IE948" s="26"/>
      <c r="IF948" s="26"/>
      <c r="IG948" s="26"/>
      <c r="IH948" s="26"/>
      <c r="II948" s="26"/>
      <c r="IJ948" s="26"/>
      <c r="IK948" s="26"/>
      <c r="IL948" s="26"/>
      <c r="IM948" s="26"/>
      <c r="IN948" s="26"/>
      <c r="IO948" s="26"/>
      <c r="IP948" s="26"/>
      <c r="IQ948" s="26"/>
      <c r="IR948" s="26"/>
      <c r="IS948" s="26"/>
      <c r="IT948" s="26"/>
      <c r="IU948" s="26"/>
      <c r="IV948" s="26"/>
      <c r="IW948" s="26"/>
      <c r="IX948" s="26"/>
    </row>
    <row r="949" spans="1:258" ht="21.95" customHeight="1" x14ac:dyDescent="0.25">
      <c r="A949" s="37" t="s">
        <v>951</v>
      </c>
      <c r="B949" s="8" t="s">
        <v>772</v>
      </c>
      <c r="C949" s="2">
        <f t="shared" si="564"/>
        <v>4118400</v>
      </c>
      <c r="D949" s="3">
        <f t="shared" si="560"/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5">
        <v>624</v>
      </c>
      <c r="N949" s="3">
        <f t="shared" si="571"/>
        <v>4118400</v>
      </c>
      <c r="O949" s="3">
        <v>0</v>
      </c>
      <c r="P949" s="3">
        <v>0</v>
      </c>
      <c r="Q949" s="3">
        <v>0</v>
      </c>
      <c r="R949" s="3">
        <f t="shared" si="561"/>
        <v>0</v>
      </c>
      <c r="S949" s="3">
        <v>0</v>
      </c>
      <c r="T949" s="5">
        <v>0</v>
      </c>
      <c r="U949" s="3">
        <v>0</v>
      </c>
      <c r="V949" s="6">
        <f t="shared" si="562"/>
        <v>6600</v>
      </c>
    </row>
    <row r="950" spans="1:258" ht="21.95" customHeight="1" x14ac:dyDescent="0.25">
      <c r="A950" s="37" t="s">
        <v>952</v>
      </c>
      <c r="B950" s="8" t="s">
        <v>687</v>
      </c>
      <c r="C950" s="2">
        <f t="shared" si="564"/>
        <v>1927200</v>
      </c>
      <c r="D950" s="3">
        <f t="shared" si="560"/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4">
        <v>0</v>
      </c>
      <c r="L950" s="3">
        <v>0</v>
      </c>
      <c r="M950" s="3">
        <v>292</v>
      </c>
      <c r="N950" s="3">
        <f t="shared" si="571"/>
        <v>1927200</v>
      </c>
      <c r="O950" s="3">
        <v>0</v>
      </c>
      <c r="P950" s="3">
        <v>0</v>
      </c>
      <c r="Q950" s="3">
        <v>0</v>
      </c>
      <c r="R950" s="3">
        <f t="shared" si="561"/>
        <v>0</v>
      </c>
      <c r="S950" s="3">
        <v>0</v>
      </c>
      <c r="T950" s="5">
        <v>0</v>
      </c>
      <c r="U950" s="3">
        <v>0</v>
      </c>
      <c r="V950" s="6">
        <f t="shared" si="562"/>
        <v>6600</v>
      </c>
    </row>
    <row r="951" spans="1:258" ht="21.95" customHeight="1" x14ac:dyDescent="0.25">
      <c r="A951" s="37" t="s">
        <v>953</v>
      </c>
      <c r="B951" s="8" t="s">
        <v>688</v>
      </c>
      <c r="C951" s="2">
        <f t="shared" si="564"/>
        <v>1927200</v>
      </c>
      <c r="D951" s="3">
        <f t="shared" si="560"/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4">
        <v>0</v>
      </c>
      <c r="L951" s="3">
        <v>0</v>
      </c>
      <c r="M951" s="3">
        <v>292</v>
      </c>
      <c r="N951" s="3">
        <f t="shared" si="571"/>
        <v>1927200</v>
      </c>
      <c r="O951" s="3">
        <v>0</v>
      </c>
      <c r="P951" s="3">
        <v>0</v>
      </c>
      <c r="Q951" s="3">
        <v>0</v>
      </c>
      <c r="R951" s="3">
        <f t="shared" si="561"/>
        <v>0</v>
      </c>
      <c r="S951" s="3">
        <v>0</v>
      </c>
      <c r="T951" s="5">
        <v>0</v>
      </c>
      <c r="U951" s="3">
        <v>0</v>
      </c>
      <c r="V951" s="6">
        <f t="shared" si="562"/>
        <v>6600</v>
      </c>
    </row>
    <row r="952" spans="1:258" ht="21.95" customHeight="1" x14ac:dyDescent="0.25">
      <c r="A952" s="37" t="s">
        <v>954</v>
      </c>
      <c r="B952" s="8" t="s">
        <v>689</v>
      </c>
      <c r="C952" s="2">
        <f t="shared" si="564"/>
        <v>4441800</v>
      </c>
      <c r="D952" s="3">
        <f t="shared" si="560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673</v>
      </c>
      <c r="N952" s="3">
        <f t="shared" si="571"/>
        <v>4441800</v>
      </c>
      <c r="O952" s="3">
        <v>0</v>
      </c>
      <c r="P952" s="3">
        <v>0</v>
      </c>
      <c r="Q952" s="3">
        <v>0</v>
      </c>
      <c r="R952" s="3">
        <f t="shared" si="561"/>
        <v>0</v>
      </c>
      <c r="S952" s="3">
        <v>0</v>
      </c>
      <c r="T952" s="5">
        <v>0</v>
      </c>
      <c r="U952" s="3">
        <v>0</v>
      </c>
      <c r="V952" s="6">
        <f t="shared" si="562"/>
        <v>6600</v>
      </c>
    </row>
    <row r="953" spans="1:258" ht="21.95" customHeight="1" x14ac:dyDescent="0.25">
      <c r="A953" s="37" t="s">
        <v>955</v>
      </c>
      <c r="B953" s="8" t="s">
        <v>690</v>
      </c>
      <c r="C953" s="2">
        <f t="shared" si="564"/>
        <v>1960200</v>
      </c>
      <c r="D953" s="3">
        <f t="shared" si="560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3">
        <v>297</v>
      </c>
      <c r="N953" s="3">
        <f t="shared" si="571"/>
        <v>1960200</v>
      </c>
      <c r="O953" s="3">
        <v>0</v>
      </c>
      <c r="P953" s="3">
        <v>0</v>
      </c>
      <c r="Q953" s="3">
        <v>0</v>
      </c>
      <c r="R953" s="3">
        <f t="shared" si="561"/>
        <v>0</v>
      </c>
      <c r="S953" s="3">
        <v>0</v>
      </c>
      <c r="T953" s="5">
        <v>0</v>
      </c>
      <c r="U953" s="3">
        <v>0</v>
      </c>
      <c r="V953" s="6">
        <f t="shared" si="562"/>
        <v>6600</v>
      </c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  <c r="CA953" s="17"/>
      <c r="CB953" s="17"/>
      <c r="CC953" s="17"/>
      <c r="CD953" s="17"/>
      <c r="CE953" s="17"/>
      <c r="CF953" s="17"/>
      <c r="CG953" s="17"/>
      <c r="CH953" s="17"/>
      <c r="CI953" s="17"/>
      <c r="CJ953" s="17"/>
      <c r="CK953" s="17"/>
      <c r="CL953" s="17"/>
      <c r="CM953" s="17"/>
      <c r="CN953" s="17"/>
      <c r="CO953" s="17"/>
      <c r="CP953" s="17"/>
      <c r="CQ953" s="17"/>
      <c r="CR953" s="17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  <c r="DD953" s="17"/>
      <c r="DE953" s="17"/>
      <c r="DF953" s="17"/>
      <c r="DG953" s="17"/>
      <c r="DH953" s="17"/>
      <c r="DI953" s="17"/>
      <c r="DJ953" s="17"/>
      <c r="DK953" s="17"/>
      <c r="DL953" s="17"/>
      <c r="DM953" s="17"/>
      <c r="DN953" s="17"/>
      <c r="DO953" s="17"/>
      <c r="DP953" s="17"/>
      <c r="DQ953" s="17"/>
      <c r="DR953" s="17"/>
      <c r="DS953" s="17"/>
      <c r="DT953" s="17"/>
      <c r="DU953" s="17"/>
      <c r="DV953" s="17"/>
      <c r="DW953" s="17"/>
      <c r="DX953" s="17"/>
      <c r="DY953" s="17"/>
      <c r="DZ953" s="17"/>
      <c r="EA953" s="17"/>
      <c r="EB953" s="17"/>
      <c r="EC953" s="17"/>
      <c r="ED953" s="17"/>
      <c r="EE953" s="17"/>
      <c r="EF953" s="17"/>
      <c r="EG953" s="17"/>
      <c r="EH953" s="17"/>
      <c r="EI953" s="17"/>
      <c r="EJ953" s="17"/>
      <c r="EK953" s="17"/>
      <c r="EL953" s="17"/>
      <c r="EM953" s="17"/>
      <c r="EN953" s="17"/>
      <c r="EO953" s="17"/>
      <c r="EP953" s="17"/>
      <c r="EQ953" s="17"/>
      <c r="ER953" s="17"/>
      <c r="ES953" s="17"/>
      <c r="ET953" s="17"/>
      <c r="EU953" s="17"/>
      <c r="EV953" s="17"/>
      <c r="EW953" s="17"/>
      <c r="EX953" s="17"/>
      <c r="EY953" s="17"/>
      <c r="EZ953" s="17"/>
      <c r="FA953" s="17"/>
      <c r="FB953" s="17"/>
      <c r="FC953" s="17"/>
      <c r="FD953" s="17"/>
      <c r="FE953" s="17"/>
      <c r="FF953" s="17"/>
      <c r="FG953" s="17"/>
      <c r="FH953" s="17"/>
      <c r="FI953" s="17"/>
      <c r="FJ953" s="17"/>
      <c r="FK953" s="17"/>
      <c r="FL953" s="17"/>
      <c r="FM953" s="17"/>
      <c r="FN953" s="17"/>
      <c r="FO953" s="17"/>
      <c r="FP953" s="17"/>
      <c r="FQ953" s="17"/>
      <c r="FR953" s="17"/>
      <c r="FS953" s="17"/>
      <c r="FT953" s="17"/>
      <c r="FU953" s="17"/>
      <c r="FV953" s="17"/>
      <c r="FW953" s="17"/>
      <c r="FX953" s="17"/>
      <c r="FY953" s="17"/>
      <c r="FZ953" s="17"/>
      <c r="GA953" s="17"/>
      <c r="GB953" s="17"/>
      <c r="GC953" s="17"/>
      <c r="GD953" s="17"/>
      <c r="GE953" s="17"/>
      <c r="GF953" s="17"/>
      <c r="GG953" s="17"/>
      <c r="GH953" s="17"/>
      <c r="GI953" s="17"/>
      <c r="GJ953" s="17"/>
      <c r="GK953" s="17"/>
      <c r="GL953" s="17"/>
      <c r="GM953" s="17"/>
      <c r="GN953" s="17"/>
      <c r="GO953" s="17"/>
      <c r="GP953" s="17"/>
      <c r="GQ953" s="17"/>
      <c r="GR953" s="17"/>
      <c r="GS953" s="17"/>
      <c r="GT953" s="17"/>
      <c r="GU953" s="17"/>
      <c r="GV953" s="17"/>
      <c r="GW953" s="17"/>
      <c r="GX953" s="17"/>
      <c r="GY953" s="17"/>
      <c r="GZ953" s="17"/>
      <c r="HA953" s="17"/>
      <c r="HB953" s="17"/>
      <c r="HC953" s="17"/>
      <c r="HD953" s="17"/>
      <c r="HE953" s="17"/>
      <c r="HF953" s="17"/>
      <c r="HG953" s="17"/>
      <c r="HH953" s="17"/>
      <c r="HI953" s="17"/>
      <c r="HJ953" s="17"/>
      <c r="HK953" s="17"/>
      <c r="HL953" s="17"/>
      <c r="HM953" s="17"/>
      <c r="HN953" s="17"/>
      <c r="HO953" s="17"/>
      <c r="HP953" s="17"/>
      <c r="HQ953" s="17"/>
      <c r="HR953" s="17"/>
      <c r="HS953" s="17"/>
      <c r="HT953" s="17"/>
      <c r="HU953" s="17"/>
      <c r="HV953" s="17"/>
      <c r="HW953" s="17"/>
      <c r="HX953" s="17"/>
      <c r="HY953" s="17"/>
      <c r="HZ953" s="17"/>
      <c r="IA953" s="17"/>
      <c r="IB953" s="17"/>
      <c r="IC953" s="17"/>
      <c r="ID953" s="17"/>
      <c r="IE953" s="17"/>
      <c r="IF953" s="17"/>
      <c r="IG953" s="17"/>
      <c r="IH953" s="17"/>
      <c r="II953" s="17"/>
      <c r="IJ953" s="17"/>
      <c r="IK953" s="17"/>
      <c r="IL953" s="17"/>
      <c r="IM953" s="17"/>
      <c r="IN953" s="17"/>
      <c r="IO953" s="17"/>
      <c r="IP953" s="17"/>
      <c r="IQ953" s="17"/>
      <c r="IR953" s="17"/>
      <c r="IS953" s="17"/>
      <c r="IT953" s="17"/>
      <c r="IU953" s="17"/>
      <c r="IV953" s="17"/>
      <c r="IW953" s="17"/>
      <c r="IX953" s="17"/>
    </row>
    <row r="954" spans="1:258" ht="21.95" customHeight="1" x14ac:dyDescent="0.25">
      <c r="A954" s="37" t="s">
        <v>956</v>
      </c>
      <c r="B954" s="8" t="s">
        <v>680</v>
      </c>
      <c r="C954" s="2">
        <f>D954+L954+N954+P954+R954+S954+T954+U954</f>
        <v>1927200</v>
      </c>
      <c r="D954" s="3">
        <f>SUM(E954:J954)</f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3">
        <v>292</v>
      </c>
      <c r="N954" s="3">
        <f t="shared" si="571"/>
        <v>1927200</v>
      </c>
      <c r="O954" s="3">
        <v>0</v>
      </c>
      <c r="P954" s="3">
        <v>0</v>
      </c>
      <c r="Q954" s="3">
        <v>0</v>
      </c>
      <c r="R954" s="3">
        <f t="shared" si="561"/>
        <v>0</v>
      </c>
      <c r="S954" s="3">
        <v>0</v>
      </c>
      <c r="T954" s="5">
        <v>0</v>
      </c>
      <c r="U954" s="3">
        <v>0</v>
      </c>
      <c r="V954" s="6">
        <f>N954/M954</f>
        <v>6600</v>
      </c>
    </row>
    <row r="955" spans="1:258" ht="21.95" customHeight="1" x14ac:dyDescent="0.25">
      <c r="A955" s="37" t="s">
        <v>957</v>
      </c>
      <c r="B955" s="8" t="s">
        <v>773</v>
      </c>
      <c r="C955" s="2">
        <f t="shared" si="564"/>
        <v>3517800</v>
      </c>
      <c r="D955" s="3">
        <f t="shared" si="560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5">
        <v>533</v>
      </c>
      <c r="N955" s="3">
        <f t="shared" si="571"/>
        <v>3517800</v>
      </c>
      <c r="O955" s="3">
        <v>0</v>
      </c>
      <c r="P955" s="3">
        <v>0</v>
      </c>
      <c r="Q955" s="3">
        <v>0</v>
      </c>
      <c r="R955" s="3">
        <f t="shared" si="561"/>
        <v>0</v>
      </c>
      <c r="S955" s="3">
        <v>0</v>
      </c>
      <c r="T955" s="5">
        <v>0</v>
      </c>
      <c r="U955" s="3">
        <v>0</v>
      </c>
      <c r="V955" s="6">
        <f t="shared" si="562"/>
        <v>6600</v>
      </c>
    </row>
    <row r="956" spans="1:258" ht="21.95" customHeight="1" x14ac:dyDescent="0.25">
      <c r="A956" s="37" t="s">
        <v>958</v>
      </c>
      <c r="B956" s="8" t="s">
        <v>691</v>
      </c>
      <c r="C956" s="2">
        <f t="shared" si="564"/>
        <v>1630200</v>
      </c>
      <c r="D956" s="3">
        <f t="shared" si="560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4">
        <v>0</v>
      </c>
      <c r="L956" s="3">
        <v>0</v>
      </c>
      <c r="M956" s="3">
        <v>247</v>
      </c>
      <c r="N956" s="3">
        <f t="shared" si="571"/>
        <v>1630200</v>
      </c>
      <c r="O956" s="3">
        <v>0</v>
      </c>
      <c r="P956" s="3">
        <v>0</v>
      </c>
      <c r="Q956" s="3">
        <v>0</v>
      </c>
      <c r="R956" s="3">
        <f t="shared" si="561"/>
        <v>0</v>
      </c>
      <c r="S956" s="3">
        <v>0</v>
      </c>
      <c r="T956" s="5">
        <v>0</v>
      </c>
      <c r="U956" s="3">
        <v>0</v>
      </c>
      <c r="V956" s="6">
        <f t="shared" si="562"/>
        <v>6600</v>
      </c>
    </row>
    <row r="957" spans="1:258" ht="21.95" customHeight="1" x14ac:dyDescent="0.25">
      <c r="A957" s="37" t="s">
        <v>959</v>
      </c>
      <c r="B957" s="8" t="s">
        <v>692</v>
      </c>
      <c r="C957" s="2">
        <f t="shared" si="564"/>
        <v>3306600</v>
      </c>
      <c r="D957" s="3">
        <f t="shared" si="560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3">
        <v>501</v>
      </c>
      <c r="N957" s="3">
        <f t="shared" si="571"/>
        <v>3306600</v>
      </c>
      <c r="O957" s="3">
        <v>0</v>
      </c>
      <c r="P957" s="3">
        <v>0</v>
      </c>
      <c r="Q957" s="3">
        <v>0</v>
      </c>
      <c r="R957" s="3">
        <f t="shared" si="561"/>
        <v>0</v>
      </c>
      <c r="S957" s="3">
        <v>0</v>
      </c>
      <c r="T957" s="5">
        <v>0</v>
      </c>
      <c r="U957" s="3">
        <v>0</v>
      </c>
      <c r="V957" s="6">
        <f t="shared" si="562"/>
        <v>6600</v>
      </c>
    </row>
    <row r="958" spans="1:258" ht="21.95" customHeight="1" x14ac:dyDescent="0.25">
      <c r="A958" s="37" t="s">
        <v>960</v>
      </c>
      <c r="B958" s="8" t="s">
        <v>693</v>
      </c>
      <c r="C958" s="2">
        <f t="shared" si="564"/>
        <v>2577960</v>
      </c>
      <c r="D958" s="3">
        <f t="shared" si="560"/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4">
        <v>0</v>
      </c>
      <c r="L958" s="3">
        <v>0</v>
      </c>
      <c r="M958" s="3">
        <v>390.6</v>
      </c>
      <c r="N958" s="3">
        <f t="shared" si="571"/>
        <v>2577960</v>
      </c>
      <c r="O958" s="3">
        <v>0</v>
      </c>
      <c r="P958" s="3">
        <v>0</v>
      </c>
      <c r="Q958" s="5">
        <v>0</v>
      </c>
      <c r="R958" s="3">
        <f t="shared" si="561"/>
        <v>0</v>
      </c>
      <c r="S958" s="3">
        <v>0</v>
      </c>
      <c r="T958" s="5">
        <v>0</v>
      </c>
      <c r="U958" s="3">
        <v>0</v>
      </c>
      <c r="V958" s="6">
        <f t="shared" si="562"/>
        <v>6600</v>
      </c>
    </row>
    <row r="959" spans="1:258" ht="21.95" customHeight="1" x14ac:dyDescent="0.25">
      <c r="A959" s="37" t="s">
        <v>961</v>
      </c>
      <c r="B959" s="8" t="s">
        <v>1219</v>
      </c>
      <c r="C959" s="2">
        <f t="shared" si="564"/>
        <v>11300000</v>
      </c>
      <c r="D959" s="3">
        <f t="shared" si="560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3">
        <v>0</v>
      </c>
      <c r="N959" s="3">
        <v>0</v>
      </c>
      <c r="O959" s="3">
        <v>0</v>
      </c>
      <c r="P959" s="3">
        <v>0</v>
      </c>
      <c r="Q959" s="3">
        <v>3500</v>
      </c>
      <c r="R959" s="3">
        <f t="shared" si="561"/>
        <v>11200000</v>
      </c>
      <c r="S959" s="3">
        <v>0</v>
      </c>
      <c r="T959" s="5">
        <v>0</v>
      </c>
      <c r="U959" s="3">
        <v>100000</v>
      </c>
      <c r="V959" s="6" t="e">
        <f t="shared" si="562"/>
        <v>#DIV/0!</v>
      </c>
    </row>
    <row r="960" spans="1:258" ht="21.95" customHeight="1" x14ac:dyDescent="0.25">
      <c r="A960" s="37" t="s">
        <v>962</v>
      </c>
      <c r="B960" s="8" t="s">
        <v>586</v>
      </c>
      <c r="C960" s="2">
        <f t="shared" si="564"/>
        <v>6973400</v>
      </c>
      <c r="D960" s="3">
        <f t="shared" ref="D960" si="572">SUM(E960:J960)</f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11">
        <v>0</v>
      </c>
      <c r="L960" s="5">
        <v>0</v>
      </c>
      <c r="M960" s="5">
        <v>659</v>
      </c>
      <c r="N960" s="3">
        <f t="shared" ref="N960:N994" si="573">M960*6600</f>
        <v>4349400</v>
      </c>
      <c r="O960" s="5">
        <v>0</v>
      </c>
      <c r="P960" s="5">
        <v>0</v>
      </c>
      <c r="Q960" s="5">
        <v>820</v>
      </c>
      <c r="R960" s="3">
        <f t="shared" si="561"/>
        <v>2624000</v>
      </c>
      <c r="S960" s="5">
        <v>0</v>
      </c>
      <c r="T960" s="5">
        <v>0</v>
      </c>
      <c r="U960" s="5">
        <v>0</v>
      </c>
      <c r="V960" s="6">
        <f t="shared" si="562"/>
        <v>6600</v>
      </c>
    </row>
    <row r="961" spans="1:258" ht="21.95" customHeight="1" x14ac:dyDescent="0.25">
      <c r="A961" s="37" t="s">
        <v>963</v>
      </c>
      <c r="B961" s="8" t="s">
        <v>694</v>
      </c>
      <c r="C961" s="2">
        <f t="shared" si="564"/>
        <v>3435960</v>
      </c>
      <c r="D961" s="3">
        <f t="shared" si="560"/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3">
        <v>520.6</v>
      </c>
      <c r="N961" s="3">
        <f t="shared" si="573"/>
        <v>3435960</v>
      </c>
      <c r="O961" s="3">
        <v>0</v>
      </c>
      <c r="P961" s="3">
        <v>0</v>
      </c>
      <c r="Q961" s="5">
        <v>0</v>
      </c>
      <c r="R961" s="3">
        <f t="shared" si="561"/>
        <v>0</v>
      </c>
      <c r="S961" s="3">
        <v>0</v>
      </c>
      <c r="T961" s="5">
        <v>0</v>
      </c>
      <c r="U961" s="3">
        <v>0</v>
      </c>
      <c r="V961" s="6">
        <f t="shared" si="562"/>
        <v>6600</v>
      </c>
    </row>
    <row r="962" spans="1:258" ht="21.95" customHeight="1" x14ac:dyDescent="0.25">
      <c r="A962" s="37" t="s">
        <v>964</v>
      </c>
      <c r="B962" s="8" t="s">
        <v>695</v>
      </c>
      <c r="C962" s="2">
        <f t="shared" si="564"/>
        <v>1933800</v>
      </c>
      <c r="D962" s="3">
        <f t="shared" si="560"/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4">
        <v>0</v>
      </c>
      <c r="L962" s="3">
        <v>0</v>
      </c>
      <c r="M962" s="3">
        <v>293</v>
      </c>
      <c r="N962" s="3">
        <f t="shared" si="573"/>
        <v>1933800</v>
      </c>
      <c r="O962" s="3">
        <v>0</v>
      </c>
      <c r="P962" s="3">
        <v>0</v>
      </c>
      <c r="Q962" s="5">
        <v>0</v>
      </c>
      <c r="R962" s="3">
        <f t="shared" si="561"/>
        <v>0</v>
      </c>
      <c r="S962" s="3">
        <v>0</v>
      </c>
      <c r="T962" s="5">
        <v>0</v>
      </c>
      <c r="U962" s="3">
        <v>0</v>
      </c>
      <c r="V962" s="6">
        <f t="shared" si="562"/>
        <v>6600</v>
      </c>
    </row>
    <row r="963" spans="1:258" ht="21.95" customHeight="1" x14ac:dyDescent="0.25">
      <c r="A963" s="37" t="s">
        <v>994</v>
      </c>
      <c r="B963" s="23" t="s">
        <v>815</v>
      </c>
      <c r="C963" s="2">
        <f t="shared" si="564"/>
        <v>6698610</v>
      </c>
      <c r="D963" s="3">
        <f t="shared" si="560"/>
        <v>1641750</v>
      </c>
      <c r="E963" s="3">
        <f>700*547.25</f>
        <v>383075</v>
      </c>
      <c r="F963" s="3">
        <f>1300*547.25</f>
        <v>711425</v>
      </c>
      <c r="G963" s="3">
        <f>300*547.25</f>
        <v>164175</v>
      </c>
      <c r="H963" s="3">
        <f>400*547.25</f>
        <v>218900</v>
      </c>
      <c r="I963" s="3">
        <f>300*547.25</f>
        <v>164175</v>
      </c>
      <c r="J963" s="3">
        <v>0</v>
      </c>
      <c r="K963" s="4">
        <v>0</v>
      </c>
      <c r="L963" s="3">
        <v>0</v>
      </c>
      <c r="M963" s="5">
        <v>493.1</v>
      </c>
      <c r="N963" s="3">
        <f t="shared" si="573"/>
        <v>3254460</v>
      </c>
      <c r="O963" s="3">
        <v>0</v>
      </c>
      <c r="P963" s="3">
        <v>0</v>
      </c>
      <c r="Q963" s="3">
        <v>532</v>
      </c>
      <c r="R963" s="3">
        <f t="shared" si="561"/>
        <v>1702400</v>
      </c>
      <c r="S963" s="3">
        <v>0</v>
      </c>
      <c r="T963" s="5">
        <v>0</v>
      </c>
      <c r="U963" s="3">
        <v>100000</v>
      </c>
      <c r="V963" s="6">
        <f t="shared" si="562"/>
        <v>6600</v>
      </c>
    </row>
    <row r="964" spans="1:258" ht="21.95" customHeight="1" x14ac:dyDescent="0.25">
      <c r="A964" s="37" t="s">
        <v>965</v>
      </c>
      <c r="B964" s="8" t="s">
        <v>517</v>
      </c>
      <c r="C964" s="2">
        <f t="shared" si="564"/>
        <v>3289440</v>
      </c>
      <c r="D964" s="3">
        <f t="shared" ref="D964" si="574">SUM(E964:J964)</f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11">
        <v>0</v>
      </c>
      <c r="L964" s="5">
        <v>0</v>
      </c>
      <c r="M964" s="5">
        <v>498.4</v>
      </c>
      <c r="N964" s="3">
        <f t="shared" si="573"/>
        <v>3289440</v>
      </c>
      <c r="O964" s="5">
        <v>0</v>
      </c>
      <c r="P964" s="5">
        <v>0</v>
      </c>
      <c r="Q964" s="5">
        <v>0</v>
      </c>
      <c r="R964" s="3">
        <f t="shared" si="561"/>
        <v>0</v>
      </c>
      <c r="S964" s="5">
        <v>0</v>
      </c>
      <c r="T964" s="5">
        <v>0</v>
      </c>
      <c r="U964" s="5">
        <v>0</v>
      </c>
      <c r="V964" s="6">
        <f t="shared" si="562"/>
        <v>6600</v>
      </c>
    </row>
    <row r="965" spans="1:258" ht="21.95" customHeight="1" x14ac:dyDescent="0.25">
      <c r="A965" s="37" t="s">
        <v>968</v>
      </c>
      <c r="B965" s="8" t="s">
        <v>775</v>
      </c>
      <c r="C965" s="2">
        <f t="shared" si="564"/>
        <v>2013000</v>
      </c>
      <c r="D965" s="3">
        <f t="shared" si="560"/>
        <v>0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4">
        <v>0</v>
      </c>
      <c r="L965" s="3">
        <v>0</v>
      </c>
      <c r="M965" s="3">
        <v>305</v>
      </c>
      <c r="N965" s="3">
        <f t="shared" si="573"/>
        <v>2013000</v>
      </c>
      <c r="O965" s="3">
        <v>0</v>
      </c>
      <c r="P965" s="3">
        <v>0</v>
      </c>
      <c r="Q965" s="5">
        <v>0</v>
      </c>
      <c r="R965" s="3">
        <f t="shared" si="561"/>
        <v>0</v>
      </c>
      <c r="S965" s="3">
        <v>0</v>
      </c>
      <c r="T965" s="5">
        <v>0</v>
      </c>
      <c r="U965" s="3">
        <v>0</v>
      </c>
      <c r="V965" s="6">
        <f t="shared" si="562"/>
        <v>6600</v>
      </c>
    </row>
    <row r="966" spans="1:258" ht="21.95" customHeight="1" x14ac:dyDescent="0.25">
      <c r="A966" s="37" t="s">
        <v>995</v>
      </c>
      <c r="B966" s="8" t="s">
        <v>776</v>
      </c>
      <c r="C966" s="2">
        <f t="shared" si="564"/>
        <v>1698839.9999999998</v>
      </c>
      <c r="D966" s="3">
        <f t="shared" si="560"/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4">
        <v>0</v>
      </c>
      <c r="L966" s="3">
        <v>0</v>
      </c>
      <c r="M966" s="3">
        <v>257.39999999999998</v>
      </c>
      <c r="N966" s="3">
        <f t="shared" si="573"/>
        <v>1698839.9999999998</v>
      </c>
      <c r="O966" s="3">
        <v>0</v>
      </c>
      <c r="P966" s="3">
        <v>0</v>
      </c>
      <c r="Q966" s="5">
        <v>0</v>
      </c>
      <c r="R966" s="3">
        <f t="shared" si="561"/>
        <v>0</v>
      </c>
      <c r="S966" s="3">
        <v>0</v>
      </c>
      <c r="T966" s="5">
        <v>0</v>
      </c>
      <c r="U966" s="3">
        <v>0</v>
      </c>
      <c r="V966" s="6">
        <f t="shared" si="562"/>
        <v>6600</v>
      </c>
    </row>
    <row r="967" spans="1:258" ht="21.95" customHeight="1" x14ac:dyDescent="0.25">
      <c r="A967" s="37" t="s">
        <v>996</v>
      </c>
      <c r="B967" s="8" t="s">
        <v>777</v>
      </c>
      <c r="C967" s="2">
        <f t="shared" si="564"/>
        <v>27351800</v>
      </c>
      <c r="D967" s="3">
        <f t="shared" si="560"/>
        <v>23260200</v>
      </c>
      <c r="E967" s="3">
        <f>700*7753.4</f>
        <v>5427380</v>
      </c>
      <c r="F967" s="3">
        <f>1300*7753.4</f>
        <v>10079420</v>
      </c>
      <c r="G967" s="3">
        <f>300*7753.4</f>
        <v>2326020</v>
      </c>
      <c r="H967" s="3">
        <f>400*7753.4</f>
        <v>3101360</v>
      </c>
      <c r="I967" s="3">
        <f>300*7753.4</f>
        <v>2326020</v>
      </c>
      <c r="J967" s="3">
        <v>0</v>
      </c>
      <c r="K967" s="4">
        <v>0</v>
      </c>
      <c r="L967" s="3">
        <v>0</v>
      </c>
      <c r="M967" s="3">
        <v>438</v>
      </c>
      <c r="N967" s="3">
        <f t="shared" si="573"/>
        <v>2890800</v>
      </c>
      <c r="O967" s="3">
        <v>0</v>
      </c>
      <c r="P967" s="3">
        <v>0</v>
      </c>
      <c r="Q967" s="3">
        <v>344</v>
      </c>
      <c r="R967" s="3">
        <f t="shared" si="561"/>
        <v>1100800</v>
      </c>
      <c r="S967" s="3">
        <v>0</v>
      </c>
      <c r="T967" s="5">
        <v>0</v>
      </c>
      <c r="U967" s="3">
        <v>100000</v>
      </c>
      <c r="V967" s="6">
        <f t="shared" si="562"/>
        <v>6600</v>
      </c>
    </row>
    <row r="968" spans="1:258" ht="21.95" customHeight="1" x14ac:dyDescent="0.25">
      <c r="A968" s="37" t="s">
        <v>997</v>
      </c>
      <c r="B968" s="8" t="s">
        <v>1983</v>
      </c>
      <c r="C968" s="2">
        <f t="shared" ref="C968" si="575">D968+L968+N968+P968+R968+S968+T968+U968</f>
        <v>300000</v>
      </c>
      <c r="D968" s="3">
        <f t="shared" ref="D968" si="576">SUM(E968:J968)</f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4">
        <v>0</v>
      </c>
      <c r="L968" s="3">
        <v>0</v>
      </c>
      <c r="M968" s="3">
        <v>0</v>
      </c>
      <c r="N968" s="3">
        <f t="shared" si="573"/>
        <v>0</v>
      </c>
      <c r="O968" s="3">
        <v>0</v>
      </c>
      <c r="P968" s="3">
        <v>0</v>
      </c>
      <c r="Q968" s="5">
        <v>0</v>
      </c>
      <c r="R968" s="3">
        <f t="shared" ref="R968:R1031" si="577">Q968*3200</f>
        <v>0</v>
      </c>
      <c r="S968" s="3">
        <v>0</v>
      </c>
      <c r="T968" s="5">
        <v>0</v>
      </c>
      <c r="U968" s="3">
        <v>300000</v>
      </c>
      <c r="V968" s="6" t="e">
        <f t="shared" ref="V968" si="578">N968/M968</f>
        <v>#DIV/0!</v>
      </c>
    </row>
    <row r="969" spans="1:258" ht="21.95" customHeight="1" x14ac:dyDescent="0.25">
      <c r="A969" s="37" t="s">
        <v>998</v>
      </c>
      <c r="B969" s="8" t="s">
        <v>521</v>
      </c>
      <c r="C969" s="2">
        <f>D969+L969+N969+P969+R969+S969+T969+U969</f>
        <v>3432000</v>
      </c>
      <c r="D969" s="3">
        <f>SUM(E969:J969)</f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11">
        <v>0</v>
      </c>
      <c r="L969" s="5">
        <v>0</v>
      </c>
      <c r="M969" s="5">
        <v>520</v>
      </c>
      <c r="N969" s="3">
        <f t="shared" si="573"/>
        <v>3432000</v>
      </c>
      <c r="O969" s="5">
        <v>0</v>
      </c>
      <c r="P969" s="5">
        <v>0</v>
      </c>
      <c r="Q969" s="5">
        <v>0</v>
      </c>
      <c r="R969" s="3">
        <f t="shared" si="577"/>
        <v>0</v>
      </c>
      <c r="S969" s="5">
        <v>0</v>
      </c>
      <c r="T969" s="5">
        <v>0</v>
      </c>
      <c r="U969" s="5">
        <v>0</v>
      </c>
      <c r="V969" s="6">
        <f>N969/M969</f>
        <v>6600</v>
      </c>
    </row>
    <row r="970" spans="1:258" s="28" customFormat="1" ht="21.95" customHeight="1" x14ac:dyDescent="0.25">
      <c r="A970" s="37" t="s">
        <v>999</v>
      </c>
      <c r="B970" s="8" t="s">
        <v>696</v>
      </c>
      <c r="C970" s="2">
        <f t="shared" si="564"/>
        <v>300000</v>
      </c>
      <c r="D970" s="3">
        <f t="shared" si="560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4">
        <v>0</v>
      </c>
      <c r="L970" s="3">
        <v>0</v>
      </c>
      <c r="M970" s="3">
        <v>0</v>
      </c>
      <c r="N970" s="3">
        <f t="shared" si="573"/>
        <v>0</v>
      </c>
      <c r="O970" s="3">
        <v>0</v>
      </c>
      <c r="P970" s="3">
        <v>0</v>
      </c>
      <c r="Q970" s="5">
        <v>0</v>
      </c>
      <c r="R970" s="3">
        <f t="shared" si="577"/>
        <v>0</v>
      </c>
      <c r="S970" s="3">
        <v>0</v>
      </c>
      <c r="T970" s="5">
        <v>0</v>
      </c>
      <c r="U970" s="3">
        <v>300000</v>
      </c>
      <c r="V970" s="6" t="e">
        <f t="shared" si="562"/>
        <v>#DIV/0!</v>
      </c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7"/>
      <c r="DO970" s="7"/>
      <c r="DP970" s="7"/>
      <c r="DQ970" s="7"/>
      <c r="DR970" s="7"/>
      <c r="DS970" s="7"/>
      <c r="DT970" s="7"/>
      <c r="DU970" s="7"/>
      <c r="DV970" s="7"/>
      <c r="DW970" s="7"/>
      <c r="DX970" s="7"/>
      <c r="DY970" s="7"/>
      <c r="DZ970" s="7"/>
      <c r="EA970" s="7"/>
      <c r="EB970" s="7"/>
      <c r="EC970" s="7"/>
      <c r="ED970" s="7"/>
      <c r="EE970" s="7"/>
      <c r="EF970" s="7"/>
      <c r="EG970" s="7"/>
      <c r="EH970" s="7"/>
      <c r="EI970" s="7"/>
      <c r="EJ970" s="7"/>
      <c r="EK970" s="7"/>
      <c r="EL970" s="7"/>
      <c r="EM970" s="7"/>
      <c r="EN970" s="7"/>
      <c r="EO970" s="7"/>
      <c r="EP970" s="7"/>
      <c r="EQ970" s="7"/>
      <c r="ER970" s="7"/>
      <c r="ES970" s="7"/>
      <c r="ET970" s="7"/>
      <c r="EU970" s="7"/>
      <c r="EV970" s="7"/>
      <c r="EW970" s="7"/>
      <c r="EX970" s="7"/>
      <c r="EY970" s="7"/>
      <c r="EZ970" s="7"/>
      <c r="FA970" s="7"/>
      <c r="FB970" s="7"/>
      <c r="FC970" s="7"/>
      <c r="FD970" s="7"/>
      <c r="FE970" s="7"/>
      <c r="FF970" s="7"/>
      <c r="FG970" s="7"/>
      <c r="FH970" s="7"/>
      <c r="FI970" s="7"/>
      <c r="FJ970" s="7"/>
      <c r="FK970" s="7"/>
      <c r="FL970" s="7"/>
      <c r="FM970" s="7"/>
      <c r="FN970" s="7"/>
      <c r="FO970" s="7"/>
      <c r="FP970" s="7"/>
      <c r="FQ970" s="7"/>
      <c r="FR970" s="7"/>
      <c r="FS970" s="7"/>
      <c r="FT970" s="7"/>
      <c r="FU970" s="7"/>
      <c r="FV970" s="7"/>
      <c r="FW970" s="7"/>
      <c r="FX970" s="7"/>
      <c r="FY970" s="7"/>
      <c r="FZ970" s="7"/>
      <c r="GA970" s="7"/>
      <c r="GB970" s="7"/>
      <c r="GC970" s="7"/>
      <c r="GD970" s="7"/>
      <c r="GE970" s="7"/>
      <c r="GF970" s="7"/>
      <c r="GG970" s="7"/>
      <c r="GH970" s="7"/>
      <c r="GI970" s="7"/>
      <c r="GJ970" s="7"/>
      <c r="GK970" s="7"/>
      <c r="GL970" s="7"/>
      <c r="GM970" s="7"/>
      <c r="GN970" s="7"/>
      <c r="GO970" s="7"/>
      <c r="GP970" s="7"/>
      <c r="GQ970" s="7"/>
      <c r="GR970" s="7"/>
      <c r="GS970" s="7"/>
      <c r="GT970" s="7"/>
      <c r="GU970" s="7"/>
      <c r="GV970" s="7"/>
      <c r="GW970" s="7"/>
      <c r="GX970" s="7"/>
      <c r="GY970" s="7"/>
      <c r="GZ970" s="7"/>
      <c r="HA970" s="7"/>
      <c r="HB970" s="7"/>
      <c r="HC970" s="7"/>
      <c r="HD970" s="7"/>
      <c r="HE970" s="7"/>
      <c r="HF970" s="7"/>
      <c r="HG970" s="7"/>
      <c r="HH970" s="7"/>
      <c r="HI970" s="7"/>
      <c r="HJ970" s="7"/>
      <c r="HK970" s="7"/>
      <c r="HL970" s="7"/>
      <c r="HM970" s="7"/>
      <c r="HN970" s="7"/>
      <c r="HO970" s="7"/>
      <c r="HP970" s="7"/>
      <c r="HQ970" s="7"/>
      <c r="HR970" s="7"/>
      <c r="HS970" s="7"/>
      <c r="HT970" s="7"/>
      <c r="HU970" s="7"/>
      <c r="HV970" s="7"/>
      <c r="HW970" s="7"/>
      <c r="HX970" s="7"/>
      <c r="HY970" s="7"/>
      <c r="HZ970" s="7"/>
      <c r="IA970" s="7"/>
      <c r="IB970" s="7"/>
      <c r="IC970" s="7"/>
      <c r="ID970" s="7"/>
      <c r="IE970" s="7"/>
      <c r="IF970" s="7"/>
      <c r="IG970" s="7"/>
      <c r="IH970" s="7"/>
      <c r="II970" s="7"/>
      <c r="IJ970" s="7"/>
      <c r="IK970" s="7"/>
      <c r="IL970" s="7"/>
      <c r="IM970" s="7"/>
      <c r="IN970" s="7"/>
      <c r="IO970" s="7"/>
      <c r="IP970" s="7"/>
      <c r="IQ970" s="7"/>
      <c r="IR970" s="7"/>
      <c r="IS970" s="7"/>
      <c r="IT970" s="7"/>
      <c r="IU970" s="7"/>
      <c r="IV970" s="7"/>
      <c r="IW970" s="7"/>
      <c r="IX970" s="7"/>
    </row>
    <row r="971" spans="1:258" ht="21.95" customHeight="1" x14ac:dyDescent="0.25">
      <c r="A971" s="37" t="s">
        <v>1000</v>
      </c>
      <c r="B971" s="8" t="s">
        <v>697</v>
      </c>
      <c r="C971" s="2">
        <f t="shared" si="564"/>
        <v>300000</v>
      </c>
      <c r="D971" s="3">
        <f t="shared" si="560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4">
        <v>0</v>
      </c>
      <c r="L971" s="3">
        <v>0</v>
      </c>
      <c r="M971" s="3">
        <v>0</v>
      </c>
      <c r="N971" s="3">
        <f t="shared" si="573"/>
        <v>0</v>
      </c>
      <c r="O971" s="3">
        <v>0</v>
      </c>
      <c r="P971" s="3">
        <v>0</v>
      </c>
      <c r="Q971" s="5">
        <v>0</v>
      </c>
      <c r="R971" s="3">
        <f t="shared" si="577"/>
        <v>0</v>
      </c>
      <c r="S971" s="3">
        <v>0</v>
      </c>
      <c r="T971" s="5">
        <v>0</v>
      </c>
      <c r="U971" s="3">
        <v>300000</v>
      </c>
      <c r="V971" s="6" t="e">
        <f t="shared" si="562"/>
        <v>#DIV/0!</v>
      </c>
    </row>
    <row r="972" spans="1:258" ht="21.95" customHeight="1" x14ac:dyDescent="0.25">
      <c r="A972" s="37" t="s">
        <v>1981</v>
      </c>
      <c r="B972" s="23" t="s">
        <v>778</v>
      </c>
      <c r="C972" s="2">
        <f t="shared" si="564"/>
        <v>3234000</v>
      </c>
      <c r="D972" s="3">
        <f t="shared" si="560"/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4">
        <v>0</v>
      </c>
      <c r="L972" s="3">
        <v>0</v>
      </c>
      <c r="M972" s="3">
        <v>490</v>
      </c>
      <c r="N972" s="3">
        <f t="shared" si="573"/>
        <v>3234000</v>
      </c>
      <c r="O972" s="3">
        <v>0</v>
      </c>
      <c r="P972" s="3">
        <v>0</v>
      </c>
      <c r="Q972" s="5">
        <v>0</v>
      </c>
      <c r="R972" s="3">
        <f t="shared" si="577"/>
        <v>0</v>
      </c>
      <c r="S972" s="3">
        <v>0</v>
      </c>
      <c r="T972" s="5">
        <v>0</v>
      </c>
      <c r="U972" s="3">
        <v>0</v>
      </c>
      <c r="V972" s="6">
        <f t="shared" si="562"/>
        <v>6600</v>
      </c>
    </row>
    <row r="973" spans="1:258" ht="21.95" customHeight="1" x14ac:dyDescent="0.25">
      <c r="A973" s="37" t="s">
        <v>1001</v>
      </c>
      <c r="B973" s="8" t="s">
        <v>698</v>
      </c>
      <c r="C973" s="2">
        <f t="shared" si="564"/>
        <v>4433800</v>
      </c>
      <c r="D973" s="3">
        <f t="shared" si="560"/>
        <v>4333800</v>
      </c>
      <c r="E973" s="3">
        <f>700*1444.6</f>
        <v>1011219.9999999999</v>
      </c>
      <c r="F973" s="3">
        <f>1300*1444.6</f>
        <v>1877979.9999999998</v>
      </c>
      <c r="G973" s="3">
        <f>300*1444.6</f>
        <v>433380</v>
      </c>
      <c r="H973" s="3">
        <f>400*1444.6</f>
        <v>577840</v>
      </c>
      <c r="I973" s="3">
        <f>300*1444.6</f>
        <v>433380</v>
      </c>
      <c r="J973" s="3">
        <v>0</v>
      </c>
      <c r="K973" s="4">
        <v>0</v>
      </c>
      <c r="L973" s="3">
        <v>0</v>
      </c>
      <c r="M973" s="3">
        <v>0</v>
      </c>
      <c r="N973" s="3">
        <f t="shared" si="573"/>
        <v>0</v>
      </c>
      <c r="O973" s="3">
        <v>0</v>
      </c>
      <c r="P973" s="3">
        <v>0</v>
      </c>
      <c r="Q973" s="5">
        <v>0</v>
      </c>
      <c r="R973" s="3">
        <f t="shared" si="577"/>
        <v>0</v>
      </c>
      <c r="S973" s="3">
        <v>0</v>
      </c>
      <c r="T973" s="5">
        <v>0</v>
      </c>
      <c r="U973" s="3">
        <v>100000</v>
      </c>
      <c r="V973" s="6" t="e">
        <f t="shared" si="562"/>
        <v>#DIV/0!</v>
      </c>
    </row>
    <row r="974" spans="1:258" ht="21.95" customHeight="1" x14ac:dyDescent="0.25">
      <c r="A974" s="37" t="s">
        <v>1002</v>
      </c>
      <c r="B974" s="8" t="s">
        <v>779</v>
      </c>
      <c r="C974" s="2">
        <f t="shared" si="564"/>
        <v>3768600</v>
      </c>
      <c r="D974" s="3">
        <f t="shared" si="560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4">
        <v>0</v>
      </c>
      <c r="L974" s="3">
        <v>0</v>
      </c>
      <c r="M974" s="3">
        <v>571</v>
      </c>
      <c r="N974" s="3">
        <f t="shared" si="573"/>
        <v>3768600</v>
      </c>
      <c r="O974" s="3">
        <v>0</v>
      </c>
      <c r="P974" s="3">
        <v>0</v>
      </c>
      <c r="Q974" s="5">
        <v>0</v>
      </c>
      <c r="R974" s="3">
        <f t="shared" si="577"/>
        <v>0</v>
      </c>
      <c r="S974" s="3">
        <v>0</v>
      </c>
      <c r="T974" s="5">
        <v>0</v>
      </c>
      <c r="U974" s="3">
        <v>0</v>
      </c>
      <c r="V974" s="6">
        <f t="shared" si="562"/>
        <v>6600</v>
      </c>
    </row>
    <row r="975" spans="1:258" s="29" customFormat="1" ht="21.95" customHeight="1" x14ac:dyDescent="0.25">
      <c r="A975" s="37" t="s">
        <v>1003</v>
      </c>
      <c r="B975" s="8" t="s">
        <v>699</v>
      </c>
      <c r="C975" s="2">
        <f t="shared" si="564"/>
        <v>3292740</v>
      </c>
      <c r="D975" s="3">
        <f t="shared" si="560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4">
        <v>0</v>
      </c>
      <c r="L975" s="3">
        <v>0</v>
      </c>
      <c r="M975" s="3">
        <v>498.9</v>
      </c>
      <c r="N975" s="3">
        <f t="shared" si="573"/>
        <v>3292740</v>
      </c>
      <c r="O975" s="3">
        <v>0</v>
      </c>
      <c r="P975" s="3">
        <v>0</v>
      </c>
      <c r="Q975" s="5">
        <v>0</v>
      </c>
      <c r="R975" s="3">
        <f t="shared" si="577"/>
        <v>0</v>
      </c>
      <c r="S975" s="3">
        <v>0</v>
      </c>
      <c r="T975" s="5">
        <v>0</v>
      </c>
      <c r="U975" s="3">
        <v>0</v>
      </c>
      <c r="V975" s="6">
        <f t="shared" si="562"/>
        <v>6600</v>
      </c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  <c r="CU975" s="7"/>
      <c r="CV975" s="7"/>
      <c r="CW975" s="7"/>
      <c r="CX975" s="7"/>
      <c r="CY975" s="7"/>
      <c r="CZ975" s="7"/>
      <c r="DA975" s="7"/>
      <c r="DB975" s="7"/>
      <c r="DC975" s="7"/>
      <c r="DD975" s="7"/>
      <c r="DE975" s="7"/>
      <c r="DF975" s="7"/>
      <c r="DG975" s="7"/>
      <c r="DH975" s="7"/>
      <c r="DI975" s="7"/>
      <c r="DJ975" s="7"/>
      <c r="DK975" s="7"/>
      <c r="DL975" s="7"/>
      <c r="DM975" s="7"/>
      <c r="DN975" s="7"/>
      <c r="DO975" s="7"/>
      <c r="DP975" s="7"/>
      <c r="DQ975" s="7"/>
      <c r="DR975" s="7"/>
      <c r="DS975" s="7"/>
      <c r="DT975" s="7"/>
      <c r="DU975" s="7"/>
      <c r="DV975" s="7"/>
      <c r="DW975" s="7"/>
      <c r="DX975" s="7"/>
      <c r="DY975" s="7"/>
      <c r="DZ975" s="7"/>
      <c r="EA975" s="7"/>
      <c r="EB975" s="7"/>
      <c r="EC975" s="7"/>
      <c r="ED975" s="7"/>
      <c r="EE975" s="7"/>
      <c r="EF975" s="7"/>
      <c r="EG975" s="7"/>
      <c r="EH975" s="7"/>
      <c r="EI975" s="7"/>
      <c r="EJ975" s="7"/>
      <c r="EK975" s="7"/>
      <c r="EL975" s="7"/>
      <c r="EM975" s="7"/>
      <c r="EN975" s="7"/>
      <c r="EO975" s="7"/>
      <c r="EP975" s="7"/>
      <c r="EQ975" s="7"/>
      <c r="ER975" s="7"/>
      <c r="ES975" s="7"/>
      <c r="ET975" s="7"/>
      <c r="EU975" s="7"/>
      <c r="EV975" s="7"/>
      <c r="EW975" s="7"/>
      <c r="EX975" s="7"/>
      <c r="EY975" s="7"/>
      <c r="EZ975" s="7"/>
      <c r="FA975" s="7"/>
      <c r="FB975" s="7"/>
      <c r="FC975" s="7"/>
      <c r="FD975" s="7"/>
      <c r="FE975" s="7"/>
      <c r="FF975" s="7"/>
      <c r="FG975" s="7"/>
      <c r="FH975" s="7"/>
      <c r="FI975" s="7"/>
      <c r="FJ975" s="7"/>
      <c r="FK975" s="7"/>
      <c r="FL975" s="7"/>
      <c r="FM975" s="7"/>
      <c r="FN975" s="7"/>
      <c r="FO975" s="7"/>
      <c r="FP975" s="7"/>
      <c r="FQ975" s="7"/>
      <c r="FR975" s="7"/>
      <c r="FS975" s="7"/>
      <c r="FT975" s="7"/>
      <c r="FU975" s="7"/>
      <c r="FV975" s="7"/>
      <c r="FW975" s="7"/>
      <c r="FX975" s="7"/>
      <c r="FY975" s="7"/>
      <c r="FZ975" s="7"/>
      <c r="GA975" s="7"/>
      <c r="GB975" s="7"/>
      <c r="GC975" s="7"/>
      <c r="GD975" s="7"/>
      <c r="GE975" s="7"/>
      <c r="GF975" s="7"/>
      <c r="GG975" s="7"/>
      <c r="GH975" s="7"/>
      <c r="GI975" s="7"/>
      <c r="GJ975" s="7"/>
      <c r="GK975" s="7"/>
      <c r="GL975" s="7"/>
      <c r="GM975" s="7"/>
      <c r="GN975" s="7"/>
      <c r="GO975" s="7"/>
      <c r="GP975" s="7"/>
      <c r="GQ975" s="7"/>
      <c r="GR975" s="7"/>
      <c r="GS975" s="7"/>
      <c r="GT975" s="7"/>
      <c r="GU975" s="7"/>
      <c r="GV975" s="7"/>
      <c r="GW975" s="7"/>
      <c r="GX975" s="7"/>
      <c r="GY975" s="7"/>
      <c r="GZ975" s="7"/>
      <c r="HA975" s="7"/>
      <c r="HB975" s="7"/>
      <c r="HC975" s="7"/>
      <c r="HD975" s="7"/>
      <c r="HE975" s="7"/>
      <c r="HF975" s="7"/>
      <c r="HG975" s="7"/>
      <c r="HH975" s="7"/>
      <c r="HI975" s="7"/>
      <c r="HJ975" s="7"/>
      <c r="HK975" s="7"/>
      <c r="HL975" s="7"/>
      <c r="HM975" s="7"/>
      <c r="HN975" s="7"/>
      <c r="HO975" s="7"/>
      <c r="HP975" s="7"/>
      <c r="HQ975" s="7"/>
      <c r="HR975" s="7"/>
      <c r="HS975" s="7"/>
      <c r="HT975" s="7"/>
      <c r="HU975" s="7"/>
      <c r="HV975" s="7"/>
      <c r="HW975" s="7"/>
      <c r="HX975" s="7"/>
      <c r="HY975" s="7"/>
      <c r="HZ975" s="7"/>
      <c r="IA975" s="7"/>
      <c r="IB975" s="7"/>
      <c r="IC975" s="7"/>
      <c r="ID975" s="7"/>
      <c r="IE975" s="7"/>
      <c r="IF975" s="7"/>
      <c r="IG975" s="7"/>
      <c r="IH975" s="7"/>
      <c r="II975" s="7"/>
      <c r="IJ975" s="7"/>
      <c r="IK975" s="7"/>
      <c r="IL975" s="7"/>
      <c r="IM975" s="7"/>
      <c r="IN975" s="7"/>
      <c r="IO975" s="7"/>
      <c r="IP975" s="7"/>
      <c r="IQ975" s="7"/>
      <c r="IR975" s="7"/>
      <c r="IS975" s="7"/>
      <c r="IT975" s="7"/>
      <c r="IU975" s="7"/>
      <c r="IV975" s="7"/>
      <c r="IW975" s="7"/>
      <c r="IX975" s="7"/>
    </row>
    <row r="976" spans="1:258" ht="21.95" customHeight="1" x14ac:dyDescent="0.25">
      <c r="A976" s="37" t="s">
        <v>1004</v>
      </c>
      <c r="B976" s="8" t="s">
        <v>700</v>
      </c>
      <c r="C976" s="2">
        <f t="shared" si="564"/>
        <v>3292740</v>
      </c>
      <c r="D976" s="3">
        <f t="shared" si="560"/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4">
        <v>0</v>
      </c>
      <c r="L976" s="3">
        <v>0</v>
      </c>
      <c r="M976" s="3">
        <v>498.9</v>
      </c>
      <c r="N976" s="3">
        <f t="shared" si="573"/>
        <v>3292740</v>
      </c>
      <c r="O976" s="3">
        <v>0</v>
      </c>
      <c r="P976" s="3">
        <v>0</v>
      </c>
      <c r="Q976" s="5">
        <v>0</v>
      </c>
      <c r="R976" s="3">
        <f t="shared" si="577"/>
        <v>0</v>
      </c>
      <c r="S976" s="3">
        <v>0</v>
      </c>
      <c r="T976" s="5">
        <v>0</v>
      </c>
      <c r="U976" s="3">
        <v>0</v>
      </c>
      <c r="V976" s="6">
        <f t="shared" si="562"/>
        <v>6600</v>
      </c>
    </row>
    <row r="977" spans="1:258" ht="21.95" customHeight="1" x14ac:dyDescent="0.25">
      <c r="A977" s="37" t="s">
        <v>1005</v>
      </c>
      <c r="B977" s="8" t="s">
        <v>780</v>
      </c>
      <c r="C977" s="2">
        <f t="shared" si="564"/>
        <v>6864000</v>
      </c>
      <c r="D977" s="3">
        <f t="shared" si="560"/>
        <v>0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4">
        <v>0</v>
      </c>
      <c r="L977" s="3">
        <v>0</v>
      </c>
      <c r="M977" s="3">
        <v>1040</v>
      </c>
      <c r="N977" s="3">
        <f t="shared" si="573"/>
        <v>6864000</v>
      </c>
      <c r="O977" s="3">
        <v>0</v>
      </c>
      <c r="P977" s="3">
        <v>0</v>
      </c>
      <c r="Q977" s="5">
        <v>0</v>
      </c>
      <c r="R977" s="3">
        <f t="shared" si="577"/>
        <v>0</v>
      </c>
      <c r="S977" s="3">
        <v>0</v>
      </c>
      <c r="T977" s="5">
        <v>0</v>
      </c>
      <c r="U977" s="3">
        <v>0</v>
      </c>
      <c r="V977" s="6">
        <f t="shared" si="562"/>
        <v>6600</v>
      </c>
    </row>
    <row r="978" spans="1:258" ht="21.95" customHeight="1" x14ac:dyDescent="0.25">
      <c r="A978" s="37" t="s">
        <v>1079</v>
      </c>
      <c r="B978" s="23" t="s">
        <v>782</v>
      </c>
      <c r="C978" s="2">
        <f>D978+L978+N978+P978+R978+S978+T978+U978</f>
        <v>4045800</v>
      </c>
      <c r="D978" s="3">
        <f>SUM(E978:J978)</f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4">
        <v>0</v>
      </c>
      <c r="L978" s="3">
        <v>0</v>
      </c>
      <c r="M978" s="5">
        <v>613</v>
      </c>
      <c r="N978" s="3">
        <f t="shared" si="573"/>
        <v>4045800</v>
      </c>
      <c r="O978" s="3">
        <v>0</v>
      </c>
      <c r="P978" s="3">
        <v>0</v>
      </c>
      <c r="Q978" s="5">
        <v>0</v>
      </c>
      <c r="R978" s="3">
        <f t="shared" si="577"/>
        <v>0</v>
      </c>
      <c r="S978" s="3">
        <v>0</v>
      </c>
      <c r="T978" s="5">
        <v>0</v>
      </c>
      <c r="U978" s="3">
        <v>0</v>
      </c>
      <c r="V978" s="6">
        <f>N978/M978</f>
        <v>6600</v>
      </c>
    </row>
    <row r="979" spans="1:258" ht="21.95" customHeight="1" x14ac:dyDescent="0.25">
      <c r="A979" s="37" t="s">
        <v>1080</v>
      </c>
      <c r="B979" s="23" t="s">
        <v>525</v>
      </c>
      <c r="C979" s="2">
        <f t="shared" ref="C979" si="579">D979+L979+N979+P979+R979+S979+T979+U979</f>
        <v>1795200</v>
      </c>
      <c r="D979" s="3">
        <f t="shared" ref="D979" si="580">SUM(E979:J979)</f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11">
        <v>0</v>
      </c>
      <c r="L979" s="5">
        <v>0</v>
      </c>
      <c r="M979" s="5">
        <v>272</v>
      </c>
      <c r="N979" s="3">
        <f t="shared" si="573"/>
        <v>1795200</v>
      </c>
      <c r="O979" s="5">
        <v>0</v>
      </c>
      <c r="P979" s="5">
        <v>0</v>
      </c>
      <c r="Q979" s="5">
        <v>0</v>
      </c>
      <c r="R979" s="3">
        <f t="shared" si="577"/>
        <v>0</v>
      </c>
      <c r="S979" s="5">
        <v>0</v>
      </c>
      <c r="T979" s="5">
        <v>0</v>
      </c>
      <c r="U979" s="5">
        <v>0</v>
      </c>
      <c r="V979" s="6">
        <f t="shared" ref="V979" si="581">N979/M979</f>
        <v>6600</v>
      </c>
    </row>
    <row r="980" spans="1:258" ht="21.95" customHeight="1" x14ac:dyDescent="0.25">
      <c r="A980" s="37" t="s">
        <v>1081</v>
      </c>
      <c r="B980" s="23" t="s">
        <v>781</v>
      </c>
      <c r="C980" s="2">
        <f t="shared" si="564"/>
        <v>4323000</v>
      </c>
      <c r="D980" s="3">
        <f t="shared" si="560"/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5">
        <v>655</v>
      </c>
      <c r="N980" s="3">
        <f t="shared" si="573"/>
        <v>4323000</v>
      </c>
      <c r="O980" s="3">
        <v>0</v>
      </c>
      <c r="P980" s="3">
        <v>0</v>
      </c>
      <c r="Q980" s="5">
        <v>0</v>
      </c>
      <c r="R980" s="3">
        <f t="shared" si="577"/>
        <v>0</v>
      </c>
      <c r="S980" s="3">
        <v>0</v>
      </c>
      <c r="T980" s="5">
        <v>0</v>
      </c>
      <c r="U980" s="3">
        <v>0</v>
      </c>
      <c r="V980" s="6">
        <f t="shared" ref="V980:V1053" si="582">N980/M980</f>
        <v>6600</v>
      </c>
    </row>
    <row r="981" spans="1:258" ht="21.95" customHeight="1" x14ac:dyDescent="0.25">
      <c r="A981" s="37" t="s">
        <v>1082</v>
      </c>
      <c r="B981" s="24" t="s">
        <v>984</v>
      </c>
      <c r="C981" s="2">
        <f t="shared" si="564"/>
        <v>10477420</v>
      </c>
      <c r="D981" s="3">
        <f t="shared" ref="D981:D1054" si="583">SUM(E981:J981)</f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3">
        <v>960.7</v>
      </c>
      <c r="N981" s="3">
        <f t="shared" si="573"/>
        <v>6340620</v>
      </c>
      <c r="O981" s="3">
        <v>0</v>
      </c>
      <c r="P981" s="3">
        <v>0</v>
      </c>
      <c r="Q981" s="3">
        <v>1292.75</v>
      </c>
      <c r="R981" s="3">
        <f t="shared" si="577"/>
        <v>4136800</v>
      </c>
      <c r="S981" s="3">
        <v>0</v>
      </c>
      <c r="T981" s="5">
        <v>0</v>
      </c>
      <c r="U981" s="3">
        <v>0</v>
      </c>
      <c r="V981" s="6">
        <f t="shared" si="582"/>
        <v>6600</v>
      </c>
    </row>
    <row r="982" spans="1:258" ht="21.95" customHeight="1" x14ac:dyDescent="0.25">
      <c r="A982" s="37" t="s">
        <v>1083</v>
      </c>
      <c r="B982" s="8" t="s">
        <v>701</v>
      </c>
      <c r="C982" s="2">
        <f t="shared" si="564"/>
        <v>1854600</v>
      </c>
      <c r="D982" s="3">
        <f t="shared" si="583"/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4">
        <v>0</v>
      </c>
      <c r="L982" s="3">
        <v>0</v>
      </c>
      <c r="M982" s="3">
        <v>281</v>
      </c>
      <c r="N982" s="3">
        <f t="shared" si="573"/>
        <v>1854600</v>
      </c>
      <c r="O982" s="3">
        <v>0</v>
      </c>
      <c r="P982" s="3">
        <v>0</v>
      </c>
      <c r="Q982" s="5">
        <v>0</v>
      </c>
      <c r="R982" s="3">
        <f t="shared" si="577"/>
        <v>0</v>
      </c>
      <c r="S982" s="3">
        <v>0</v>
      </c>
      <c r="T982" s="5">
        <v>0</v>
      </c>
      <c r="U982" s="3">
        <v>0</v>
      </c>
      <c r="V982" s="6">
        <f t="shared" si="582"/>
        <v>6600</v>
      </c>
    </row>
    <row r="983" spans="1:258" ht="21.95" customHeight="1" x14ac:dyDescent="0.25">
      <c r="A983" s="37" t="s">
        <v>1084</v>
      </c>
      <c r="B983" s="23" t="s">
        <v>702</v>
      </c>
      <c r="C983" s="2">
        <f t="shared" ref="C983:C1059" si="584">D983+L983+N983+P983+R983+S983+T983+U983</f>
        <v>7145159.9999999991</v>
      </c>
      <c r="D983" s="3">
        <f t="shared" si="583"/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4">
        <v>0</v>
      </c>
      <c r="L983" s="3">
        <v>0</v>
      </c>
      <c r="M983" s="5">
        <v>1082.5999999999999</v>
      </c>
      <c r="N983" s="3">
        <f t="shared" si="573"/>
        <v>7145159.9999999991</v>
      </c>
      <c r="O983" s="3">
        <v>0</v>
      </c>
      <c r="P983" s="3">
        <v>0</v>
      </c>
      <c r="Q983" s="5">
        <v>0</v>
      </c>
      <c r="R983" s="3">
        <f t="shared" si="577"/>
        <v>0</v>
      </c>
      <c r="S983" s="3">
        <v>0</v>
      </c>
      <c r="T983" s="5">
        <v>0</v>
      </c>
      <c r="U983" s="3">
        <v>0</v>
      </c>
      <c r="V983" s="6">
        <f t="shared" si="582"/>
        <v>6600</v>
      </c>
    </row>
    <row r="984" spans="1:258" ht="21.95" customHeight="1" x14ac:dyDescent="0.25">
      <c r="A984" s="37" t="s">
        <v>1085</v>
      </c>
      <c r="B984" s="8" t="s">
        <v>785</v>
      </c>
      <c r="C984" s="2">
        <f t="shared" si="584"/>
        <v>3543540</v>
      </c>
      <c r="D984" s="3">
        <f t="shared" si="583"/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5">
        <v>536.9</v>
      </c>
      <c r="N984" s="3">
        <f t="shared" si="573"/>
        <v>3543540</v>
      </c>
      <c r="O984" s="3">
        <v>0</v>
      </c>
      <c r="P984" s="3">
        <v>0</v>
      </c>
      <c r="Q984" s="5">
        <v>0</v>
      </c>
      <c r="R984" s="3">
        <f t="shared" si="577"/>
        <v>0</v>
      </c>
      <c r="S984" s="3">
        <v>0</v>
      </c>
      <c r="T984" s="5">
        <v>0</v>
      </c>
      <c r="U984" s="3">
        <v>0</v>
      </c>
      <c r="V984" s="6">
        <f t="shared" si="582"/>
        <v>6600</v>
      </c>
    </row>
    <row r="985" spans="1:258" s="17" customFormat="1" ht="21.95" customHeight="1" x14ac:dyDescent="0.25">
      <c r="A985" s="37" t="s">
        <v>1086</v>
      </c>
      <c r="B985" s="8" t="s">
        <v>783</v>
      </c>
      <c r="C985" s="2">
        <f>D985+L985+N985+P985+R985+S985+T985+U985</f>
        <v>7143840.0000000009</v>
      </c>
      <c r="D985" s="3">
        <f>SUM(E985:J985)</f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5">
        <v>1082.4000000000001</v>
      </c>
      <c r="N985" s="3">
        <f t="shared" si="573"/>
        <v>7143840.0000000009</v>
      </c>
      <c r="O985" s="3">
        <v>0</v>
      </c>
      <c r="P985" s="3">
        <v>0</v>
      </c>
      <c r="Q985" s="5">
        <v>0</v>
      </c>
      <c r="R985" s="3">
        <f t="shared" si="577"/>
        <v>0</v>
      </c>
      <c r="S985" s="3">
        <v>0</v>
      </c>
      <c r="T985" s="5">
        <v>0</v>
      </c>
      <c r="U985" s="3">
        <v>0</v>
      </c>
      <c r="V985" s="6">
        <f>N985/M985</f>
        <v>6600</v>
      </c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7"/>
      <c r="DO985" s="7"/>
      <c r="DP985" s="7"/>
      <c r="DQ985" s="7"/>
      <c r="DR985" s="7"/>
      <c r="DS985" s="7"/>
      <c r="DT985" s="7"/>
      <c r="DU985" s="7"/>
      <c r="DV985" s="7"/>
      <c r="DW985" s="7"/>
      <c r="DX985" s="7"/>
      <c r="DY985" s="7"/>
      <c r="DZ985" s="7"/>
      <c r="EA985" s="7"/>
      <c r="EB985" s="7"/>
      <c r="EC985" s="7"/>
      <c r="ED985" s="7"/>
      <c r="EE985" s="7"/>
      <c r="EF985" s="7"/>
      <c r="EG985" s="7"/>
      <c r="EH985" s="7"/>
      <c r="EI985" s="7"/>
      <c r="EJ985" s="7"/>
      <c r="EK985" s="7"/>
      <c r="EL985" s="7"/>
      <c r="EM985" s="7"/>
      <c r="EN985" s="7"/>
      <c r="EO985" s="7"/>
      <c r="EP985" s="7"/>
      <c r="EQ985" s="7"/>
      <c r="ER985" s="7"/>
      <c r="ES985" s="7"/>
      <c r="ET985" s="7"/>
      <c r="EU985" s="7"/>
      <c r="EV985" s="7"/>
      <c r="EW985" s="7"/>
      <c r="EX985" s="7"/>
      <c r="EY985" s="7"/>
      <c r="EZ985" s="7"/>
      <c r="FA985" s="7"/>
      <c r="FB985" s="7"/>
      <c r="FC985" s="7"/>
      <c r="FD985" s="7"/>
      <c r="FE985" s="7"/>
      <c r="FF985" s="7"/>
      <c r="FG985" s="7"/>
      <c r="FH985" s="7"/>
      <c r="FI985" s="7"/>
      <c r="FJ985" s="7"/>
      <c r="FK985" s="7"/>
      <c r="FL985" s="7"/>
      <c r="FM985" s="7"/>
      <c r="FN985" s="7"/>
      <c r="FO985" s="7"/>
      <c r="FP985" s="7"/>
      <c r="FQ985" s="7"/>
      <c r="FR985" s="7"/>
      <c r="FS985" s="7"/>
      <c r="FT985" s="7"/>
      <c r="FU985" s="7"/>
      <c r="FV985" s="7"/>
      <c r="FW985" s="7"/>
      <c r="FX985" s="7"/>
      <c r="FY985" s="7"/>
      <c r="FZ985" s="7"/>
      <c r="GA985" s="7"/>
      <c r="GB985" s="7"/>
      <c r="GC985" s="7"/>
      <c r="GD985" s="7"/>
      <c r="GE985" s="7"/>
      <c r="GF985" s="7"/>
      <c r="GG985" s="7"/>
      <c r="GH985" s="7"/>
      <c r="GI985" s="7"/>
      <c r="GJ985" s="7"/>
      <c r="GK985" s="7"/>
      <c r="GL985" s="7"/>
      <c r="GM985" s="7"/>
      <c r="GN985" s="7"/>
      <c r="GO985" s="7"/>
      <c r="GP985" s="7"/>
      <c r="GQ985" s="7"/>
      <c r="GR985" s="7"/>
      <c r="GS985" s="7"/>
      <c r="GT985" s="7"/>
      <c r="GU985" s="7"/>
      <c r="GV985" s="7"/>
      <c r="GW985" s="7"/>
      <c r="GX985" s="7"/>
      <c r="GY985" s="7"/>
      <c r="GZ985" s="7"/>
      <c r="HA985" s="7"/>
      <c r="HB985" s="7"/>
      <c r="HC985" s="7"/>
      <c r="HD985" s="7"/>
      <c r="HE985" s="7"/>
      <c r="HF985" s="7"/>
      <c r="HG985" s="7"/>
      <c r="HH985" s="7"/>
      <c r="HI985" s="7"/>
      <c r="HJ985" s="7"/>
      <c r="HK985" s="7"/>
      <c r="HL985" s="7"/>
      <c r="HM985" s="7"/>
      <c r="HN985" s="7"/>
      <c r="HO985" s="7"/>
      <c r="HP985" s="7"/>
      <c r="HQ985" s="7"/>
      <c r="HR985" s="7"/>
      <c r="HS985" s="7"/>
      <c r="HT985" s="7"/>
      <c r="HU985" s="7"/>
      <c r="HV985" s="7"/>
      <c r="HW985" s="7"/>
      <c r="HX985" s="7"/>
      <c r="HY985" s="7"/>
      <c r="HZ985" s="7"/>
      <c r="IA985" s="7"/>
      <c r="IB985" s="7"/>
      <c r="IC985" s="7"/>
      <c r="ID985" s="7"/>
      <c r="IE985" s="7"/>
      <c r="IF985" s="7"/>
      <c r="IG985" s="7"/>
      <c r="IH985" s="7"/>
      <c r="II985" s="7"/>
      <c r="IJ985" s="7"/>
      <c r="IK985" s="7"/>
      <c r="IL985" s="7"/>
      <c r="IM985" s="7"/>
      <c r="IN985" s="7"/>
      <c r="IO985" s="7"/>
      <c r="IP985" s="7"/>
      <c r="IQ985" s="7"/>
      <c r="IR985" s="7"/>
      <c r="IS985" s="7"/>
      <c r="IT985" s="7"/>
      <c r="IU985" s="7"/>
      <c r="IV985" s="7"/>
      <c r="IW985" s="7"/>
      <c r="IX985" s="7"/>
    </row>
    <row r="986" spans="1:258" ht="21.95" customHeight="1" x14ac:dyDescent="0.25">
      <c r="A986" s="37" t="s">
        <v>1087</v>
      </c>
      <c r="B986" s="8" t="s">
        <v>703</v>
      </c>
      <c r="C986" s="2">
        <f t="shared" si="584"/>
        <v>3654420.0000000005</v>
      </c>
      <c r="D986" s="3">
        <f t="shared" si="583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4">
        <v>0</v>
      </c>
      <c r="L986" s="3">
        <v>0</v>
      </c>
      <c r="M986" s="3">
        <v>553.70000000000005</v>
      </c>
      <c r="N986" s="3">
        <f t="shared" si="573"/>
        <v>3654420.0000000005</v>
      </c>
      <c r="O986" s="3">
        <v>0</v>
      </c>
      <c r="P986" s="3">
        <v>0</v>
      </c>
      <c r="Q986" s="5">
        <v>0</v>
      </c>
      <c r="R986" s="3">
        <f t="shared" si="577"/>
        <v>0</v>
      </c>
      <c r="S986" s="3">
        <v>0</v>
      </c>
      <c r="T986" s="5">
        <v>0</v>
      </c>
      <c r="U986" s="3">
        <v>0</v>
      </c>
      <c r="V986" s="6">
        <f t="shared" si="582"/>
        <v>6600</v>
      </c>
    </row>
    <row r="987" spans="1:258" ht="21.95" customHeight="1" x14ac:dyDescent="0.25">
      <c r="A987" s="37" t="s">
        <v>1088</v>
      </c>
      <c r="B987" s="8" t="s">
        <v>706</v>
      </c>
      <c r="C987" s="2">
        <f t="shared" si="584"/>
        <v>3597000</v>
      </c>
      <c r="D987" s="3">
        <f t="shared" si="583"/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4">
        <v>0</v>
      </c>
      <c r="L987" s="3">
        <v>0</v>
      </c>
      <c r="M987" s="3">
        <v>545</v>
      </c>
      <c r="N987" s="3">
        <f t="shared" si="573"/>
        <v>3597000</v>
      </c>
      <c r="O987" s="3">
        <v>0</v>
      </c>
      <c r="P987" s="3">
        <v>0</v>
      </c>
      <c r="Q987" s="5">
        <v>0</v>
      </c>
      <c r="R987" s="3">
        <f t="shared" si="577"/>
        <v>0</v>
      </c>
      <c r="S987" s="3">
        <v>0</v>
      </c>
      <c r="T987" s="5">
        <v>0</v>
      </c>
      <c r="U987" s="3">
        <v>0</v>
      </c>
      <c r="V987" s="6">
        <f t="shared" si="582"/>
        <v>6600</v>
      </c>
    </row>
    <row r="988" spans="1:258" ht="21.95" customHeight="1" x14ac:dyDescent="0.25">
      <c r="A988" s="37" t="s">
        <v>1089</v>
      </c>
      <c r="B988" s="8" t="s">
        <v>707</v>
      </c>
      <c r="C988" s="2">
        <f t="shared" si="584"/>
        <v>2871000</v>
      </c>
      <c r="D988" s="3">
        <f t="shared" si="583"/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3">
        <v>435</v>
      </c>
      <c r="N988" s="3">
        <f t="shared" si="573"/>
        <v>2871000</v>
      </c>
      <c r="O988" s="3">
        <v>0</v>
      </c>
      <c r="P988" s="3">
        <v>0</v>
      </c>
      <c r="Q988" s="5">
        <v>0</v>
      </c>
      <c r="R988" s="3">
        <f t="shared" si="577"/>
        <v>0</v>
      </c>
      <c r="S988" s="3">
        <v>0</v>
      </c>
      <c r="T988" s="5">
        <v>0</v>
      </c>
      <c r="U988" s="3">
        <v>0</v>
      </c>
      <c r="V988" s="6">
        <f t="shared" si="582"/>
        <v>6600</v>
      </c>
    </row>
    <row r="989" spans="1:258" ht="21.95" customHeight="1" x14ac:dyDescent="0.25">
      <c r="A989" s="37" t="s">
        <v>1090</v>
      </c>
      <c r="B989" s="8" t="s">
        <v>708</v>
      </c>
      <c r="C989" s="2">
        <f t="shared" si="584"/>
        <v>3896640</v>
      </c>
      <c r="D989" s="3">
        <f t="shared" si="583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5">
        <v>590.4</v>
      </c>
      <c r="N989" s="3">
        <f t="shared" si="573"/>
        <v>3896640</v>
      </c>
      <c r="O989" s="3">
        <v>0</v>
      </c>
      <c r="P989" s="3">
        <v>0</v>
      </c>
      <c r="Q989" s="5">
        <v>0</v>
      </c>
      <c r="R989" s="3">
        <f t="shared" si="577"/>
        <v>0</v>
      </c>
      <c r="S989" s="3">
        <v>0</v>
      </c>
      <c r="T989" s="5">
        <v>0</v>
      </c>
      <c r="U989" s="3">
        <v>0</v>
      </c>
      <c r="V989" s="6">
        <f t="shared" si="582"/>
        <v>6600</v>
      </c>
    </row>
    <row r="990" spans="1:258" ht="21.95" customHeight="1" x14ac:dyDescent="0.25">
      <c r="A990" s="37" t="s">
        <v>1091</v>
      </c>
      <c r="B990" s="8" t="s">
        <v>709</v>
      </c>
      <c r="C990" s="2">
        <f t="shared" si="584"/>
        <v>3613500</v>
      </c>
      <c r="D990" s="3">
        <f t="shared" si="583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3">
        <v>547.5</v>
      </c>
      <c r="N990" s="3">
        <f t="shared" si="573"/>
        <v>3613500</v>
      </c>
      <c r="O990" s="3">
        <v>0</v>
      </c>
      <c r="P990" s="3">
        <v>0</v>
      </c>
      <c r="Q990" s="5">
        <v>0</v>
      </c>
      <c r="R990" s="3">
        <f t="shared" si="577"/>
        <v>0</v>
      </c>
      <c r="S990" s="3">
        <v>0</v>
      </c>
      <c r="T990" s="5">
        <v>0</v>
      </c>
      <c r="U990" s="3">
        <v>0</v>
      </c>
      <c r="V990" s="6">
        <f t="shared" si="582"/>
        <v>6600</v>
      </c>
    </row>
    <row r="991" spans="1:258" ht="21.95" customHeight="1" x14ac:dyDescent="0.25">
      <c r="A991" s="37" t="s">
        <v>1092</v>
      </c>
      <c r="B991" s="8" t="s">
        <v>784</v>
      </c>
      <c r="C991" s="2">
        <f>D991+L991+N991+P991+R991+S991+T991+U991</f>
        <v>3168000</v>
      </c>
      <c r="D991" s="3">
        <f>SUM(E991:J991)</f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5">
        <v>480</v>
      </c>
      <c r="N991" s="3">
        <f t="shared" si="573"/>
        <v>3168000</v>
      </c>
      <c r="O991" s="3">
        <v>0</v>
      </c>
      <c r="P991" s="3">
        <v>0</v>
      </c>
      <c r="Q991" s="5">
        <v>0</v>
      </c>
      <c r="R991" s="3">
        <f t="shared" si="577"/>
        <v>0</v>
      </c>
      <c r="S991" s="3">
        <v>0</v>
      </c>
      <c r="T991" s="5">
        <v>0</v>
      </c>
      <c r="U991" s="3">
        <v>0</v>
      </c>
      <c r="V991" s="6">
        <f>N991/M991</f>
        <v>6600</v>
      </c>
    </row>
    <row r="992" spans="1:258" ht="21.95" customHeight="1" x14ac:dyDescent="0.25">
      <c r="A992" s="37" t="s">
        <v>1093</v>
      </c>
      <c r="B992" s="8" t="s">
        <v>704</v>
      </c>
      <c r="C992" s="2">
        <f>D992+L992+N992+P992+R992+S992+T992+U992</f>
        <v>3168000</v>
      </c>
      <c r="D992" s="3">
        <f>SUM(E992:J992)</f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4">
        <v>0</v>
      </c>
      <c r="L992" s="3">
        <v>0</v>
      </c>
      <c r="M992" s="3">
        <v>480</v>
      </c>
      <c r="N992" s="3">
        <f t="shared" si="573"/>
        <v>3168000</v>
      </c>
      <c r="O992" s="3">
        <v>0</v>
      </c>
      <c r="P992" s="3">
        <v>0</v>
      </c>
      <c r="Q992" s="5">
        <v>0</v>
      </c>
      <c r="R992" s="3">
        <f t="shared" si="577"/>
        <v>0</v>
      </c>
      <c r="S992" s="3">
        <v>0</v>
      </c>
      <c r="T992" s="5">
        <v>0</v>
      </c>
      <c r="U992" s="3">
        <v>0</v>
      </c>
      <c r="V992" s="6">
        <f>N992/M992</f>
        <v>6600</v>
      </c>
    </row>
    <row r="993" spans="1:258" ht="21.95" customHeight="1" x14ac:dyDescent="0.25">
      <c r="A993" s="37" t="s">
        <v>1094</v>
      </c>
      <c r="B993" s="8" t="s">
        <v>705</v>
      </c>
      <c r="C993" s="2">
        <f>D993+L993+N993+P993+R993+S993+T993+U993</f>
        <v>5412000</v>
      </c>
      <c r="D993" s="3">
        <f>SUM(E993:J993)</f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5">
        <v>820</v>
      </c>
      <c r="N993" s="3">
        <f t="shared" si="573"/>
        <v>5412000</v>
      </c>
      <c r="O993" s="3">
        <v>0</v>
      </c>
      <c r="P993" s="3">
        <v>0</v>
      </c>
      <c r="Q993" s="5">
        <v>0</v>
      </c>
      <c r="R993" s="3">
        <f t="shared" si="577"/>
        <v>0</v>
      </c>
      <c r="S993" s="3">
        <v>0</v>
      </c>
      <c r="T993" s="5">
        <v>0</v>
      </c>
      <c r="U993" s="3">
        <v>0</v>
      </c>
      <c r="V993" s="6">
        <f>N993/M993</f>
        <v>6600</v>
      </c>
    </row>
    <row r="994" spans="1:258" ht="21.95" customHeight="1" x14ac:dyDescent="0.25">
      <c r="A994" s="37" t="s">
        <v>1095</v>
      </c>
      <c r="B994" s="8" t="s">
        <v>786</v>
      </c>
      <c r="C994" s="2">
        <f t="shared" si="584"/>
        <v>3880800</v>
      </c>
      <c r="D994" s="3">
        <f t="shared" si="583"/>
        <v>0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4">
        <v>0</v>
      </c>
      <c r="L994" s="3">
        <v>0</v>
      </c>
      <c r="M994" s="5">
        <v>588</v>
      </c>
      <c r="N994" s="3">
        <f t="shared" si="573"/>
        <v>3880800</v>
      </c>
      <c r="O994" s="3">
        <v>0</v>
      </c>
      <c r="P994" s="3">
        <v>0</v>
      </c>
      <c r="Q994" s="5">
        <v>0</v>
      </c>
      <c r="R994" s="3">
        <f t="shared" si="577"/>
        <v>0</v>
      </c>
      <c r="S994" s="3">
        <v>0</v>
      </c>
      <c r="T994" s="5">
        <v>0</v>
      </c>
      <c r="U994" s="3">
        <v>0</v>
      </c>
      <c r="V994" s="6">
        <f t="shared" si="582"/>
        <v>6600</v>
      </c>
    </row>
    <row r="995" spans="1:258" ht="21.95" customHeight="1" x14ac:dyDescent="0.25">
      <c r="A995" s="37" t="s">
        <v>1096</v>
      </c>
      <c r="B995" s="8" t="s">
        <v>710</v>
      </c>
      <c r="C995" s="2">
        <f t="shared" si="584"/>
        <v>30393399.999999996</v>
      </c>
      <c r="D995" s="3">
        <f t="shared" si="583"/>
        <v>30293399.999999996</v>
      </c>
      <c r="E995" s="3">
        <f>700*10097.8</f>
        <v>7068459.9999999991</v>
      </c>
      <c r="F995" s="3">
        <f>1300*10097.8</f>
        <v>13127139.999999998</v>
      </c>
      <c r="G995" s="3">
        <f>300*10097.8</f>
        <v>3029340</v>
      </c>
      <c r="H995" s="3">
        <f>400*10097.8</f>
        <v>4039119.9999999995</v>
      </c>
      <c r="I995" s="3">
        <f>300*10097.8</f>
        <v>3029340</v>
      </c>
      <c r="J995" s="3">
        <v>0</v>
      </c>
      <c r="K995" s="4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f t="shared" si="577"/>
        <v>0</v>
      </c>
      <c r="S995" s="3">
        <v>0</v>
      </c>
      <c r="T995" s="5">
        <v>0</v>
      </c>
      <c r="U995" s="3">
        <v>100000</v>
      </c>
      <c r="V995" s="6" t="e">
        <f t="shared" si="582"/>
        <v>#DIV/0!</v>
      </c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  <c r="BL995" s="28"/>
      <c r="BM995" s="28"/>
      <c r="BN995" s="28"/>
      <c r="BO995" s="28"/>
      <c r="BP995" s="28"/>
      <c r="BQ995" s="28"/>
      <c r="BR995" s="28"/>
      <c r="BS995" s="28"/>
      <c r="BT995" s="28"/>
      <c r="BU995" s="28"/>
      <c r="BV995" s="28"/>
      <c r="BW995" s="28"/>
      <c r="BX995" s="28"/>
      <c r="BY995" s="28"/>
      <c r="BZ995" s="28"/>
      <c r="CA995" s="28"/>
      <c r="CB995" s="28"/>
      <c r="CC995" s="28"/>
      <c r="CD995" s="28"/>
      <c r="CE995" s="28"/>
      <c r="CF995" s="28"/>
      <c r="CG995" s="28"/>
      <c r="CH995" s="28"/>
      <c r="CI995" s="28"/>
      <c r="CJ995" s="28"/>
      <c r="CK995" s="28"/>
      <c r="CL995" s="28"/>
      <c r="CM995" s="28"/>
      <c r="CN995" s="28"/>
      <c r="CO995" s="28"/>
      <c r="CP995" s="28"/>
      <c r="CQ995" s="28"/>
      <c r="CR995" s="28"/>
      <c r="CS995" s="28"/>
      <c r="CT995" s="28"/>
      <c r="CU995" s="28"/>
      <c r="CV995" s="28"/>
      <c r="CW995" s="28"/>
      <c r="CX995" s="28"/>
      <c r="CY995" s="28"/>
      <c r="CZ995" s="28"/>
      <c r="DA995" s="28"/>
      <c r="DB995" s="28"/>
      <c r="DC995" s="28"/>
      <c r="DD995" s="28"/>
      <c r="DE995" s="28"/>
      <c r="DF995" s="28"/>
      <c r="DG995" s="28"/>
      <c r="DH995" s="28"/>
      <c r="DI995" s="28"/>
      <c r="DJ995" s="28"/>
      <c r="DK995" s="28"/>
      <c r="DL995" s="28"/>
      <c r="DM995" s="28"/>
      <c r="DN995" s="28"/>
      <c r="DO995" s="28"/>
      <c r="DP995" s="28"/>
      <c r="DQ995" s="28"/>
      <c r="DR995" s="28"/>
      <c r="DS995" s="28"/>
      <c r="DT995" s="28"/>
      <c r="DU995" s="28"/>
      <c r="DV995" s="28"/>
      <c r="DW995" s="28"/>
      <c r="DX995" s="28"/>
      <c r="DY995" s="28"/>
      <c r="DZ995" s="28"/>
      <c r="EA995" s="28"/>
      <c r="EB995" s="28"/>
      <c r="EC995" s="28"/>
      <c r="ED995" s="28"/>
      <c r="EE995" s="28"/>
      <c r="EF995" s="28"/>
      <c r="EG995" s="28"/>
      <c r="EH995" s="28"/>
      <c r="EI995" s="28"/>
      <c r="EJ995" s="28"/>
      <c r="EK995" s="28"/>
      <c r="EL995" s="28"/>
      <c r="EM995" s="28"/>
      <c r="EN995" s="28"/>
      <c r="EO995" s="28"/>
      <c r="EP995" s="28"/>
      <c r="EQ995" s="28"/>
      <c r="ER995" s="28"/>
      <c r="ES995" s="28"/>
      <c r="ET995" s="28"/>
      <c r="EU995" s="28"/>
      <c r="EV995" s="28"/>
      <c r="EW995" s="28"/>
      <c r="EX995" s="28"/>
      <c r="EY995" s="28"/>
      <c r="EZ995" s="28"/>
      <c r="FA995" s="28"/>
      <c r="FB995" s="28"/>
      <c r="FC995" s="28"/>
      <c r="FD995" s="28"/>
      <c r="FE995" s="28"/>
      <c r="FF995" s="28"/>
      <c r="FG995" s="28"/>
      <c r="FH995" s="28"/>
      <c r="FI995" s="28"/>
      <c r="FJ995" s="28"/>
      <c r="FK995" s="28"/>
      <c r="FL995" s="28"/>
      <c r="FM995" s="28"/>
      <c r="FN995" s="28"/>
      <c r="FO995" s="28"/>
      <c r="FP995" s="28"/>
      <c r="FQ995" s="28"/>
      <c r="FR995" s="28"/>
      <c r="FS995" s="28"/>
      <c r="FT995" s="28"/>
      <c r="FU995" s="28"/>
      <c r="FV995" s="28"/>
      <c r="FW995" s="28"/>
      <c r="FX995" s="28"/>
      <c r="FY995" s="28"/>
      <c r="FZ995" s="28"/>
      <c r="GA995" s="28"/>
      <c r="GB995" s="28"/>
      <c r="GC995" s="28"/>
      <c r="GD995" s="28"/>
      <c r="GE995" s="28"/>
      <c r="GF995" s="28"/>
      <c r="GG995" s="28"/>
      <c r="GH995" s="28"/>
      <c r="GI995" s="28"/>
      <c r="GJ995" s="28"/>
      <c r="GK995" s="28"/>
      <c r="GL995" s="28"/>
      <c r="GM995" s="28"/>
      <c r="GN995" s="28"/>
      <c r="GO995" s="28"/>
      <c r="GP995" s="28"/>
      <c r="GQ995" s="28"/>
      <c r="GR995" s="28"/>
      <c r="GS995" s="28"/>
      <c r="GT995" s="28"/>
      <c r="GU995" s="28"/>
      <c r="GV995" s="28"/>
      <c r="GW995" s="28"/>
      <c r="GX995" s="28"/>
      <c r="GY995" s="28"/>
      <c r="GZ995" s="28"/>
      <c r="HA995" s="28"/>
      <c r="HB995" s="28"/>
      <c r="HC995" s="28"/>
      <c r="HD995" s="28"/>
      <c r="HE995" s="28"/>
      <c r="HF995" s="28"/>
      <c r="HG995" s="28"/>
      <c r="HH995" s="28"/>
      <c r="HI995" s="28"/>
      <c r="HJ995" s="28"/>
      <c r="HK995" s="28"/>
      <c r="HL995" s="28"/>
      <c r="HM995" s="28"/>
      <c r="HN995" s="28"/>
      <c r="HO995" s="28"/>
      <c r="HP995" s="28"/>
      <c r="HQ995" s="28"/>
      <c r="HR995" s="28"/>
      <c r="HS995" s="28"/>
      <c r="HT995" s="28"/>
      <c r="HU995" s="28"/>
      <c r="HV995" s="28"/>
      <c r="HW995" s="28"/>
      <c r="HX995" s="28"/>
      <c r="HY995" s="28"/>
      <c r="HZ995" s="28"/>
      <c r="IA995" s="28"/>
      <c r="IB995" s="28"/>
      <c r="IC995" s="28"/>
      <c r="ID995" s="28"/>
      <c r="IE995" s="28"/>
      <c r="IF995" s="28"/>
      <c r="IG995" s="28"/>
      <c r="IH995" s="28"/>
      <c r="II995" s="28"/>
      <c r="IJ995" s="28"/>
      <c r="IK995" s="28"/>
      <c r="IL995" s="28"/>
      <c r="IM995" s="28"/>
      <c r="IN995" s="28"/>
      <c r="IO995" s="28"/>
      <c r="IP995" s="28"/>
      <c r="IQ995" s="28"/>
      <c r="IR995" s="28"/>
      <c r="IS995" s="28"/>
      <c r="IT995" s="28"/>
      <c r="IU995" s="28"/>
      <c r="IV995" s="28"/>
      <c r="IW995" s="28"/>
      <c r="IX995" s="28"/>
    </row>
    <row r="996" spans="1:258" ht="21.95" customHeight="1" x14ac:dyDescent="0.25">
      <c r="A996" s="37" t="s">
        <v>1097</v>
      </c>
      <c r="B996" s="8" t="s">
        <v>787</v>
      </c>
      <c r="C996" s="2">
        <f t="shared" si="584"/>
        <v>5421580</v>
      </c>
      <c r="D996" s="3">
        <f t="shared" si="583"/>
        <v>5321580</v>
      </c>
      <c r="E996" s="3">
        <f>700*1773.86</f>
        <v>1241702</v>
      </c>
      <c r="F996" s="3">
        <f>1300*1773.86</f>
        <v>2306018</v>
      </c>
      <c r="G996" s="3">
        <f>300*1773.86</f>
        <v>532158</v>
      </c>
      <c r="H996" s="3">
        <f>400*1773.86</f>
        <v>709544</v>
      </c>
      <c r="I996" s="3">
        <f>300*1773.86</f>
        <v>532158</v>
      </c>
      <c r="J996" s="3">
        <v>0</v>
      </c>
      <c r="K996" s="4">
        <v>0</v>
      </c>
      <c r="L996" s="3">
        <v>0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f t="shared" si="577"/>
        <v>0</v>
      </c>
      <c r="S996" s="3">
        <v>0</v>
      </c>
      <c r="T996" s="5">
        <v>0</v>
      </c>
      <c r="U996" s="3">
        <v>100000</v>
      </c>
      <c r="V996" s="6" t="e">
        <f t="shared" si="582"/>
        <v>#DIV/0!</v>
      </c>
    </row>
    <row r="997" spans="1:258" ht="21.95" customHeight="1" x14ac:dyDescent="0.25">
      <c r="A997" s="37" t="s">
        <v>1098</v>
      </c>
      <c r="B997" s="8" t="s">
        <v>711</v>
      </c>
      <c r="C997" s="2">
        <f t="shared" si="584"/>
        <v>1636800</v>
      </c>
      <c r="D997" s="3">
        <f t="shared" si="583"/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11">
        <v>0</v>
      </c>
      <c r="L997" s="5">
        <v>0</v>
      </c>
      <c r="M997" s="5">
        <v>248</v>
      </c>
      <c r="N997" s="3">
        <f t="shared" ref="N997:N1009" si="585">M997*6600</f>
        <v>1636800</v>
      </c>
      <c r="O997" s="3">
        <v>0</v>
      </c>
      <c r="P997" s="3">
        <v>0</v>
      </c>
      <c r="Q997" s="3">
        <v>0</v>
      </c>
      <c r="R997" s="3">
        <f t="shared" si="577"/>
        <v>0</v>
      </c>
      <c r="S997" s="3">
        <v>0</v>
      </c>
      <c r="T997" s="5">
        <v>0</v>
      </c>
      <c r="U997" s="3">
        <v>0</v>
      </c>
      <c r="V997" s="6">
        <f t="shared" si="582"/>
        <v>6600</v>
      </c>
    </row>
    <row r="998" spans="1:258" ht="21.95" customHeight="1" x14ac:dyDescent="0.25">
      <c r="A998" s="37" t="s">
        <v>1099</v>
      </c>
      <c r="B998" s="8" t="s">
        <v>713</v>
      </c>
      <c r="C998" s="2">
        <f>D998+L998+N998+P998+R998+S998+T998+U998</f>
        <v>1598520</v>
      </c>
      <c r="D998" s="3">
        <f>SUM(E998:J998)</f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11">
        <v>0</v>
      </c>
      <c r="L998" s="5">
        <v>0</v>
      </c>
      <c r="M998" s="3">
        <v>242.2</v>
      </c>
      <c r="N998" s="3">
        <f>M998*6600</f>
        <v>1598520</v>
      </c>
      <c r="O998" s="3">
        <v>0</v>
      </c>
      <c r="P998" s="3">
        <v>0</v>
      </c>
      <c r="Q998" s="3">
        <v>0</v>
      </c>
      <c r="R998" s="3">
        <f>Q998*3200</f>
        <v>0</v>
      </c>
      <c r="S998" s="3">
        <v>0</v>
      </c>
      <c r="T998" s="5">
        <v>0</v>
      </c>
      <c r="U998" s="3">
        <v>0</v>
      </c>
      <c r="V998" s="6">
        <f>N998/M998</f>
        <v>6600</v>
      </c>
    </row>
    <row r="999" spans="1:258" ht="21.95" customHeight="1" x14ac:dyDescent="0.25">
      <c r="A999" s="37" t="s">
        <v>1100</v>
      </c>
      <c r="B999" s="8" t="s">
        <v>788</v>
      </c>
      <c r="C999" s="2">
        <f>D999+L999+N999+P999+R999+S999+T999+U999</f>
        <v>1716000</v>
      </c>
      <c r="D999" s="3">
        <f>SUM(E999:J999)</f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11">
        <v>0</v>
      </c>
      <c r="L999" s="5">
        <v>0</v>
      </c>
      <c r="M999" s="3">
        <v>260</v>
      </c>
      <c r="N999" s="3">
        <f>M999*6600</f>
        <v>1716000</v>
      </c>
      <c r="O999" s="3">
        <v>0</v>
      </c>
      <c r="P999" s="3">
        <v>0</v>
      </c>
      <c r="Q999" s="3">
        <v>0</v>
      </c>
      <c r="R999" s="3">
        <f>Q999*3200</f>
        <v>0</v>
      </c>
      <c r="S999" s="3">
        <v>0</v>
      </c>
      <c r="T999" s="5">
        <v>0</v>
      </c>
      <c r="U999" s="3">
        <v>0</v>
      </c>
      <c r="V999" s="6">
        <f>N999/M999</f>
        <v>6600</v>
      </c>
    </row>
    <row r="1000" spans="1:258" s="6" customFormat="1" ht="21.95" customHeight="1" x14ac:dyDescent="0.25">
      <c r="A1000" s="37" t="s">
        <v>1101</v>
      </c>
      <c r="B1000" s="8" t="s">
        <v>712</v>
      </c>
      <c r="C1000" s="2">
        <f t="shared" si="584"/>
        <v>1689600</v>
      </c>
      <c r="D1000" s="3">
        <f t="shared" si="583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11">
        <v>0</v>
      </c>
      <c r="L1000" s="5">
        <v>0</v>
      </c>
      <c r="M1000" s="3">
        <v>256</v>
      </c>
      <c r="N1000" s="3">
        <f t="shared" si="585"/>
        <v>1689600</v>
      </c>
      <c r="O1000" s="3">
        <v>0</v>
      </c>
      <c r="P1000" s="3">
        <v>0</v>
      </c>
      <c r="Q1000" s="3">
        <v>0</v>
      </c>
      <c r="R1000" s="3">
        <f t="shared" si="577"/>
        <v>0</v>
      </c>
      <c r="S1000" s="3">
        <v>0</v>
      </c>
      <c r="T1000" s="5">
        <v>0</v>
      </c>
      <c r="U1000" s="3">
        <v>0</v>
      </c>
      <c r="V1000" s="6">
        <f t="shared" si="582"/>
        <v>6600</v>
      </c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7"/>
      <c r="DO1000" s="7"/>
      <c r="DP1000" s="7"/>
      <c r="DQ1000" s="7"/>
      <c r="DR1000" s="7"/>
      <c r="DS1000" s="7"/>
      <c r="DT1000" s="7"/>
      <c r="DU1000" s="7"/>
      <c r="DV1000" s="7"/>
      <c r="DW1000" s="7"/>
      <c r="DX1000" s="7"/>
      <c r="DY1000" s="7"/>
      <c r="DZ1000" s="7"/>
      <c r="EA1000" s="7"/>
      <c r="EB1000" s="7"/>
      <c r="EC1000" s="7"/>
      <c r="ED1000" s="7"/>
      <c r="EE1000" s="7"/>
      <c r="EF1000" s="7"/>
      <c r="EG1000" s="7"/>
      <c r="EH1000" s="7"/>
      <c r="EI1000" s="7"/>
      <c r="EJ1000" s="7"/>
      <c r="EK1000" s="7"/>
      <c r="EL1000" s="7"/>
      <c r="EM1000" s="7"/>
      <c r="EN1000" s="7"/>
      <c r="EO1000" s="7"/>
      <c r="EP1000" s="7"/>
      <c r="EQ1000" s="7"/>
      <c r="ER1000" s="7"/>
      <c r="ES1000" s="7"/>
      <c r="ET1000" s="7"/>
      <c r="EU1000" s="7"/>
      <c r="EV1000" s="7"/>
      <c r="EW1000" s="7"/>
      <c r="EX1000" s="7"/>
      <c r="EY1000" s="7"/>
      <c r="EZ1000" s="7"/>
      <c r="FA1000" s="7"/>
      <c r="FB1000" s="7"/>
      <c r="FC1000" s="7"/>
      <c r="FD1000" s="7"/>
      <c r="FE1000" s="7"/>
      <c r="FF1000" s="7"/>
      <c r="FG1000" s="7"/>
      <c r="FH1000" s="7"/>
      <c r="FI1000" s="7"/>
      <c r="FJ1000" s="7"/>
      <c r="FK1000" s="7"/>
      <c r="FL1000" s="7"/>
      <c r="FM1000" s="7"/>
      <c r="FN1000" s="7"/>
      <c r="FO1000" s="7"/>
      <c r="FP1000" s="7"/>
      <c r="FQ1000" s="7"/>
      <c r="FR1000" s="7"/>
      <c r="FS1000" s="7"/>
      <c r="FT1000" s="7"/>
      <c r="FU1000" s="7"/>
      <c r="FV1000" s="7"/>
      <c r="FW1000" s="7"/>
      <c r="FX1000" s="7"/>
      <c r="FY1000" s="7"/>
      <c r="FZ1000" s="7"/>
      <c r="GA1000" s="7"/>
      <c r="GB1000" s="7"/>
      <c r="GC1000" s="7"/>
      <c r="GD1000" s="7"/>
      <c r="GE1000" s="7"/>
      <c r="GF1000" s="7"/>
      <c r="GG1000" s="7"/>
      <c r="GH1000" s="7"/>
      <c r="GI1000" s="7"/>
      <c r="GJ1000" s="7"/>
      <c r="GK1000" s="7"/>
      <c r="GL1000" s="7"/>
      <c r="GM1000" s="7"/>
      <c r="GN1000" s="7"/>
      <c r="GO1000" s="7"/>
      <c r="GP1000" s="7"/>
      <c r="GQ1000" s="7"/>
      <c r="GR1000" s="7"/>
      <c r="GS1000" s="7"/>
      <c r="GT1000" s="7"/>
      <c r="GU1000" s="7"/>
      <c r="GV1000" s="7"/>
      <c r="GW1000" s="7"/>
      <c r="GX1000" s="7"/>
      <c r="GY1000" s="7"/>
      <c r="GZ1000" s="7"/>
      <c r="HA1000" s="7"/>
      <c r="HB1000" s="7"/>
      <c r="HC1000" s="7"/>
      <c r="HD1000" s="7"/>
      <c r="HE1000" s="7"/>
      <c r="HF1000" s="7"/>
      <c r="HG1000" s="7"/>
      <c r="HH1000" s="7"/>
      <c r="HI1000" s="7"/>
      <c r="HJ1000" s="7"/>
      <c r="HK1000" s="7"/>
      <c r="HL1000" s="7"/>
      <c r="HM1000" s="7"/>
      <c r="HN1000" s="7"/>
      <c r="HO1000" s="7"/>
      <c r="HP1000" s="7"/>
      <c r="HQ1000" s="7"/>
      <c r="HR1000" s="7"/>
      <c r="HS1000" s="7"/>
      <c r="HT1000" s="7"/>
      <c r="HU1000" s="7"/>
      <c r="HV1000" s="7"/>
      <c r="HW1000" s="7"/>
      <c r="HX1000" s="7"/>
      <c r="HY1000" s="7"/>
      <c r="HZ1000" s="7"/>
      <c r="IA1000" s="7"/>
      <c r="IB1000" s="7"/>
      <c r="IC1000" s="7"/>
      <c r="ID1000" s="7"/>
      <c r="IE1000" s="7"/>
      <c r="IF1000" s="7"/>
      <c r="IG1000" s="7"/>
      <c r="IH1000" s="7"/>
      <c r="II1000" s="7"/>
      <c r="IJ1000" s="7"/>
      <c r="IK1000" s="7"/>
      <c r="IL1000" s="7"/>
      <c r="IM1000" s="7"/>
      <c r="IN1000" s="7"/>
      <c r="IO1000" s="7"/>
      <c r="IP1000" s="7"/>
      <c r="IQ1000" s="7"/>
      <c r="IR1000" s="7"/>
      <c r="IS1000" s="7"/>
      <c r="IT1000" s="7"/>
      <c r="IU1000" s="7"/>
      <c r="IV1000" s="7"/>
      <c r="IW1000" s="7"/>
      <c r="IX1000" s="7"/>
    </row>
    <row r="1001" spans="1:258" ht="21.95" customHeight="1" x14ac:dyDescent="0.25">
      <c r="A1001" s="37" t="s">
        <v>1102</v>
      </c>
      <c r="B1001" s="8" t="s">
        <v>789</v>
      </c>
      <c r="C1001" s="2">
        <f t="shared" si="584"/>
        <v>4612740</v>
      </c>
      <c r="D1001" s="3">
        <f t="shared" si="583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11">
        <v>0</v>
      </c>
      <c r="L1001" s="5">
        <v>0</v>
      </c>
      <c r="M1001" s="3">
        <v>698.9</v>
      </c>
      <c r="N1001" s="3">
        <f t="shared" si="585"/>
        <v>4612740</v>
      </c>
      <c r="O1001" s="3">
        <v>0</v>
      </c>
      <c r="P1001" s="3">
        <v>0</v>
      </c>
      <c r="Q1001" s="3">
        <v>0</v>
      </c>
      <c r="R1001" s="3">
        <f t="shared" si="577"/>
        <v>0</v>
      </c>
      <c r="S1001" s="3">
        <v>0</v>
      </c>
      <c r="T1001" s="5">
        <v>0</v>
      </c>
      <c r="U1001" s="3">
        <v>0</v>
      </c>
      <c r="V1001" s="6">
        <f t="shared" si="582"/>
        <v>6600</v>
      </c>
    </row>
    <row r="1002" spans="1:258" ht="21.95" customHeight="1" x14ac:dyDescent="0.25">
      <c r="A1002" s="37" t="s">
        <v>1103</v>
      </c>
      <c r="B1002" s="8" t="s">
        <v>816</v>
      </c>
      <c r="C1002" s="2">
        <f t="shared" si="584"/>
        <v>10450810</v>
      </c>
      <c r="D1002" s="3">
        <f t="shared" si="583"/>
        <v>4542150</v>
      </c>
      <c r="E1002" s="3">
        <f>700*1514.05</f>
        <v>1059835</v>
      </c>
      <c r="F1002" s="3">
        <f>1300*1514.05</f>
        <v>1968265</v>
      </c>
      <c r="G1002" s="3">
        <f>300*1514.05</f>
        <v>454215</v>
      </c>
      <c r="H1002" s="3">
        <f>400*1514.05</f>
        <v>605620</v>
      </c>
      <c r="I1002" s="3">
        <f>300*1514.05</f>
        <v>454215</v>
      </c>
      <c r="J1002" s="3">
        <v>0</v>
      </c>
      <c r="K1002" s="4">
        <v>0</v>
      </c>
      <c r="L1002" s="3">
        <v>0</v>
      </c>
      <c r="M1002" s="5">
        <v>880.1</v>
      </c>
      <c r="N1002" s="3">
        <f t="shared" si="585"/>
        <v>5808660</v>
      </c>
      <c r="O1002" s="3">
        <v>0</v>
      </c>
      <c r="P1002" s="3">
        <v>0</v>
      </c>
      <c r="Q1002" s="3">
        <v>0</v>
      </c>
      <c r="R1002" s="3">
        <f t="shared" si="577"/>
        <v>0</v>
      </c>
      <c r="S1002" s="3">
        <v>0</v>
      </c>
      <c r="T1002" s="5">
        <v>0</v>
      </c>
      <c r="U1002" s="3">
        <v>100000</v>
      </c>
      <c r="V1002" s="6">
        <f t="shared" si="582"/>
        <v>6600</v>
      </c>
    </row>
    <row r="1003" spans="1:258" ht="21.95" customHeight="1" x14ac:dyDescent="0.25">
      <c r="A1003" s="37" t="s">
        <v>1104</v>
      </c>
      <c r="B1003" s="8" t="s">
        <v>790</v>
      </c>
      <c r="C1003" s="2">
        <f t="shared" si="584"/>
        <v>8005800</v>
      </c>
      <c r="D1003" s="3">
        <f t="shared" si="583"/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11">
        <v>0</v>
      </c>
      <c r="L1003" s="5">
        <v>0</v>
      </c>
      <c r="M1003" s="3">
        <v>1213</v>
      </c>
      <c r="N1003" s="3">
        <f t="shared" si="585"/>
        <v>8005800</v>
      </c>
      <c r="O1003" s="3">
        <v>0</v>
      </c>
      <c r="P1003" s="3">
        <v>0</v>
      </c>
      <c r="Q1003" s="3">
        <v>0</v>
      </c>
      <c r="R1003" s="3">
        <f t="shared" si="577"/>
        <v>0</v>
      </c>
      <c r="S1003" s="3">
        <v>0</v>
      </c>
      <c r="T1003" s="5">
        <v>0</v>
      </c>
      <c r="U1003" s="3">
        <v>0</v>
      </c>
      <c r="V1003" s="6">
        <f t="shared" si="582"/>
        <v>6600</v>
      </c>
    </row>
    <row r="1004" spans="1:258" ht="21.95" customHeight="1" x14ac:dyDescent="0.25">
      <c r="A1004" s="37" t="s">
        <v>1105</v>
      </c>
      <c r="B1004" s="8" t="s">
        <v>714</v>
      </c>
      <c r="C1004" s="2">
        <f t="shared" si="584"/>
        <v>5869380</v>
      </c>
      <c r="D1004" s="3">
        <f t="shared" si="583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11">
        <v>0</v>
      </c>
      <c r="L1004" s="5">
        <v>0</v>
      </c>
      <c r="M1004" s="3">
        <v>889.3</v>
      </c>
      <c r="N1004" s="3">
        <f t="shared" si="585"/>
        <v>5869380</v>
      </c>
      <c r="O1004" s="3">
        <v>0</v>
      </c>
      <c r="P1004" s="3">
        <v>0</v>
      </c>
      <c r="Q1004" s="3">
        <v>0</v>
      </c>
      <c r="R1004" s="3">
        <f t="shared" si="577"/>
        <v>0</v>
      </c>
      <c r="S1004" s="3">
        <v>0</v>
      </c>
      <c r="T1004" s="5">
        <v>0</v>
      </c>
      <c r="U1004" s="3">
        <v>0</v>
      </c>
      <c r="V1004" s="6">
        <f t="shared" si="582"/>
        <v>6600</v>
      </c>
    </row>
    <row r="1005" spans="1:258" ht="21.95" customHeight="1" x14ac:dyDescent="0.25">
      <c r="A1005" s="37" t="s">
        <v>1106</v>
      </c>
      <c r="B1005" s="8" t="s">
        <v>715</v>
      </c>
      <c r="C1005" s="2">
        <f t="shared" si="584"/>
        <v>2925000</v>
      </c>
      <c r="D1005" s="3">
        <f t="shared" si="583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11">
        <v>0</v>
      </c>
      <c r="L1005" s="5">
        <v>0</v>
      </c>
      <c r="M1005" s="5">
        <v>289</v>
      </c>
      <c r="N1005" s="3">
        <f t="shared" si="585"/>
        <v>1907400</v>
      </c>
      <c r="O1005" s="5">
        <v>0</v>
      </c>
      <c r="P1005" s="5">
        <v>0</v>
      </c>
      <c r="Q1005" s="5">
        <v>318</v>
      </c>
      <c r="R1005" s="3">
        <f t="shared" si="577"/>
        <v>1017600</v>
      </c>
      <c r="S1005" s="5">
        <v>0</v>
      </c>
      <c r="T1005" s="5">
        <v>0</v>
      </c>
      <c r="U1005" s="5">
        <v>0</v>
      </c>
      <c r="V1005" s="6">
        <f t="shared" si="582"/>
        <v>6600</v>
      </c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  <c r="AG1005" s="49"/>
      <c r="AH1005" s="49"/>
      <c r="AI1005" s="49"/>
      <c r="AJ1005" s="49"/>
      <c r="AK1005" s="49"/>
      <c r="AL1005" s="49"/>
      <c r="AM1005" s="49"/>
      <c r="AN1005" s="49"/>
      <c r="AO1005" s="49"/>
      <c r="AP1005" s="49"/>
      <c r="AQ1005" s="49"/>
      <c r="AR1005" s="49"/>
      <c r="AS1005" s="49"/>
      <c r="AT1005" s="49"/>
      <c r="AU1005" s="49"/>
      <c r="AV1005" s="49"/>
      <c r="AW1005" s="49"/>
      <c r="AX1005" s="49"/>
      <c r="AY1005" s="49"/>
      <c r="AZ1005" s="49"/>
      <c r="BA1005" s="49"/>
      <c r="BB1005" s="49"/>
      <c r="BC1005" s="49"/>
      <c r="BD1005" s="49"/>
      <c r="BE1005" s="49"/>
      <c r="BF1005" s="49"/>
      <c r="BG1005" s="49"/>
      <c r="BH1005" s="49"/>
      <c r="BI1005" s="49"/>
      <c r="BJ1005" s="49"/>
      <c r="BK1005" s="49"/>
      <c r="BL1005" s="49"/>
      <c r="BM1005" s="49"/>
      <c r="BN1005" s="49"/>
      <c r="BO1005" s="49"/>
      <c r="BP1005" s="49"/>
      <c r="BQ1005" s="49"/>
      <c r="BR1005" s="49"/>
      <c r="BS1005" s="49"/>
      <c r="BT1005" s="49"/>
      <c r="BU1005" s="49"/>
      <c r="BV1005" s="49"/>
      <c r="BW1005" s="49"/>
      <c r="BX1005" s="49"/>
      <c r="BY1005" s="49"/>
      <c r="BZ1005" s="49"/>
      <c r="CA1005" s="49"/>
      <c r="CB1005" s="49"/>
      <c r="CC1005" s="49"/>
      <c r="CD1005" s="49"/>
      <c r="CE1005" s="49"/>
      <c r="CF1005" s="49"/>
      <c r="CG1005" s="49"/>
      <c r="CH1005" s="49"/>
      <c r="CI1005" s="49"/>
      <c r="CJ1005" s="49"/>
      <c r="CK1005" s="49"/>
      <c r="CL1005" s="49"/>
      <c r="CM1005" s="49"/>
      <c r="CN1005" s="49"/>
      <c r="CO1005" s="49"/>
      <c r="CP1005" s="49"/>
      <c r="CQ1005" s="49"/>
      <c r="CR1005" s="49"/>
      <c r="CS1005" s="49"/>
      <c r="CT1005" s="49"/>
      <c r="CU1005" s="49"/>
      <c r="CV1005" s="49"/>
      <c r="CW1005" s="49"/>
      <c r="CX1005" s="49"/>
      <c r="CY1005" s="49"/>
      <c r="CZ1005" s="49"/>
      <c r="DA1005" s="49"/>
      <c r="DB1005" s="49"/>
      <c r="DC1005" s="49"/>
      <c r="DD1005" s="49"/>
      <c r="DE1005" s="49"/>
      <c r="DF1005" s="49"/>
      <c r="DG1005" s="49"/>
      <c r="DH1005" s="49"/>
      <c r="DI1005" s="49"/>
      <c r="DJ1005" s="49"/>
      <c r="DK1005" s="49"/>
      <c r="DL1005" s="49"/>
      <c r="DM1005" s="49"/>
      <c r="DN1005" s="49"/>
      <c r="DO1005" s="49"/>
      <c r="DP1005" s="49"/>
      <c r="DQ1005" s="49"/>
      <c r="DR1005" s="49"/>
      <c r="DS1005" s="49"/>
      <c r="DT1005" s="49"/>
      <c r="DU1005" s="49"/>
      <c r="DV1005" s="49"/>
      <c r="DW1005" s="49"/>
      <c r="DX1005" s="49"/>
      <c r="DY1005" s="49"/>
      <c r="DZ1005" s="49"/>
      <c r="EA1005" s="49"/>
      <c r="EB1005" s="49"/>
      <c r="EC1005" s="49"/>
      <c r="ED1005" s="49"/>
      <c r="EE1005" s="49"/>
      <c r="EF1005" s="49"/>
      <c r="EG1005" s="49"/>
      <c r="EH1005" s="49"/>
      <c r="EI1005" s="49"/>
      <c r="EJ1005" s="49"/>
      <c r="EK1005" s="49"/>
      <c r="EL1005" s="49"/>
      <c r="EM1005" s="49"/>
      <c r="EN1005" s="49"/>
      <c r="EO1005" s="49"/>
      <c r="EP1005" s="49"/>
      <c r="EQ1005" s="49"/>
      <c r="ER1005" s="49"/>
      <c r="ES1005" s="49"/>
      <c r="ET1005" s="49"/>
      <c r="EU1005" s="49"/>
      <c r="EV1005" s="49"/>
      <c r="EW1005" s="49"/>
      <c r="EX1005" s="49"/>
      <c r="EY1005" s="49"/>
      <c r="EZ1005" s="49"/>
      <c r="FA1005" s="49"/>
      <c r="FB1005" s="49"/>
      <c r="FC1005" s="49"/>
      <c r="FD1005" s="49"/>
      <c r="FE1005" s="49"/>
      <c r="FF1005" s="49"/>
      <c r="FG1005" s="49"/>
      <c r="FH1005" s="49"/>
      <c r="FI1005" s="49"/>
      <c r="FJ1005" s="49"/>
      <c r="FK1005" s="49"/>
      <c r="FL1005" s="49"/>
      <c r="FM1005" s="49"/>
      <c r="FN1005" s="49"/>
      <c r="FO1005" s="49"/>
      <c r="FP1005" s="49"/>
      <c r="FQ1005" s="49"/>
      <c r="FR1005" s="49"/>
      <c r="FS1005" s="49"/>
      <c r="FT1005" s="49"/>
      <c r="FU1005" s="49"/>
      <c r="FV1005" s="49"/>
      <c r="FW1005" s="49"/>
      <c r="FX1005" s="49"/>
      <c r="FY1005" s="49"/>
      <c r="FZ1005" s="49"/>
      <c r="GA1005" s="49"/>
      <c r="GB1005" s="49"/>
      <c r="GC1005" s="49"/>
      <c r="GD1005" s="49"/>
      <c r="GE1005" s="49"/>
      <c r="GF1005" s="49"/>
      <c r="GG1005" s="49"/>
      <c r="GH1005" s="49"/>
      <c r="GI1005" s="49"/>
      <c r="GJ1005" s="29"/>
      <c r="GK1005" s="29"/>
      <c r="GL1005" s="29"/>
      <c r="GM1005" s="29"/>
      <c r="GN1005" s="29"/>
      <c r="GO1005" s="29"/>
      <c r="GP1005" s="29"/>
      <c r="GQ1005" s="29"/>
      <c r="GR1005" s="29"/>
      <c r="GS1005" s="29"/>
      <c r="GT1005" s="29"/>
      <c r="GU1005" s="29"/>
      <c r="GV1005" s="29"/>
      <c r="GW1005" s="29"/>
      <c r="GX1005" s="29"/>
      <c r="GY1005" s="29"/>
      <c r="GZ1005" s="29"/>
      <c r="HA1005" s="29"/>
      <c r="HB1005" s="29"/>
      <c r="HC1005" s="29"/>
      <c r="HD1005" s="29"/>
      <c r="HE1005" s="29"/>
      <c r="HF1005" s="29"/>
      <c r="HG1005" s="29"/>
      <c r="HH1005" s="29"/>
      <c r="HI1005" s="29"/>
      <c r="HJ1005" s="29"/>
      <c r="HK1005" s="29"/>
      <c r="HL1005" s="29"/>
      <c r="HM1005" s="29"/>
      <c r="HN1005" s="29"/>
      <c r="HO1005" s="29"/>
      <c r="HP1005" s="29"/>
      <c r="HQ1005" s="29"/>
      <c r="HR1005" s="29"/>
      <c r="HS1005" s="29"/>
      <c r="HT1005" s="29"/>
      <c r="HU1005" s="29"/>
      <c r="HV1005" s="29"/>
      <c r="HW1005" s="29"/>
      <c r="HX1005" s="29"/>
      <c r="HY1005" s="29"/>
      <c r="HZ1005" s="29"/>
      <c r="IA1005" s="29"/>
      <c r="IB1005" s="29"/>
      <c r="IC1005" s="29"/>
      <c r="ID1005" s="29"/>
      <c r="IE1005" s="29"/>
      <c r="IF1005" s="29"/>
      <c r="IG1005" s="29"/>
      <c r="IH1005" s="29"/>
      <c r="II1005" s="29"/>
      <c r="IJ1005" s="29"/>
      <c r="IK1005" s="29"/>
      <c r="IL1005" s="29"/>
      <c r="IM1005" s="29"/>
      <c r="IN1005" s="29"/>
      <c r="IO1005" s="29"/>
      <c r="IP1005" s="29"/>
      <c r="IQ1005" s="29"/>
      <c r="IR1005" s="29"/>
      <c r="IS1005" s="29"/>
      <c r="IT1005" s="29"/>
      <c r="IU1005" s="29"/>
      <c r="IV1005" s="29"/>
      <c r="IW1005" s="29"/>
      <c r="IX1005" s="29"/>
    </row>
    <row r="1006" spans="1:258" s="17" customFormat="1" ht="21.95" customHeight="1" x14ac:dyDescent="0.25">
      <c r="A1006" s="37" t="s">
        <v>1107</v>
      </c>
      <c r="B1006" s="23" t="s">
        <v>716</v>
      </c>
      <c r="C1006" s="2">
        <f t="shared" si="584"/>
        <v>3550800</v>
      </c>
      <c r="D1006" s="3">
        <f t="shared" si="583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3">
        <v>538</v>
      </c>
      <c r="N1006" s="3">
        <f t="shared" si="585"/>
        <v>3550800</v>
      </c>
      <c r="O1006" s="3">
        <v>0</v>
      </c>
      <c r="P1006" s="3">
        <v>0</v>
      </c>
      <c r="Q1006" s="3">
        <v>0</v>
      </c>
      <c r="R1006" s="3">
        <f t="shared" si="577"/>
        <v>0</v>
      </c>
      <c r="S1006" s="3">
        <v>0</v>
      </c>
      <c r="T1006" s="5">
        <v>0</v>
      </c>
      <c r="U1006" s="3">
        <v>0</v>
      </c>
      <c r="V1006" s="6">
        <f t="shared" si="582"/>
        <v>6600</v>
      </c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7"/>
      <c r="DZ1006" s="7"/>
      <c r="EA1006" s="7"/>
      <c r="EB1006" s="7"/>
      <c r="EC1006" s="7"/>
      <c r="ED1006" s="7"/>
      <c r="EE1006" s="7"/>
      <c r="EF1006" s="7"/>
      <c r="EG1006" s="7"/>
      <c r="EH1006" s="7"/>
      <c r="EI1006" s="7"/>
      <c r="EJ1006" s="7"/>
      <c r="EK1006" s="7"/>
      <c r="EL1006" s="7"/>
      <c r="EM1006" s="7"/>
      <c r="EN1006" s="7"/>
      <c r="EO1006" s="7"/>
      <c r="EP1006" s="7"/>
      <c r="EQ1006" s="7"/>
      <c r="ER1006" s="7"/>
      <c r="ES1006" s="7"/>
      <c r="ET1006" s="7"/>
      <c r="EU1006" s="7"/>
      <c r="EV1006" s="7"/>
      <c r="EW1006" s="7"/>
      <c r="EX1006" s="7"/>
      <c r="EY1006" s="7"/>
      <c r="EZ1006" s="7"/>
      <c r="FA1006" s="7"/>
      <c r="FB1006" s="7"/>
      <c r="FC1006" s="7"/>
      <c r="FD1006" s="7"/>
      <c r="FE1006" s="7"/>
      <c r="FF1006" s="7"/>
      <c r="FG1006" s="7"/>
      <c r="FH1006" s="7"/>
      <c r="FI1006" s="7"/>
      <c r="FJ1006" s="7"/>
      <c r="FK1006" s="7"/>
      <c r="FL1006" s="7"/>
      <c r="FM1006" s="7"/>
      <c r="FN1006" s="7"/>
      <c r="FO1006" s="7"/>
      <c r="FP1006" s="7"/>
      <c r="FQ1006" s="7"/>
      <c r="FR1006" s="7"/>
      <c r="FS1006" s="7"/>
      <c r="FT1006" s="7"/>
      <c r="FU1006" s="7"/>
      <c r="FV1006" s="7"/>
      <c r="FW1006" s="7"/>
      <c r="FX1006" s="7"/>
      <c r="FY1006" s="7"/>
      <c r="FZ1006" s="7"/>
      <c r="GA1006" s="7"/>
      <c r="GB1006" s="7"/>
      <c r="GC1006" s="7"/>
      <c r="GD1006" s="7"/>
      <c r="GE1006" s="7"/>
      <c r="GF1006" s="7"/>
      <c r="GG1006" s="7"/>
      <c r="GH1006" s="7"/>
      <c r="GI1006" s="7"/>
      <c r="GJ1006" s="7"/>
      <c r="GK1006" s="7"/>
      <c r="GL1006" s="7"/>
      <c r="GM1006" s="7"/>
      <c r="GN1006" s="7"/>
      <c r="GO1006" s="7"/>
      <c r="GP1006" s="7"/>
      <c r="GQ1006" s="7"/>
      <c r="GR1006" s="7"/>
      <c r="GS1006" s="7"/>
      <c r="GT1006" s="7"/>
      <c r="GU1006" s="7"/>
      <c r="GV1006" s="7"/>
      <c r="GW1006" s="7"/>
      <c r="GX1006" s="7"/>
      <c r="GY1006" s="7"/>
      <c r="GZ1006" s="7"/>
      <c r="HA1006" s="7"/>
      <c r="HB1006" s="7"/>
      <c r="HC1006" s="7"/>
      <c r="HD1006" s="7"/>
      <c r="HE1006" s="7"/>
      <c r="HF1006" s="7"/>
      <c r="HG1006" s="7"/>
      <c r="HH1006" s="7"/>
      <c r="HI1006" s="7"/>
      <c r="HJ1006" s="7"/>
      <c r="HK1006" s="7"/>
      <c r="HL1006" s="7"/>
      <c r="HM1006" s="7"/>
      <c r="HN1006" s="7"/>
      <c r="HO1006" s="7"/>
      <c r="HP1006" s="7"/>
      <c r="HQ1006" s="7"/>
      <c r="HR1006" s="7"/>
      <c r="HS1006" s="7"/>
      <c r="HT1006" s="7"/>
      <c r="HU1006" s="7"/>
      <c r="HV1006" s="7"/>
      <c r="HW1006" s="7"/>
      <c r="HX1006" s="7"/>
      <c r="HY1006" s="7"/>
      <c r="HZ1006" s="7"/>
      <c r="IA1006" s="7"/>
      <c r="IB1006" s="7"/>
      <c r="IC1006" s="7"/>
      <c r="ID1006" s="7"/>
      <c r="IE1006" s="7"/>
      <c r="IF1006" s="7"/>
      <c r="IG1006" s="7"/>
      <c r="IH1006" s="7"/>
      <c r="II1006" s="7"/>
      <c r="IJ1006" s="7"/>
      <c r="IK1006" s="7"/>
      <c r="IL1006" s="7"/>
      <c r="IM1006" s="7"/>
      <c r="IN1006" s="7"/>
      <c r="IO1006" s="7"/>
      <c r="IP1006" s="7"/>
      <c r="IQ1006" s="7"/>
      <c r="IR1006" s="7"/>
      <c r="IS1006" s="7"/>
      <c r="IT1006" s="7"/>
      <c r="IU1006" s="7"/>
      <c r="IV1006" s="7"/>
      <c r="IW1006" s="7"/>
      <c r="IX1006" s="7"/>
    </row>
    <row r="1007" spans="1:258" ht="21.95" customHeight="1" x14ac:dyDescent="0.25">
      <c r="A1007" s="37" t="s">
        <v>1108</v>
      </c>
      <c r="B1007" s="8" t="s">
        <v>402</v>
      </c>
      <c r="C1007" s="2">
        <f t="shared" si="584"/>
        <v>4956000</v>
      </c>
      <c r="D1007" s="3">
        <f t="shared" ref="D1007" si="586">SUM(E1007:J1007)</f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4">
        <v>0</v>
      </c>
      <c r="L1007" s="3">
        <v>0</v>
      </c>
      <c r="M1007" s="3">
        <v>660</v>
      </c>
      <c r="N1007" s="3">
        <f t="shared" si="585"/>
        <v>4356000</v>
      </c>
      <c r="O1007" s="3">
        <v>0</v>
      </c>
      <c r="P1007" s="3">
        <v>0</v>
      </c>
      <c r="Q1007" s="3">
        <v>0</v>
      </c>
      <c r="R1007" s="3">
        <f t="shared" si="577"/>
        <v>0</v>
      </c>
      <c r="S1007" s="3">
        <v>0</v>
      </c>
      <c r="T1007" s="3">
        <v>0</v>
      </c>
      <c r="U1007" s="3">
        <v>600000</v>
      </c>
      <c r="V1007" s="6">
        <f t="shared" si="582"/>
        <v>6600</v>
      </c>
    </row>
    <row r="1008" spans="1:258" s="6" customFormat="1" ht="21.95" customHeight="1" x14ac:dyDescent="0.25">
      <c r="A1008" s="37" t="s">
        <v>1109</v>
      </c>
      <c r="B1008" s="23" t="s">
        <v>791</v>
      </c>
      <c r="C1008" s="2">
        <f t="shared" si="584"/>
        <v>4284720</v>
      </c>
      <c r="D1008" s="3">
        <f t="shared" si="583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4">
        <v>0</v>
      </c>
      <c r="L1008" s="3">
        <v>0</v>
      </c>
      <c r="M1008" s="5">
        <v>649.20000000000005</v>
      </c>
      <c r="N1008" s="3">
        <f t="shared" si="585"/>
        <v>4284720</v>
      </c>
      <c r="O1008" s="3">
        <v>0</v>
      </c>
      <c r="P1008" s="3">
        <v>0</v>
      </c>
      <c r="Q1008" s="3">
        <v>0</v>
      </c>
      <c r="R1008" s="3">
        <f t="shared" si="577"/>
        <v>0</v>
      </c>
      <c r="S1008" s="3">
        <v>0</v>
      </c>
      <c r="T1008" s="5">
        <v>0</v>
      </c>
      <c r="U1008" s="3">
        <v>0</v>
      </c>
      <c r="V1008" s="6">
        <f t="shared" si="582"/>
        <v>6599.9999999999991</v>
      </c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  <c r="BR1008" s="7"/>
      <c r="BS1008" s="7"/>
      <c r="BT1008" s="7"/>
      <c r="BU1008" s="7"/>
      <c r="BV1008" s="7"/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K1008" s="7"/>
      <c r="CL1008" s="7"/>
      <c r="CM1008" s="7"/>
      <c r="CN1008" s="7"/>
      <c r="CO1008" s="7"/>
      <c r="CP1008" s="7"/>
      <c r="CQ1008" s="7"/>
      <c r="CR1008" s="7"/>
      <c r="CS1008" s="7"/>
      <c r="CT1008" s="7"/>
      <c r="CU1008" s="7"/>
      <c r="CV1008" s="7"/>
      <c r="CW1008" s="7"/>
      <c r="CX1008" s="7"/>
      <c r="CY1008" s="7"/>
      <c r="CZ1008" s="7"/>
      <c r="DA1008" s="7"/>
      <c r="DB1008" s="7"/>
      <c r="DC1008" s="7"/>
      <c r="DD1008" s="7"/>
      <c r="DE1008" s="7"/>
      <c r="DF1008" s="7"/>
      <c r="DG1008" s="7"/>
      <c r="DH1008" s="7"/>
      <c r="DI1008" s="7"/>
      <c r="DJ1008" s="7"/>
      <c r="DK1008" s="7"/>
      <c r="DL1008" s="7"/>
      <c r="DM1008" s="7"/>
      <c r="DN1008" s="7"/>
      <c r="DO1008" s="7"/>
      <c r="DP1008" s="7"/>
      <c r="DQ1008" s="7"/>
      <c r="DR1008" s="7"/>
      <c r="DS1008" s="7"/>
      <c r="DT1008" s="7"/>
      <c r="DU1008" s="7"/>
      <c r="DV1008" s="7"/>
      <c r="DW1008" s="7"/>
      <c r="DX1008" s="7"/>
      <c r="DY1008" s="7"/>
      <c r="DZ1008" s="7"/>
      <c r="EA1008" s="7"/>
      <c r="EB1008" s="7"/>
      <c r="EC1008" s="7"/>
      <c r="ED1008" s="7"/>
      <c r="EE1008" s="7"/>
      <c r="EF1008" s="7"/>
      <c r="EG1008" s="7"/>
      <c r="EH1008" s="7"/>
      <c r="EI1008" s="7"/>
      <c r="EJ1008" s="7"/>
      <c r="EK1008" s="7"/>
      <c r="EL1008" s="7"/>
      <c r="EM1008" s="7"/>
      <c r="EN1008" s="7"/>
      <c r="EO1008" s="7"/>
      <c r="EP1008" s="7"/>
      <c r="EQ1008" s="7"/>
      <c r="ER1008" s="7"/>
      <c r="ES1008" s="7"/>
      <c r="ET1008" s="7"/>
      <c r="EU1008" s="7"/>
      <c r="EV1008" s="7"/>
      <c r="EW1008" s="7"/>
      <c r="EX1008" s="7"/>
      <c r="EY1008" s="7"/>
      <c r="EZ1008" s="7"/>
      <c r="FA1008" s="7"/>
      <c r="FB1008" s="7"/>
      <c r="FC1008" s="7"/>
      <c r="FD1008" s="7"/>
      <c r="FE1008" s="7"/>
      <c r="FF1008" s="7"/>
      <c r="FG1008" s="7"/>
      <c r="FH1008" s="7"/>
      <c r="FI1008" s="7"/>
      <c r="FJ1008" s="7"/>
      <c r="FK1008" s="7"/>
      <c r="FL1008" s="7"/>
      <c r="FM1008" s="7"/>
      <c r="FN1008" s="7"/>
      <c r="FO1008" s="7"/>
      <c r="FP1008" s="7"/>
      <c r="FQ1008" s="7"/>
      <c r="FR1008" s="7"/>
      <c r="FS1008" s="7"/>
      <c r="FT1008" s="7"/>
      <c r="FU1008" s="7"/>
      <c r="FV1008" s="7"/>
      <c r="FW1008" s="7"/>
      <c r="FX1008" s="7"/>
      <c r="FY1008" s="7"/>
      <c r="FZ1008" s="7"/>
      <c r="GA1008" s="7"/>
      <c r="GB1008" s="7"/>
      <c r="GC1008" s="7"/>
      <c r="GD1008" s="7"/>
      <c r="GE1008" s="7"/>
      <c r="GF1008" s="7"/>
      <c r="GG1008" s="7"/>
      <c r="GH1008" s="7"/>
      <c r="GI1008" s="7"/>
      <c r="GJ1008" s="7"/>
      <c r="GK1008" s="7"/>
      <c r="GL1008" s="7"/>
      <c r="GM1008" s="7"/>
      <c r="GN1008" s="7"/>
      <c r="GO1008" s="7"/>
      <c r="GP1008" s="7"/>
      <c r="GQ1008" s="7"/>
      <c r="GR1008" s="7"/>
      <c r="GS1008" s="7"/>
      <c r="GT1008" s="7"/>
      <c r="GU1008" s="7"/>
      <c r="GV1008" s="7"/>
      <c r="GW1008" s="7"/>
      <c r="GX1008" s="7"/>
      <c r="GY1008" s="7"/>
      <c r="GZ1008" s="7"/>
      <c r="HA1008" s="7"/>
      <c r="HB1008" s="7"/>
      <c r="HC1008" s="7"/>
      <c r="HD1008" s="7"/>
      <c r="HE1008" s="7"/>
      <c r="HF1008" s="7"/>
      <c r="HG1008" s="7"/>
      <c r="HH1008" s="7"/>
      <c r="HI1008" s="7"/>
      <c r="HJ1008" s="7"/>
      <c r="HK1008" s="7"/>
      <c r="HL1008" s="7"/>
      <c r="HM1008" s="7"/>
      <c r="HN1008" s="7"/>
      <c r="HO1008" s="7"/>
      <c r="HP1008" s="7"/>
      <c r="HQ1008" s="7"/>
      <c r="HR1008" s="7"/>
      <c r="HS1008" s="7"/>
      <c r="HT1008" s="7"/>
      <c r="HU1008" s="7"/>
      <c r="HV1008" s="7"/>
      <c r="HW1008" s="7"/>
      <c r="HX1008" s="7"/>
      <c r="HY1008" s="7"/>
      <c r="HZ1008" s="7"/>
      <c r="IA1008" s="7"/>
      <c r="IB1008" s="7"/>
      <c r="IC1008" s="7"/>
      <c r="ID1008" s="7"/>
      <c r="IE1008" s="7"/>
      <c r="IF1008" s="7"/>
      <c r="IG1008" s="7"/>
      <c r="IH1008" s="7"/>
      <c r="II1008" s="7"/>
      <c r="IJ1008" s="7"/>
      <c r="IK1008" s="7"/>
      <c r="IL1008" s="7"/>
      <c r="IM1008" s="7"/>
      <c r="IN1008" s="7"/>
      <c r="IO1008" s="7"/>
      <c r="IP1008" s="7"/>
      <c r="IQ1008" s="7"/>
      <c r="IR1008" s="7"/>
      <c r="IS1008" s="7"/>
      <c r="IT1008" s="7"/>
      <c r="IU1008" s="7"/>
      <c r="IV1008" s="7"/>
      <c r="IW1008" s="7"/>
      <c r="IX1008" s="7"/>
    </row>
    <row r="1009" spans="1:258" s="17" customFormat="1" ht="21.95" customHeight="1" x14ac:dyDescent="0.25">
      <c r="A1009" s="37" t="s">
        <v>1110</v>
      </c>
      <c r="B1009" s="8" t="s">
        <v>792</v>
      </c>
      <c r="C1009" s="2">
        <f t="shared" si="584"/>
        <v>4304520</v>
      </c>
      <c r="D1009" s="3">
        <f t="shared" si="583"/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5">
        <v>652.20000000000005</v>
      </c>
      <c r="N1009" s="3">
        <f t="shared" si="585"/>
        <v>4304520</v>
      </c>
      <c r="O1009" s="3">
        <v>0</v>
      </c>
      <c r="P1009" s="3">
        <v>0</v>
      </c>
      <c r="Q1009" s="3">
        <v>0</v>
      </c>
      <c r="R1009" s="3">
        <f t="shared" si="577"/>
        <v>0</v>
      </c>
      <c r="S1009" s="3">
        <v>0</v>
      </c>
      <c r="T1009" s="5">
        <v>0</v>
      </c>
      <c r="U1009" s="3">
        <v>0</v>
      </c>
      <c r="V1009" s="6">
        <f t="shared" si="582"/>
        <v>6599.9999999999991</v>
      </c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  <c r="BM1009" s="7"/>
      <c r="BN1009" s="7"/>
      <c r="BO1009" s="7"/>
      <c r="BP1009" s="7"/>
      <c r="BQ1009" s="7"/>
      <c r="BR1009" s="7"/>
      <c r="BS1009" s="7"/>
      <c r="BT1009" s="7"/>
      <c r="BU1009" s="7"/>
      <c r="BV1009" s="7"/>
      <c r="BW1009" s="7"/>
      <c r="BX1009" s="7"/>
      <c r="BY1009" s="7"/>
      <c r="BZ1009" s="7"/>
      <c r="CA1009" s="7"/>
      <c r="CB1009" s="7"/>
      <c r="CC1009" s="7"/>
      <c r="CD1009" s="7"/>
      <c r="CE1009" s="7"/>
      <c r="CF1009" s="7"/>
      <c r="CG1009" s="7"/>
      <c r="CH1009" s="7"/>
      <c r="CI1009" s="7"/>
      <c r="CJ1009" s="7"/>
      <c r="CK1009" s="7"/>
      <c r="CL1009" s="7"/>
      <c r="CM1009" s="7"/>
      <c r="CN1009" s="7"/>
      <c r="CO1009" s="7"/>
      <c r="CP1009" s="7"/>
      <c r="CQ1009" s="7"/>
      <c r="CR1009" s="7"/>
      <c r="CS1009" s="7"/>
      <c r="CT1009" s="7"/>
      <c r="CU1009" s="7"/>
      <c r="CV1009" s="7"/>
      <c r="CW1009" s="7"/>
      <c r="CX1009" s="7"/>
      <c r="CY1009" s="7"/>
      <c r="CZ1009" s="7"/>
      <c r="DA1009" s="7"/>
      <c r="DB1009" s="7"/>
      <c r="DC1009" s="7"/>
      <c r="DD1009" s="7"/>
      <c r="DE1009" s="7"/>
      <c r="DF1009" s="7"/>
      <c r="DG1009" s="7"/>
      <c r="DH1009" s="7"/>
      <c r="DI1009" s="7"/>
      <c r="DJ1009" s="7"/>
      <c r="DK1009" s="7"/>
      <c r="DL1009" s="7"/>
      <c r="DM1009" s="7"/>
      <c r="DN1009" s="7"/>
      <c r="DO1009" s="7"/>
      <c r="DP1009" s="7"/>
      <c r="DQ1009" s="7"/>
      <c r="DR1009" s="7"/>
      <c r="DS1009" s="7"/>
      <c r="DT1009" s="7"/>
      <c r="DU1009" s="7"/>
      <c r="DV1009" s="7"/>
      <c r="DW1009" s="7"/>
      <c r="DX1009" s="7"/>
      <c r="DY1009" s="7"/>
      <c r="DZ1009" s="7"/>
      <c r="EA1009" s="7"/>
      <c r="EB1009" s="7"/>
      <c r="EC1009" s="7"/>
      <c r="ED1009" s="7"/>
      <c r="EE1009" s="7"/>
      <c r="EF1009" s="7"/>
      <c r="EG1009" s="7"/>
      <c r="EH1009" s="7"/>
      <c r="EI1009" s="7"/>
      <c r="EJ1009" s="7"/>
      <c r="EK1009" s="7"/>
      <c r="EL1009" s="7"/>
      <c r="EM1009" s="7"/>
      <c r="EN1009" s="7"/>
      <c r="EO1009" s="7"/>
      <c r="EP1009" s="7"/>
      <c r="EQ1009" s="7"/>
      <c r="ER1009" s="7"/>
      <c r="ES1009" s="7"/>
      <c r="ET1009" s="7"/>
      <c r="EU1009" s="7"/>
      <c r="EV1009" s="7"/>
      <c r="EW1009" s="7"/>
      <c r="EX1009" s="7"/>
      <c r="EY1009" s="7"/>
      <c r="EZ1009" s="7"/>
      <c r="FA1009" s="7"/>
      <c r="FB1009" s="7"/>
      <c r="FC1009" s="7"/>
      <c r="FD1009" s="7"/>
      <c r="FE1009" s="7"/>
      <c r="FF1009" s="7"/>
      <c r="FG1009" s="7"/>
      <c r="FH1009" s="7"/>
      <c r="FI1009" s="7"/>
      <c r="FJ1009" s="7"/>
      <c r="FK1009" s="7"/>
      <c r="FL1009" s="7"/>
      <c r="FM1009" s="7"/>
      <c r="FN1009" s="7"/>
      <c r="FO1009" s="7"/>
      <c r="FP1009" s="7"/>
      <c r="FQ1009" s="7"/>
      <c r="FR1009" s="7"/>
      <c r="FS1009" s="7"/>
      <c r="FT1009" s="7"/>
      <c r="FU1009" s="7"/>
      <c r="FV1009" s="7"/>
      <c r="FW1009" s="7"/>
      <c r="FX1009" s="7"/>
      <c r="FY1009" s="7"/>
      <c r="FZ1009" s="7"/>
      <c r="GA1009" s="7"/>
      <c r="GB1009" s="7"/>
      <c r="GC1009" s="7"/>
      <c r="GD1009" s="7"/>
      <c r="GE1009" s="7"/>
      <c r="GF1009" s="7"/>
      <c r="GG1009" s="7"/>
      <c r="GH1009" s="7"/>
      <c r="GI1009" s="7"/>
      <c r="GJ1009" s="7"/>
      <c r="GK1009" s="7"/>
      <c r="GL1009" s="7"/>
      <c r="GM1009" s="7"/>
      <c r="GN1009" s="7"/>
      <c r="GO1009" s="7"/>
      <c r="GP1009" s="7"/>
      <c r="GQ1009" s="7"/>
      <c r="GR1009" s="7"/>
      <c r="GS1009" s="7"/>
      <c r="GT1009" s="7"/>
      <c r="GU1009" s="7"/>
      <c r="GV1009" s="7"/>
      <c r="GW1009" s="7"/>
      <c r="GX1009" s="7"/>
      <c r="GY1009" s="7"/>
      <c r="GZ1009" s="7"/>
      <c r="HA1009" s="7"/>
      <c r="HB1009" s="7"/>
      <c r="HC1009" s="7"/>
      <c r="HD1009" s="7"/>
      <c r="HE1009" s="7"/>
      <c r="HF1009" s="7"/>
      <c r="HG1009" s="7"/>
      <c r="HH1009" s="7"/>
      <c r="HI1009" s="7"/>
      <c r="HJ1009" s="7"/>
      <c r="HK1009" s="7"/>
      <c r="HL1009" s="7"/>
      <c r="HM1009" s="7"/>
      <c r="HN1009" s="7"/>
      <c r="HO1009" s="7"/>
      <c r="HP1009" s="7"/>
      <c r="HQ1009" s="7"/>
      <c r="HR1009" s="7"/>
      <c r="HS1009" s="7"/>
      <c r="HT1009" s="7"/>
      <c r="HU1009" s="7"/>
      <c r="HV1009" s="7"/>
      <c r="HW1009" s="7"/>
      <c r="HX1009" s="7"/>
      <c r="HY1009" s="7"/>
      <c r="HZ1009" s="7"/>
      <c r="IA1009" s="7"/>
      <c r="IB1009" s="7"/>
      <c r="IC1009" s="7"/>
      <c r="ID1009" s="7"/>
      <c r="IE1009" s="7"/>
      <c r="IF1009" s="7"/>
      <c r="IG1009" s="7"/>
      <c r="IH1009" s="7"/>
      <c r="II1009" s="7"/>
      <c r="IJ1009" s="7"/>
      <c r="IK1009" s="7"/>
      <c r="IL1009" s="7"/>
      <c r="IM1009" s="7"/>
      <c r="IN1009" s="7"/>
      <c r="IO1009" s="7"/>
      <c r="IP1009" s="7"/>
      <c r="IQ1009" s="7"/>
      <c r="IR1009" s="7"/>
      <c r="IS1009" s="7"/>
      <c r="IT1009" s="7"/>
      <c r="IU1009" s="7"/>
      <c r="IV1009" s="7"/>
      <c r="IW1009" s="7"/>
      <c r="IX1009" s="7"/>
    </row>
    <row r="1010" spans="1:258" s="17" customFormat="1" ht="21.95" customHeight="1" x14ac:dyDescent="0.25">
      <c r="A1010" s="37" t="s">
        <v>1111</v>
      </c>
      <c r="B1010" s="8" t="s">
        <v>793</v>
      </c>
      <c r="C1010" s="2">
        <f t="shared" si="584"/>
        <v>3417600</v>
      </c>
      <c r="D1010" s="3">
        <f t="shared" si="583"/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4">
        <v>0</v>
      </c>
      <c r="L1010" s="3">
        <v>0</v>
      </c>
      <c r="M1010" s="5">
        <v>768</v>
      </c>
      <c r="N1010" s="3">
        <f>M1010*4450</f>
        <v>3417600</v>
      </c>
      <c r="O1010" s="3">
        <v>0</v>
      </c>
      <c r="P1010" s="3">
        <v>0</v>
      </c>
      <c r="Q1010" s="3">
        <v>0</v>
      </c>
      <c r="R1010" s="3">
        <f t="shared" si="577"/>
        <v>0</v>
      </c>
      <c r="S1010" s="3">
        <v>0</v>
      </c>
      <c r="T1010" s="5">
        <v>0</v>
      </c>
      <c r="U1010" s="3">
        <v>0</v>
      </c>
      <c r="V1010" s="6">
        <f t="shared" si="582"/>
        <v>4450</v>
      </c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  <c r="BF1010" s="7"/>
      <c r="BG1010" s="7"/>
      <c r="BH1010" s="7"/>
      <c r="BI1010" s="7"/>
      <c r="BJ1010" s="7"/>
      <c r="BK1010" s="7"/>
      <c r="BL1010" s="7"/>
      <c r="BM1010" s="7"/>
      <c r="BN1010" s="7"/>
      <c r="BO1010" s="7"/>
      <c r="BP1010" s="7"/>
      <c r="BQ1010" s="7"/>
      <c r="BR1010" s="7"/>
      <c r="BS1010" s="7"/>
      <c r="BT1010" s="7"/>
      <c r="BU1010" s="7"/>
      <c r="BV1010" s="7"/>
      <c r="BW1010" s="7"/>
      <c r="BX1010" s="7"/>
      <c r="BY1010" s="7"/>
      <c r="BZ1010" s="7"/>
      <c r="CA1010" s="7"/>
      <c r="CB1010" s="7"/>
      <c r="CC1010" s="7"/>
      <c r="CD1010" s="7"/>
      <c r="CE1010" s="7"/>
      <c r="CF1010" s="7"/>
      <c r="CG1010" s="7"/>
      <c r="CH1010" s="7"/>
      <c r="CI1010" s="7"/>
      <c r="CJ1010" s="7"/>
      <c r="CK1010" s="7"/>
      <c r="CL1010" s="7"/>
      <c r="CM1010" s="7"/>
      <c r="CN1010" s="7"/>
      <c r="CO1010" s="7"/>
      <c r="CP1010" s="7"/>
      <c r="CQ1010" s="7"/>
      <c r="CR1010" s="7"/>
      <c r="CS1010" s="7"/>
      <c r="CT1010" s="7"/>
      <c r="CU1010" s="7"/>
      <c r="CV1010" s="7"/>
      <c r="CW1010" s="7"/>
      <c r="CX1010" s="7"/>
      <c r="CY1010" s="7"/>
      <c r="CZ1010" s="7"/>
      <c r="DA1010" s="7"/>
      <c r="DB1010" s="7"/>
      <c r="DC1010" s="7"/>
      <c r="DD1010" s="7"/>
      <c r="DE1010" s="7"/>
      <c r="DF1010" s="7"/>
      <c r="DG1010" s="7"/>
      <c r="DH1010" s="7"/>
      <c r="DI1010" s="7"/>
      <c r="DJ1010" s="7"/>
      <c r="DK1010" s="7"/>
      <c r="DL1010" s="7"/>
      <c r="DM1010" s="7"/>
      <c r="DN1010" s="7"/>
      <c r="DO1010" s="7"/>
      <c r="DP1010" s="7"/>
      <c r="DQ1010" s="7"/>
      <c r="DR1010" s="7"/>
      <c r="DS1010" s="7"/>
      <c r="DT1010" s="7"/>
      <c r="DU1010" s="7"/>
      <c r="DV1010" s="7"/>
      <c r="DW1010" s="7"/>
      <c r="DX1010" s="7"/>
      <c r="DY1010" s="7"/>
      <c r="DZ1010" s="7"/>
      <c r="EA1010" s="7"/>
      <c r="EB1010" s="7"/>
      <c r="EC1010" s="7"/>
      <c r="ED1010" s="7"/>
      <c r="EE1010" s="7"/>
      <c r="EF1010" s="7"/>
      <c r="EG1010" s="7"/>
      <c r="EH1010" s="7"/>
      <c r="EI1010" s="7"/>
      <c r="EJ1010" s="7"/>
      <c r="EK1010" s="7"/>
      <c r="EL1010" s="7"/>
      <c r="EM1010" s="7"/>
      <c r="EN1010" s="7"/>
      <c r="EO1010" s="7"/>
      <c r="EP1010" s="7"/>
      <c r="EQ1010" s="7"/>
      <c r="ER1010" s="7"/>
      <c r="ES1010" s="7"/>
      <c r="ET1010" s="7"/>
      <c r="EU1010" s="7"/>
      <c r="EV1010" s="7"/>
      <c r="EW1010" s="7"/>
      <c r="EX1010" s="7"/>
      <c r="EY1010" s="7"/>
      <c r="EZ1010" s="7"/>
      <c r="FA1010" s="7"/>
      <c r="FB1010" s="7"/>
      <c r="FC1010" s="7"/>
      <c r="FD1010" s="7"/>
      <c r="FE1010" s="7"/>
      <c r="FF1010" s="7"/>
      <c r="FG1010" s="7"/>
      <c r="FH1010" s="7"/>
      <c r="FI1010" s="7"/>
      <c r="FJ1010" s="7"/>
      <c r="FK1010" s="7"/>
      <c r="FL1010" s="7"/>
      <c r="FM1010" s="7"/>
      <c r="FN1010" s="7"/>
      <c r="FO1010" s="7"/>
      <c r="FP1010" s="7"/>
      <c r="FQ1010" s="7"/>
      <c r="FR1010" s="7"/>
      <c r="FS1010" s="7"/>
      <c r="FT1010" s="7"/>
      <c r="FU1010" s="7"/>
      <c r="FV1010" s="7"/>
      <c r="FW1010" s="7"/>
      <c r="FX1010" s="7"/>
      <c r="FY1010" s="7"/>
      <c r="FZ1010" s="7"/>
      <c r="GA1010" s="7"/>
      <c r="GB1010" s="7"/>
      <c r="GC1010" s="7"/>
      <c r="GD1010" s="7"/>
      <c r="GE1010" s="7"/>
      <c r="GF1010" s="7"/>
      <c r="GG1010" s="7"/>
      <c r="GH1010" s="7"/>
      <c r="GI1010" s="7"/>
      <c r="GJ1010" s="7"/>
      <c r="GK1010" s="7"/>
      <c r="GL1010" s="7"/>
      <c r="GM1010" s="7"/>
      <c r="GN1010" s="7"/>
      <c r="GO1010" s="7"/>
      <c r="GP1010" s="7"/>
      <c r="GQ1010" s="7"/>
      <c r="GR1010" s="7"/>
      <c r="GS1010" s="7"/>
      <c r="GT1010" s="7"/>
      <c r="GU1010" s="7"/>
      <c r="GV1010" s="7"/>
      <c r="GW1010" s="7"/>
      <c r="GX1010" s="7"/>
      <c r="GY1010" s="7"/>
      <c r="GZ1010" s="7"/>
      <c r="HA1010" s="7"/>
      <c r="HB1010" s="7"/>
      <c r="HC1010" s="7"/>
      <c r="HD1010" s="7"/>
      <c r="HE1010" s="7"/>
      <c r="HF1010" s="7"/>
      <c r="HG1010" s="7"/>
      <c r="HH1010" s="7"/>
      <c r="HI1010" s="7"/>
      <c r="HJ1010" s="7"/>
      <c r="HK1010" s="7"/>
      <c r="HL1010" s="7"/>
      <c r="HM1010" s="7"/>
      <c r="HN1010" s="7"/>
      <c r="HO1010" s="7"/>
      <c r="HP1010" s="7"/>
      <c r="HQ1010" s="7"/>
      <c r="HR1010" s="7"/>
      <c r="HS1010" s="7"/>
      <c r="HT1010" s="7"/>
      <c r="HU1010" s="7"/>
      <c r="HV1010" s="7"/>
      <c r="HW1010" s="7"/>
      <c r="HX1010" s="7"/>
      <c r="HY1010" s="7"/>
      <c r="HZ1010" s="7"/>
      <c r="IA1010" s="7"/>
      <c r="IB1010" s="7"/>
      <c r="IC1010" s="7"/>
      <c r="ID1010" s="7"/>
      <c r="IE1010" s="7"/>
      <c r="IF1010" s="7"/>
      <c r="IG1010" s="7"/>
      <c r="IH1010" s="7"/>
      <c r="II1010" s="7"/>
      <c r="IJ1010" s="7"/>
      <c r="IK1010" s="7"/>
      <c r="IL1010" s="7"/>
      <c r="IM1010" s="7"/>
      <c r="IN1010" s="7"/>
      <c r="IO1010" s="7"/>
      <c r="IP1010" s="7"/>
      <c r="IQ1010" s="7"/>
      <c r="IR1010" s="7"/>
      <c r="IS1010" s="7"/>
      <c r="IT1010" s="7"/>
      <c r="IU1010" s="7"/>
      <c r="IV1010" s="7"/>
      <c r="IW1010" s="7"/>
      <c r="IX1010" s="7"/>
    </row>
    <row r="1011" spans="1:258" ht="21.95" customHeight="1" x14ac:dyDescent="0.25">
      <c r="A1011" s="37" t="s">
        <v>1112</v>
      </c>
      <c r="B1011" s="23" t="s">
        <v>476</v>
      </c>
      <c r="C1011" s="2">
        <f>D1011+L1011+N1011+P1011+R1011+S1011+T1011+U1011</f>
        <v>7477470</v>
      </c>
      <c r="D1011" s="3">
        <f>SUM(E1011:J1011)</f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4">
        <v>0</v>
      </c>
      <c r="L1011" s="3">
        <v>0</v>
      </c>
      <c r="M1011" s="3">
        <v>1132.95</v>
      </c>
      <c r="N1011" s="3">
        <f t="shared" ref="N1011:N1019" si="587">M1011*6600</f>
        <v>7477470</v>
      </c>
      <c r="O1011" s="3">
        <v>0</v>
      </c>
      <c r="P1011" s="3">
        <v>0</v>
      </c>
      <c r="Q1011" s="3">
        <v>0</v>
      </c>
      <c r="R1011" s="3">
        <f t="shared" si="577"/>
        <v>0</v>
      </c>
      <c r="S1011" s="3">
        <v>0</v>
      </c>
      <c r="T1011" s="3">
        <v>0</v>
      </c>
      <c r="U1011" s="3">
        <v>0</v>
      </c>
      <c r="V1011" s="6">
        <f>N1011/M1011</f>
        <v>6600</v>
      </c>
    </row>
    <row r="1012" spans="1:258" ht="21.95" customHeight="1" x14ac:dyDescent="0.25">
      <c r="A1012" s="37" t="s">
        <v>1113</v>
      </c>
      <c r="B1012" s="23" t="s">
        <v>794</v>
      </c>
      <c r="C1012" s="2">
        <f t="shared" si="584"/>
        <v>3765960</v>
      </c>
      <c r="D1012" s="3">
        <f t="shared" si="583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5">
        <v>570.6</v>
      </c>
      <c r="N1012" s="3">
        <f t="shared" si="587"/>
        <v>3765960</v>
      </c>
      <c r="O1012" s="3">
        <v>0</v>
      </c>
      <c r="P1012" s="3">
        <v>0</v>
      </c>
      <c r="Q1012" s="3">
        <v>0</v>
      </c>
      <c r="R1012" s="3">
        <f t="shared" si="577"/>
        <v>0</v>
      </c>
      <c r="S1012" s="3">
        <v>0</v>
      </c>
      <c r="T1012" s="5">
        <v>0</v>
      </c>
      <c r="U1012" s="3">
        <v>0</v>
      </c>
      <c r="V1012" s="6">
        <f t="shared" si="582"/>
        <v>6600</v>
      </c>
    </row>
    <row r="1013" spans="1:258" ht="21.95" customHeight="1" x14ac:dyDescent="0.25">
      <c r="A1013" s="37" t="s">
        <v>1114</v>
      </c>
      <c r="B1013" s="23" t="s">
        <v>795</v>
      </c>
      <c r="C1013" s="2">
        <f t="shared" si="584"/>
        <v>3740879.9999999995</v>
      </c>
      <c r="D1013" s="3">
        <f t="shared" si="583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4">
        <v>0</v>
      </c>
      <c r="L1013" s="3">
        <v>0</v>
      </c>
      <c r="M1013" s="5">
        <v>566.79999999999995</v>
      </c>
      <c r="N1013" s="3">
        <f t="shared" si="587"/>
        <v>3740879.9999999995</v>
      </c>
      <c r="O1013" s="3">
        <v>0</v>
      </c>
      <c r="P1013" s="3">
        <v>0</v>
      </c>
      <c r="Q1013" s="3">
        <v>0</v>
      </c>
      <c r="R1013" s="3">
        <f t="shared" si="577"/>
        <v>0</v>
      </c>
      <c r="S1013" s="3">
        <v>0</v>
      </c>
      <c r="T1013" s="5">
        <v>0</v>
      </c>
      <c r="U1013" s="3">
        <v>0</v>
      </c>
      <c r="V1013" s="6">
        <f t="shared" si="582"/>
        <v>6600</v>
      </c>
    </row>
    <row r="1014" spans="1:258" ht="21.95" customHeight="1" x14ac:dyDescent="0.25">
      <c r="A1014" s="37" t="s">
        <v>1115</v>
      </c>
      <c r="B1014" s="23" t="s">
        <v>796</v>
      </c>
      <c r="C1014" s="2">
        <f t="shared" si="584"/>
        <v>3740879.9999999995</v>
      </c>
      <c r="D1014" s="3">
        <f t="shared" si="583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5">
        <v>566.79999999999995</v>
      </c>
      <c r="N1014" s="3">
        <f t="shared" si="587"/>
        <v>3740879.9999999995</v>
      </c>
      <c r="O1014" s="3">
        <v>0</v>
      </c>
      <c r="P1014" s="3">
        <v>0</v>
      </c>
      <c r="Q1014" s="3">
        <v>0</v>
      </c>
      <c r="R1014" s="3">
        <f t="shared" si="577"/>
        <v>0</v>
      </c>
      <c r="S1014" s="3">
        <v>0</v>
      </c>
      <c r="T1014" s="5">
        <v>0</v>
      </c>
      <c r="U1014" s="3">
        <v>0</v>
      </c>
      <c r="V1014" s="6">
        <f t="shared" si="582"/>
        <v>6600</v>
      </c>
    </row>
    <row r="1015" spans="1:258" s="30" customFormat="1" ht="21.95" customHeight="1" x14ac:dyDescent="0.25">
      <c r="A1015" s="37" t="s">
        <v>1116</v>
      </c>
      <c r="B1015" s="8" t="s">
        <v>717</v>
      </c>
      <c r="C1015" s="2">
        <f t="shared" si="584"/>
        <v>3742860</v>
      </c>
      <c r="D1015" s="3">
        <f t="shared" si="583"/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4">
        <v>0</v>
      </c>
      <c r="L1015" s="3">
        <v>0</v>
      </c>
      <c r="M1015" s="3">
        <v>567.1</v>
      </c>
      <c r="N1015" s="3">
        <f t="shared" si="587"/>
        <v>3742860</v>
      </c>
      <c r="O1015" s="3">
        <v>0</v>
      </c>
      <c r="P1015" s="3">
        <v>0</v>
      </c>
      <c r="Q1015" s="3">
        <v>0</v>
      </c>
      <c r="R1015" s="3">
        <f t="shared" si="577"/>
        <v>0</v>
      </c>
      <c r="S1015" s="3">
        <v>0</v>
      </c>
      <c r="T1015" s="5">
        <v>0</v>
      </c>
      <c r="U1015" s="3">
        <v>0</v>
      </c>
      <c r="V1015" s="6">
        <f t="shared" si="582"/>
        <v>6600</v>
      </c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  <c r="BM1015" s="7"/>
      <c r="BN1015" s="7"/>
      <c r="BO1015" s="7"/>
      <c r="BP1015" s="7"/>
      <c r="BQ1015" s="7"/>
      <c r="BR1015" s="7"/>
      <c r="BS1015" s="7"/>
      <c r="BT1015" s="7"/>
      <c r="BU1015" s="7"/>
      <c r="BV1015" s="7"/>
      <c r="BW1015" s="7"/>
      <c r="BX1015" s="7"/>
      <c r="BY1015" s="7"/>
      <c r="BZ1015" s="7"/>
      <c r="CA1015" s="7"/>
      <c r="CB1015" s="7"/>
      <c r="CC1015" s="7"/>
      <c r="CD1015" s="7"/>
      <c r="CE1015" s="7"/>
      <c r="CF1015" s="7"/>
      <c r="CG1015" s="7"/>
      <c r="CH1015" s="7"/>
      <c r="CI1015" s="7"/>
      <c r="CJ1015" s="7"/>
      <c r="CK1015" s="7"/>
      <c r="CL1015" s="7"/>
      <c r="CM1015" s="7"/>
      <c r="CN1015" s="7"/>
      <c r="CO1015" s="7"/>
      <c r="CP1015" s="7"/>
      <c r="CQ1015" s="7"/>
      <c r="CR1015" s="7"/>
      <c r="CS1015" s="7"/>
      <c r="CT1015" s="7"/>
      <c r="CU1015" s="7"/>
      <c r="CV1015" s="7"/>
      <c r="CW1015" s="7"/>
      <c r="CX1015" s="7"/>
      <c r="CY1015" s="7"/>
      <c r="CZ1015" s="7"/>
      <c r="DA1015" s="7"/>
      <c r="DB1015" s="7"/>
      <c r="DC1015" s="7"/>
      <c r="DD1015" s="7"/>
      <c r="DE1015" s="7"/>
      <c r="DF1015" s="7"/>
      <c r="DG1015" s="7"/>
      <c r="DH1015" s="7"/>
      <c r="DI1015" s="7"/>
      <c r="DJ1015" s="7"/>
      <c r="DK1015" s="7"/>
      <c r="DL1015" s="7"/>
      <c r="DM1015" s="7"/>
      <c r="DN1015" s="7"/>
      <c r="DO1015" s="7"/>
      <c r="DP1015" s="7"/>
      <c r="DQ1015" s="7"/>
      <c r="DR1015" s="7"/>
      <c r="DS1015" s="7"/>
      <c r="DT1015" s="7"/>
      <c r="DU1015" s="7"/>
      <c r="DV1015" s="7"/>
      <c r="DW1015" s="7"/>
      <c r="DX1015" s="7"/>
      <c r="DY1015" s="7"/>
      <c r="DZ1015" s="7"/>
      <c r="EA1015" s="7"/>
      <c r="EB1015" s="7"/>
      <c r="EC1015" s="7"/>
      <c r="ED1015" s="7"/>
      <c r="EE1015" s="7"/>
      <c r="EF1015" s="7"/>
      <c r="EG1015" s="7"/>
      <c r="EH1015" s="7"/>
      <c r="EI1015" s="7"/>
      <c r="EJ1015" s="7"/>
      <c r="EK1015" s="7"/>
      <c r="EL1015" s="7"/>
      <c r="EM1015" s="7"/>
      <c r="EN1015" s="7"/>
      <c r="EO1015" s="7"/>
      <c r="EP1015" s="7"/>
      <c r="EQ1015" s="7"/>
      <c r="ER1015" s="7"/>
      <c r="ES1015" s="7"/>
      <c r="ET1015" s="7"/>
      <c r="EU1015" s="7"/>
      <c r="EV1015" s="7"/>
      <c r="EW1015" s="7"/>
      <c r="EX1015" s="7"/>
      <c r="EY1015" s="7"/>
      <c r="EZ1015" s="7"/>
      <c r="FA1015" s="7"/>
      <c r="FB1015" s="7"/>
      <c r="FC1015" s="7"/>
      <c r="FD1015" s="7"/>
      <c r="FE1015" s="7"/>
      <c r="FF1015" s="7"/>
      <c r="FG1015" s="7"/>
      <c r="FH1015" s="7"/>
      <c r="FI1015" s="7"/>
      <c r="FJ1015" s="7"/>
      <c r="FK1015" s="7"/>
      <c r="FL1015" s="7"/>
      <c r="FM1015" s="7"/>
      <c r="FN1015" s="7"/>
      <c r="FO1015" s="7"/>
      <c r="FP1015" s="7"/>
      <c r="FQ1015" s="7"/>
      <c r="FR1015" s="7"/>
      <c r="FS1015" s="7"/>
      <c r="FT1015" s="7"/>
      <c r="FU1015" s="7"/>
      <c r="FV1015" s="7"/>
      <c r="FW1015" s="7"/>
      <c r="FX1015" s="7"/>
      <c r="FY1015" s="7"/>
      <c r="FZ1015" s="7"/>
      <c r="GA1015" s="7"/>
      <c r="GB1015" s="7"/>
      <c r="GC1015" s="7"/>
      <c r="GD1015" s="7"/>
      <c r="GE1015" s="7"/>
      <c r="GF1015" s="7"/>
      <c r="GG1015" s="7"/>
      <c r="GH1015" s="7"/>
      <c r="GI1015" s="7"/>
      <c r="GJ1015" s="7"/>
      <c r="GK1015" s="7"/>
      <c r="GL1015" s="7"/>
      <c r="GM1015" s="7"/>
      <c r="GN1015" s="7"/>
      <c r="GO1015" s="7"/>
      <c r="GP1015" s="7"/>
      <c r="GQ1015" s="7"/>
      <c r="GR1015" s="7"/>
      <c r="GS1015" s="7"/>
      <c r="GT1015" s="7"/>
      <c r="GU1015" s="7"/>
      <c r="GV1015" s="7"/>
      <c r="GW1015" s="7"/>
      <c r="GX1015" s="7"/>
      <c r="GY1015" s="7"/>
      <c r="GZ1015" s="7"/>
      <c r="HA1015" s="7"/>
      <c r="HB1015" s="7"/>
      <c r="HC1015" s="7"/>
      <c r="HD1015" s="7"/>
      <c r="HE1015" s="7"/>
      <c r="HF1015" s="7"/>
      <c r="HG1015" s="7"/>
      <c r="HH1015" s="7"/>
      <c r="HI1015" s="7"/>
      <c r="HJ1015" s="7"/>
      <c r="HK1015" s="7"/>
      <c r="HL1015" s="7"/>
      <c r="HM1015" s="7"/>
      <c r="HN1015" s="7"/>
      <c r="HO1015" s="7"/>
      <c r="HP1015" s="7"/>
      <c r="HQ1015" s="7"/>
      <c r="HR1015" s="7"/>
      <c r="HS1015" s="7"/>
      <c r="HT1015" s="7"/>
      <c r="HU1015" s="7"/>
      <c r="HV1015" s="7"/>
      <c r="HW1015" s="7"/>
      <c r="HX1015" s="7"/>
      <c r="HY1015" s="7"/>
      <c r="HZ1015" s="7"/>
      <c r="IA1015" s="7"/>
      <c r="IB1015" s="7"/>
      <c r="IC1015" s="7"/>
      <c r="ID1015" s="7"/>
      <c r="IE1015" s="7"/>
      <c r="IF1015" s="7"/>
      <c r="IG1015" s="7"/>
      <c r="IH1015" s="7"/>
      <c r="II1015" s="7"/>
      <c r="IJ1015" s="7"/>
      <c r="IK1015" s="7"/>
      <c r="IL1015" s="7"/>
      <c r="IM1015" s="7"/>
      <c r="IN1015" s="7"/>
      <c r="IO1015" s="7"/>
      <c r="IP1015" s="7"/>
      <c r="IQ1015" s="7"/>
      <c r="IR1015" s="7"/>
      <c r="IS1015" s="7"/>
      <c r="IT1015" s="7"/>
      <c r="IU1015" s="7"/>
      <c r="IV1015" s="7"/>
      <c r="IW1015" s="7"/>
      <c r="IX1015" s="7"/>
    </row>
    <row r="1016" spans="1:258" s="30" customFormat="1" ht="21.95" customHeight="1" x14ac:dyDescent="0.25">
      <c r="A1016" s="37" t="s">
        <v>1117</v>
      </c>
      <c r="B1016" s="8" t="s">
        <v>718</v>
      </c>
      <c r="C1016" s="2">
        <f t="shared" si="584"/>
        <v>3433979.9999999995</v>
      </c>
      <c r="D1016" s="3">
        <f t="shared" si="583"/>
        <v>0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4">
        <v>0</v>
      </c>
      <c r="L1016" s="3">
        <v>0</v>
      </c>
      <c r="M1016" s="5">
        <v>520.29999999999995</v>
      </c>
      <c r="N1016" s="3">
        <f t="shared" si="587"/>
        <v>3433979.9999999995</v>
      </c>
      <c r="O1016" s="3">
        <v>0</v>
      </c>
      <c r="P1016" s="3">
        <v>0</v>
      </c>
      <c r="Q1016" s="3">
        <v>0</v>
      </c>
      <c r="R1016" s="3">
        <f t="shared" si="577"/>
        <v>0</v>
      </c>
      <c r="S1016" s="3">
        <v>0</v>
      </c>
      <c r="T1016" s="5">
        <v>0</v>
      </c>
      <c r="U1016" s="3">
        <v>0</v>
      </c>
      <c r="V1016" s="6">
        <f t="shared" si="582"/>
        <v>6600</v>
      </c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  <c r="BR1016" s="7"/>
      <c r="BS1016" s="7"/>
      <c r="BT1016" s="7"/>
      <c r="BU1016" s="7"/>
      <c r="BV1016" s="7"/>
      <c r="BW1016" s="7"/>
      <c r="BX1016" s="7"/>
      <c r="BY1016" s="7"/>
      <c r="BZ1016" s="7"/>
      <c r="CA1016" s="7"/>
      <c r="CB1016" s="7"/>
      <c r="CC1016" s="7"/>
      <c r="CD1016" s="7"/>
      <c r="CE1016" s="7"/>
      <c r="CF1016" s="7"/>
      <c r="CG1016" s="7"/>
      <c r="CH1016" s="7"/>
      <c r="CI1016" s="7"/>
      <c r="CJ1016" s="7"/>
      <c r="CK1016" s="7"/>
      <c r="CL1016" s="7"/>
      <c r="CM1016" s="7"/>
      <c r="CN1016" s="7"/>
      <c r="CO1016" s="7"/>
      <c r="CP1016" s="7"/>
      <c r="CQ1016" s="7"/>
      <c r="CR1016" s="7"/>
      <c r="CS1016" s="7"/>
      <c r="CT1016" s="7"/>
      <c r="CU1016" s="7"/>
      <c r="CV1016" s="7"/>
      <c r="CW1016" s="7"/>
      <c r="CX1016" s="7"/>
      <c r="CY1016" s="7"/>
      <c r="CZ1016" s="7"/>
      <c r="DA1016" s="7"/>
      <c r="DB1016" s="7"/>
      <c r="DC1016" s="7"/>
      <c r="DD1016" s="7"/>
      <c r="DE1016" s="7"/>
      <c r="DF1016" s="7"/>
      <c r="DG1016" s="7"/>
      <c r="DH1016" s="7"/>
      <c r="DI1016" s="7"/>
      <c r="DJ1016" s="7"/>
      <c r="DK1016" s="7"/>
      <c r="DL1016" s="7"/>
      <c r="DM1016" s="7"/>
      <c r="DN1016" s="7"/>
      <c r="DO1016" s="7"/>
      <c r="DP1016" s="7"/>
      <c r="DQ1016" s="7"/>
      <c r="DR1016" s="7"/>
      <c r="DS1016" s="7"/>
      <c r="DT1016" s="7"/>
      <c r="DU1016" s="7"/>
      <c r="DV1016" s="7"/>
      <c r="DW1016" s="7"/>
      <c r="DX1016" s="7"/>
      <c r="DY1016" s="7"/>
      <c r="DZ1016" s="7"/>
      <c r="EA1016" s="7"/>
      <c r="EB1016" s="7"/>
      <c r="EC1016" s="7"/>
      <c r="ED1016" s="7"/>
      <c r="EE1016" s="7"/>
      <c r="EF1016" s="7"/>
      <c r="EG1016" s="7"/>
      <c r="EH1016" s="7"/>
      <c r="EI1016" s="7"/>
      <c r="EJ1016" s="7"/>
      <c r="EK1016" s="7"/>
      <c r="EL1016" s="7"/>
      <c r="EM1016" s="7"/>
      <c r="EN1016" s="7"/>
      <c r="EO1016" s="7"/>
      <c r="EP1016" s="7"/>
      <c r="EQ1016" s="7"/>
      <c r="ER1016" s="7"/>
      <c r="ES1016" s="7"/>
      <c r="ET1016" s="7"/>
      <c r="EU1016" s="7"/>
      <c r="EV1016" s="7"/>
      <c r="EW1016" s="7"/>
      <c r="EX1016" s="7"/>
      <c r="EY1016" s="7"/>
      <c r="EZ1016" s="7"/>
      <c r="FA1016" s="7"/>
      <c r="FB1016" s="7"/>
      <c r="FC1016" s="7"/>
      <c r="FD1016" s="7"/>
      <c r="FE1016" s="7"/>
      <c r="FF1016" s="7"/>
      <c r="FG1016" s="7"/>
      <c r="FH1016" s="7"/>
      <c r="FI1016" s="7"/>
      <c r="FJ1016" s="7"/>
      <c r="FK1016" s="7"/>
      <c r="FL1016" s="7"/>
      <c r="FM1016" s="7"/>
      <c r="FN1016" s="7"/>
      <c r="FO1016" s="7"/>
      <c r="FP1016" s="7"/>
      <c r="FQ1016" s="7"/>
      <c r="FR1016" s="7"/>
      <c r="FS1016" s="7"/>
      <c r="FT1016" s="7"/>
      <c r="FU1016" s="7"/>
      <c r="FV1016" s="7"/>
      <c r="FW1016" s="7"/>
      <c r="FX1016" s="7"/>
      <c r="FY1016" s="7"/>
      <c r="FZ1016" s="7"/>
      <c r="GA1016" s="7"/>
      <c r="GB1016" s="7"/>
      <c r="GC1016" s="7"/>
      <c r="GD1016" s="7"/>
      <c r="GE1016" s="7"/>
      <c r="GF1016" s="7"/>
      <c r="GG1016" s="7"/>
      <c r="GH1016" s="7"/>
      <c r="GI1016" s="7"/>
      <c r="GJ1016" s="7"/>
      <c r="GK1016" s="7"/>
      <c r="GL1016" s="7"/>
      <c r="GM1016" s="7"/>
      <c r="GN1016" s="7"/>
      <c r="GO1016" s="7"/>
      <c r="GP1016" s="7"/>
      <c r="GQ1016" s="7"/>
      <c r="GR1016" s="7"/>
      <c r="GS1016" s="7"/>
      <c r="GT1016" s="7"/>
      <c r="GU1016" s="7"/>
      <c r="GV1016" s="7"/>
      <c r="GW1016" s="7"/>
      <c r="GX1016" s="7"/>
      <c r="GY1016" s="7"/>
      <c r="GZ1016" s="7"/>
      <c r="HA1016" s="7"/>
      <c r="HB1016" s="7"/>
      <c r="HC1016" s="7"/>
      <c r="HD1016" s="7"/>
      <c r="HE1016" s="7"/>
      <c r="HF1016" s="7"/>
      <c r="HG1016" s="7"/>
      <c r="HH1016" s="7"/>
      <c r="HI1016" s="7"/>
      <c r="HJ1016" s="7"/>
      <c r="HK1016" s="7"/>
      <c r="HL1016" s="7"/>
      <c r="HM1016" s="7"/>
      <c r="HN1016" s="7"/>
      <c r="HO1016" s="7"/>
      <c r="HP1016" s="7"/>
      <c r="HQ1016" s="7"/>
      <c r="HR1016" s="7"/>
      <c r="HS1016" s="7"/>
      <c r="HT1016" s="7"/>
      <c r="HU1016" s="7"/>
      <c r="HV1016" s="7"/>
      <c r="HW1016" s="7"/>
      <c r="HX1016" s="7"/>
      <c r="HY1016" s="7"/>
      <c r="HZ1016" s="7"/>
      <c r="IA1016" s="7"/>
      <c r="IB1016" s="7"/>
      <c r="IC1016" s="7"/>
      <c r="ID1016" s="7"/>
      <c r="IE1016" s="7"/>
      <c r="IF1016" s="7"/>
      <c r="IG1016" s="7"/>
      <c r="IH1016" s="7"/>
      <c r="II1016" s="7"/>
      <c r="IJ1016" s="7"/>
      <c r="IK1016" s="7"/>
      <c r="IL1016" s="7"/>
      <c r="IM1016" s="7"/>
      <c r="IN1016" s="7"/>
      <c r="IO1016" s="7"/>
      <c r="IP1016" s="7"/>
      <c r="IQ1016" s="7"/>
      <c r="IR1016" s="7"/>
      <c r="IS1016" s="7"/>
      <c r="IT1016" s="7"/>
      <c r="IU1016" s="7"/>
      <c r="IV1016" s="7"/>
      <c r="IW1016" s="7"/>
      <c r="IX1016" s="7"/>
    </row>
    <row r="1017" spans="1:258" s="30" customFormat="1" ht="21.95" customHeight="1" x14ac:dyDescent="0.25">
      <c r="A1017" s="37" t="s">
        <v>1118</v>
      </c>
      <c r="B1017" s="8" t="s">
        <v>719</v>
      </c>
      <c r="C1017" s="2">
        <f t="shared" si="584"/>
        <v>3484500</v>
      </c>
      <c r="D1017" s="3">
        <f t="shared" si="583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4">
        <v>0</v>
      </c>
      <c r="L1017" s="3">
        <v>0</v>
      </c>
      <c r="M1017" s="3">
        <v>482.5</v>
      </c>
      <c r="N1017" s="3">
        <f t="shared" si="587"/>
        <v>3184500</v>
      </c>
      <c r="O1017" s="3">
        <v>0</v>
      </c>
      <c r="P1017" s="3">
        <v>0</v>
      </c>
      <c r="Q1017" s="3">
        <v>0</v>
      </c>
      <c r="R1017" s="3">
        <f t="shared" si="577"/>
        <v>0</v>
      </c>
      <c r="S1017" s="3">
        <v>0</v>
      </c>
      <c r="T1017" s="5">
        <v>0</v>
      </c>
      <c r="U1017" s="3">
        <v>300000</v>
      </c>
      <c r="V1017" s="6">
        <f t="shared" si="582"/>
        <v>6600</v>
      </c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  <c r="BF1017" s="7"/>
      <c r="BG1017" s="7"/>
      <c r="BH1017" s="7"/>
      <c r="BI1017" s="7"/>
      <c r="BJ1017" s="7"/>
      <c r="BK1017" s="7"/>
      <c r="BL1017" s="7"/>
      <c r="BM1017" s="7"/>
      <c r="BN1017" s="7"/>
      <c r="BO1017" s="7"/>
      <c r="BP1017" s="7"/>
      <c r="BQ1017" s="7"/>
      <c r="BR1017" s="7"/>
      <c r="BS1017" s="7"/>
      <c r="BT1017" s="7"/>
      <c r="BU1017" s="7"/>
      <c r="BV1017" s="7"/>
      <c r="BW1017" s="7"/>
      <c r="BX1017" s="7"/>
      <c r="BY1017" s="7"/>
      <c r="BZ1017" s="7"/>
      <c r="CA1017" s="7"/>
      <c r="CB1017" s="7"/>
      <c r="CC1017" s="7"/>
      <c r="CD1017" s="7"/>
      <c r="CE1017" s="7"/>
      <c r="CF1017" s="7"/>
      <c r="CG1017" s="7"/>
      <c r="CH1017" s="7"/>
      <c r="CI1017" s="7"/>
      <c r="CJ1017" s="7"/>
      <c r="CK1017" s="7"/>
      <c r="CL1017" s="7"/>
      <c r="CM1017" s="7"/>
      <c r="CN1017" s="7"/>
      <c r="CO1017" s="7"/>
      <c r="CP1017" s="7"/>
      <c r="CQ1017" s="7"/>
      <c r="CR1017" s="7"/>
      <c r="CS1017" s="7"/>
      <c r="CT1017" s="7"/>
      <c r="CU1017" s="7"/>
      <c r="CV1017" s="7"/>
      <c r="CW1017" s="7"/>
      <c r="CX1017" s="7"/>
      <c r="CY1017" s="7"/>
      <c r="CZ1017" s="7"/>
      <c r="DA1017" s="7"/>
      <c r="DB1017" s="7"/>
      <c r="DC1017" s="7"/>
      <c r="DD1017" s="7"/>
      <c r="DE1017" s="7"/>
      <c r="DF1017" s="7"/>
      <c r="DG1017" s="7"/>
      <c r="DH1017" s="7"/>
      <c r="DI1017" s="7"/>
      <c r="DJ1017" s="7"/>
      <c r="DK1017" s="7"/>
      <c r="DL1017" s="7"/>
      <c r="DM1017" s="7"/>
      <c r="DN1017" s="7"/>
      <c r="DO1017" s="7"/>
      <c r="DP1017" s="7"/>
      <c r="DQ1017" s="7"/>
      <c r="DR1017" s="7"/>
      <c r="DS1017" s="7"/>
      <c r="DT1017" s="7"/>
      <c r="DU1017" s="7"/>
      <c r="DV1017" s="7"/>
      <c r="DW1017" s="7"/>
      <c r="DX1017" s="7"/>
      <c r="DY1017" s="7"/>
      <c r="DZ1017" s="7"/>
      <c r="EA1017" s="7"/>
      <c r="EB1017" s="7"/>
      <c r="EC1017" s="7"/>
      <c r="ED1017" s="7"/>
      <c r="EE1017" s="7"/>
      <c r="EF1017" s="7"/>
      <c r="EG1017" s="7"/>
      <c r="EH1017" s="7"/>
      <c r="EI1017" s="7"/>
      <c r="EJ1017" s="7"/>
      <c r="EK1017" s="7"/>
      <c r="EL1017" s="7"/>
      <c r="EM1017" s="7"/>
      <c r="EN1017" s="7"/>
      <c r="EO1017" s="7"/>
      <c r="EP1017" s="7"/>
      <c r="EQ1017" s="7"/>
      <c r="ER1017" s="7"/>
      <c r="ES1017" s="7"/>
      <c r="ET1017" s="7"/>
      <c r="EU1017" s="7"/>
      <c r="EV1017" s="7"/>
      <c r="EW1017" s="7"/>
      <c r="EX1017" s="7"/>
      <c r="EY1017" s="7"/>
      <c r="EZ1017" s="7"/>
      <c r="FA1017" s="7"/>
      <c r="FB1017" s="7"/>
      <c r="FC1017" s="7"/>
      <c r="FD1017" s="7"/>
      <c r="FE1017" s="7"/>
      <c r="FF1017" s="7"/>
      <c r="FG1017" s="7"/>
      <c r="FH1017" s="7"/>
      <c r="FI1017" s="7"/>
      <c r="FJ1017" s="7"/>
      <c r="FK1017" s="7"/>
      <c r="FL1017" s="7"/>
      <c r="FM1017" s="7"/>
      <c r="FN1017" s="7"/>
      <c r="FO1017" s="7"/>
      <c r="FP1017" s="7"/>
      <c r="FQ1017" s="7"/>
      <c r="FR1017" s="7"/>
      <c r="FS1017" s="7"/>
      <c r="FT1017" s="7"/>
      <c r="FU1017" s="7"/>
      <c r="FV1017" s="7"/>
      <c r="FW1017" s="7"/>
      <c r="FX1017" s="7"/>
      <c r="FY1017" s="7"/>
      <c r="FZ1017" s="7"/>
      <c r="GA1017" s="7"/>
      <c r="GB1017" s="7"/>
      <c r="GC1017" s="7"/>
      <c r="GD1017" s="7"/>
      <c r="GE1017" s="7"/>
      <c r="GF1017" s="7"/>
      <c r="GG1017" s="7"/>
      <c r="GH1017" s="7"/>
      <c r="GI1017" s="7"/>
      <c r="GJ1017" s="7"/>
      <c r="GK1017" s="7"/>
      <c r="GL1017" s="7"/>
      <c r="GM1017" s="7"/>
      <c r="GN1017" s="7"/>
      <c r="GO1017" s="7"/>
      <c r="GP1017" s="7"/>
      <c r="GQ1017" s="7"/>
      <c r="GR1017" s="7"/>
      <c r="GS1017" s="7"/>
      <c r="GT1017" s="7"/>
      <c r="GU1017" s="7"/>
      <c r="GV1017" s="7"/>
      <c r="GW1017" s="7"/>
      <c r="GX1017" s="7"/>
      <c r="GY1017" s="7"/>
      <c r="GZ1017" s="7"/>
      <c r="HA1017" s="7"/>
      <c r="HB1017" s="7"/>
      <c r="HC1017" s="7"/>
      <c r="HD1017" s="7"/>
      <c r="HE1017" s="7"/>
      <c r="HF1017" s="7"/>
      <c r="HG1017" s="7"/>
      <c r="HH1017" s="7"/>
      <c r="HI1017" s="7"/>
      <c r="HJ1017" s="7"/>
      <c r="HK1017" s="7"/>
      <c r="HL1017" s="7"/>
      <c r="HM1017" s="7"/>
      <c r="HN1017" s="7"/>
      <c r="HO1017" s="7"/>
      <c r="HP1017" s="7"/>
      <c r="HQ1017" s="7"/>
      <c r="HR1017" s="7"/>
      <c r="HS1017" s="7"/>
      <c r="HT1017" s="7"/>
      <c r="HU1017" s="7"/>
      <c r="HV1017" s="7"/>
      <c r="HW1017" s="7"/>
      <c r="HX1017" s="7"/>
      <c r="HY1017" s="7"/>
      <c r="HZ1017" s="7"/>
      <c r="IA1017" s="7"/>
      <c r="IB1017" s="7"/>
      <c r="IC1017" s="7"/>
      <c r="ID1017" s="7"/>
      <c r="IE1017" s="7"/>
      <c r="IF1017" s="7"/>
      <c r="IG1017" s="7"/>
      <c r="IH1017" s="7"/>
      <c r="II1017" s="7"/>
      <c r="IJ1017" s="7"/>
      <c r="IK1017" s="7"/>
      <c r="IL1017" s="7"/>
      <c r="IM1017" s="7"/>
      <c r="IN1017" s="7"/>
      <c r="IO1017" s="7"/>
      <c r="IP1017" s="7"/>
      <c r="IQ1017" s="7"/>
      <c r="IR1017" s="7"/>
      <c r="IS1017" s="7"/>
      <c r="IT1017" s="7"/>
      <c r="IU1017" s="7"/>
      <c r="IV1017" s="7"/>
      <c r="IW1017" s="7"/>
      <c r="IX1017" s="7"/>
    </row>
    <row r="1018" spans="1:258" ht="21.95" customHeight="1" x14ac:dyDescent="0.25">
      <c r="A1018" s="37" t="s">
        <v>1119</v>
      </c>
      <c r="B1018" s="8" t="s">
        <v>720</v>
      </c>
      <c r="C1018" s="2">
        <f t="shared" si="584"/>
        <v>1716000</v>
      </c>
      <c r="D1018" s="3">
        <f t="shared" si="583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4">
        <v>0</v>
      </c>
      <c r="L1018" s="3">
        <v>0</v>
      </c>
      <c r="M1018" s="3">
        <v>260</v>
      </c>
      <c r="N1018" s="3">
        <f t="shared" si="587"/>
        <v>1716000</v>
      </c>
      <c r="O1018" s="3">
        <v>0</v>
      </c>
      <c r="P1018" s="3">
        <v>0</v>
      </c>
      <c r="Q1018" s="3">
        <v>0</v>
      </c>
      <c r="R1018" s="3">
        <f t="shared" si="577"/>
        <v>0</v>
      </c>
      <c r="S1018" s="3">
        <v>0</v>
      </c>
      <c r="T1018" s="5">
        <v>0</v>
      </c>
      <c r="U1018" s="3">
        <v>0</v>
      </c>
      <c r="V1018" s="6">
        <f t="shared" si="582"/>
        <v>6600</v>
      </c>
    </row>
    <row r="1019" spans="1:258" ht="21.95" customHeight="1" x14ac:dyDescent="0.25">
      <c r="A1019" s="37" t="s">
        <v>1120</v>
      </c>
      <c r="B1019" s="8" t="s">
        <v>721</v>
      </c>
      <c r="C1019" s="2">
        <f t="shared" si="584"/>
        <v>1676400</v>
      </c>
      <c r="D1019" s="3">
        <f t="shared" si="583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4">
        <v>0</v>
      </c>
      <c r="L1019" s="3">
        <v>0</v>
      </c>
      <c r="M1019" s="3">
        <v>254</v>
      </c>
      <c r="N1019" s="3">
        <f t="shared" si="587"/>
        <v>1676400</v>
      </c>
      <c r="O1019" s="3">
        <v>0</v>
      </c>
      <c r="P1019" s="3">
        <v>0</v>
      </c>
      <c r="Q1019" s="3">
        <v>0</v>
      </c>
      <c r="R1019" s="3">
        <f t="shared" si="577"/>
        <v>0</v>
      </c>
      <c r="S1019" s="3">
        <v>0</v>
      </c>
      <c r="T1019" s="5">
        <v>0</v>
      </c>
      <c r="U1019" s="3">
        <v>0</v>
      </c>
      <c r="V1019" s="6">
        <f t="shared" si="582"/>
        <v>6600</v>
      </c>
    </row>
    <row r="1020" spans="1:258" ht="21.95" customHeight="1" x14ac:dyDescent="0.25">
      <c r="A1020" s="37" t="s">
        <v>1121</v>
      </c>
      <c r="B1020" s="8" t="s">
        <v>972</v>
      </c>
      <c r="C1020" s="2">
        <f t="shared" si="584"/>
        <v>4033035</v>
      </c>
      <c r="D1020" s="3">
        <f t="shared" si="583"/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4">
        <v>0</v>
      </c>
      <c r="L1020" s="3">
        <v>0</v>
      </c>
      <c r="M1020" s="5">
        <v>906.3</v>
      </c>
      <c r="N1020" s="3">
        <f>M1020*4450</f>
        <v>4033035</v>
      </c>
      <c r="O1020" s="3">
        <v>0</v>
      </c>
      <c r="P1020" s="3">
        <v>0</v>
      </c>
      <c r="Q1020" s="3">
        <v>0</v>
      </c>
      <c r="R1020" s="3">
        <f t="shared" si="577"/>
        <v>0</v>
      </c>
      <c r="S1020" s="3">
        <v>0</v>
      </c>
      <c r="T1020" s="5">
        <v>0</v>
      </c>
      <c r="U1020" s="3">
        <v>0</v>
      </c>
      <c r="V1020" s="6">
        <f t="shared" si="582"/>
        <v>4450</v>
      </c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7"/>
      <c r="AV1020" s="17"/>
      <c r="AW1020" s="17"/>
      <c r="AX1020" s="17"/>
      <c r="AY1020" s="17"/>
      <c r="AZ1020" s="17"/>
      <c r="BA1020" s="17"/>
      <c r="BB1020" s="17"/>
      <c r="BC1020" s="17"/>
      <c r="BD1020" s="17"/>
      <c r="BE1020" s="17"/>
      <c r="BF1020" s="17"/>
      <c r="BG1020" s="17"/>
      <c r="BH1020" s="17"/>
      <c r="BI1020" s="17"/>
      <c r="BJ1020" s="17"/>
      <c r="BK1020" s="17"/>
      <c r="BL1020" s="17"/>
      <c r="BM1020" s="17"/>
      <c r="BN1020" s="17"/>
      <c r="BO1020" s="17"/>
      <c r="BP1020" s="17"/>
      <c r="BQ1020" s="17"/>
      <c r="BR1020" s="17"/>
      <c r="BS1020" s="17"/>
      <c r="BT1020" s="17"/>
      <c r="BU1020" s="17"/>
      <c r="BV1020" s="17"/>
      <c r="BW1020" s="17"/>
      <c r="BX1020" s="17"/>
      <c r="BY1020" s="17"/>
      <c r="BZ1020" s="17"/>
      <c r="CA1020" s="17"/>
      <c r="CB1020" s="17"/>
      <c r="CC1020" s="17"/>
      <c r="CD1020" s="17"/>
      <c r="CE1020" s="17"/>
      <c r="CF1020" s="17"/>
      <c r="CG1020" s="17"/>
      <c r="CH1020" s="17"/>
      <c r="CI1020" s="17"/>
      <c r="CJ1020" s="17"/>
      <c r="CK1020" s="17"/>
      <c r="CL1020" s="17"/>
      <c r="CM1020" s="17"/>
      <c r="CN1020" s="17"/>
      <c r="CO1020" s="17"/>
      <c r="CP1020" s="17"/>
      <c r="CQ1020" s="17"/>
      <c r="CR1020" s="17"/>
      <c r="CS1020" s="17"/>
      <c r="CT1020" s="17"/>
      <c r="CU1020" s="17"/>
      <c r="CV1020" s="17"/>
      <c r="CW1020" s="17"/>
      <c r="CX1020" s="17"/>
      <c r="CY1020" s="17"/>
      <c r="CZ1020" s="17"/>
      <c r="DA1020" s="17"/>
      <c r="DB1020" s="17"/>
      <c r="DC1020" s="17"/>
      <c r="DD1020" s="17"/>
      <c r="DE1020" s="17"/>
      <c r="DF1020" s="17"/>
      <c r="DG1020" s="17"/>
      <c r="DH1020" s="17"/>
      <c r="DI1020" s="17"/>
      <c r="DJ1020" s="17"/>
      <c r="DK1020" s="17"/>
      <c r="DL1020" s="17"/>
      <c r="DM1020" s="17"/>
      <c r="DN1020" s="17"/>
      <c r="DO1020" s="17"/>
      <c r="DP1020" s="17"/>
      <c r="DQ1020" s="17"/>
      <c r="DR1020" s="17"/>
      <c r="DS1020" s="17"/>
      <c r="DT1020" s="17"/>
      <c r="DU1020" s="17"/>
      <c r="DV1020" s="17"/>
      <c r="DW1020" s="17"/>
      <c r="DX1020" s="17"/>
      <c r="DY1020" s="17"/>
      <c r="DZ1020" s="17"/>
      <c r="EA1020" s="17"/>
      <c r="EB1020" s="17"/>
      <c r="EC1020" s="17"/>
      <c r="ED1020" s="17"/>
      <c r="EE1020" s="17"/>
      <c r="EF1020" s="17"/>
      <c r="EG1020" s="17"/>
      <c r="EH1020" s="17"/>
      <c r="EI1020" s="17"/>
      <c r="EJ1020" s="17"/>
      <c r="EK1020" s="17"/>
      <c r="EL1020" s="17"/>
      <c r="EM1020" s="17"/>
      <c r="EN1020" s="17"/>
      <c r="EO1020" s="17"/>
      <c r="EP1020" s="17"/>
      <c r="EQ1020" s="17"/>
      <c r="ER1020" s="17"/>
      <c r="ES1020" s="17"/>
      <c r="ET1020" s="17"/>
      <c r="EU1020" s="17"/>
      <c r="EV1020" s="17"/>
      <c r="EW1020" s="17"/>
      <c r="EX1020" s="17"/>
      <c r="EY1020" s="17"/>
      <c r="EZ1020" s="17"/>
      <c r="FA1020" s="17"/>
      <c r="FB1020" s="17"/>
      <c r="FC1020" s="17"/>
      <c r="FD1020" s="17"/>
      <c r="FE1020" s="17"/>
      <c r="FF1020" s="17"/>
      <c r="FG1020" s="17"/>
      <c r="FH1020" s="17"/>
      <c r="FI1020" s="17"/>
      <c r="FJ1020" s="17"/>
      <c r="FK1020" s="17"/>
      <c r="FL1020" s="17"/>
      <c r="FM1020" s="17"/>
      <c r="FN1020" s="17"/>
      <c r="FO1020" s="17"/>
      <c r="FP1020" s="17"/>
      <c r="FQ1020" s="17"/>
      <c r="FR1020" s="17"/>
      <c r="FS1020" s="17"/>
      <c r="FT1020" s="17"/>
      <c r="FU1020" s="17"/>
      <c r="FV1020" s="17"/>
      <c r="FW1020" s="17"/>
      <c r="FX1020" s="17"/>
      <c r="FY1020" s="17"/>
      <c r="FZ1020" s="17"/>
      <c r="GA1020" s="17"/>
      <c r="GB1020" s="17"/>
      <c r="GC1020" s="17"/>
      <c r="GD1020" s="17"/>
      <c r="GE1020" s="17"/>
      <c r="GF1020" s="17"/>
      <c r="GG1020" s="17"/>
      <c r="GH1020" s="17"/>
      <c r="GI1020" s="17"/>
      <c r="GJ1020" s="17"/>
      <c r="GK1020" s="17"/>
      <c r="GL1020" s="17"/>
      <c r="GM1020" s="17"/>
      <c r="GN1020" s="17"/>
      <c r="GO1020" s="17"/>
      <c r="GP1020" s="17"/>
      <c r="GQ1020" s="17"/>
      <c r="GR1020" s="17"/>
      <c r="GS1020" s="17"/>
      <c r="GT1020" s="17"/>
      <c r="GU1020" s="17"/>
      <c r="GV1020" s="17"/>
      <c r="GW1020" s="17"/>
      <c r="GX1020" s="17"/>
      <c r="GY1020" s="17"/>
      <c r="GZ1020" s="17"/>
      <c r="HA1020" s="17"/>
      <c r="HB1020" s="17"/>
      <c r="HC1020" s="17"/>
      <c r="HD1020" s="17"/>
      <c r="HE1020" s="17"/>
      <c r="HF1020" s="17"/>
      <c r="HG1020" s="17"/>
      <c r="HH1020" s="17"/>
      <c r="HI1020" s="17"/>
      <c r="HJ1020" s="17"/>
      <c r="HK1020" s="17"/>
      <c r="HL1020" s="17"/>
      <c r="HM1020" s="17"/>
      <c r="HN1020" s="17"/>
      <c r="HO1020" s="17"/>
      <c r="HP1020" s="17"/>
      <c r="HQ1020" s="17"/>
      <c r="HR1020" s="17"/>
      <c r="HS1020" s="17"/>
      <c r="HT1020" s="17"/>
      <c r="HU1020" s="17"/>
      <c r="HV1020" s="17"/>
      <c r="HW1020" s="17"/>
      <c r="HX1020" s="17"/>
      <c r="HY1020" s="17"/>
      <c r="HZ1020" s="17"/>
      <c r="IA1020" s="17"/>
      <c r="IB1020" s="17"/>
      <c r="IC1020" s="17"/>
      <c r="ID1020" s="17"/>
      <c r="IE1020" s="17"/>
      <c r="IF1020" s="17"/>
      <c r="IG1020" s="17"/>
      <c r="IH1020" s="17"/>
      <c r="II1020" s="17"/>
      <c r="IJ1020" s="17"/>
      <c r="IK1020" s="17"/>
      <c r="IL1020" s="17"/>
      <c r="IM1020" s="17"/>
      <c r="IN1020" s="17"/>
      <c r="IO1020" s="17"/>
      <c r="IP1020" s="17"/>
      <c r="IQ1020" s="17"/>
      <c r="IR1020" s="17"/>
      <c r="IS1020" s="17"/>
      <c r="IT1020" s="17"/>
      <c r="IU1020" s="17"/>
      <c r="IV1020" s="17"/>
      <c r="IW1020" s="17"/>
      <c r="IX1020" s="17"/>
    </row>
    <row r="1021" spans="1:258" ht="21.95" customHeight="1" x14ac:dyDescent="0.25">
      <c r="A1021" s="37" t="s">
        <v>1122</v>
      </c>
      <c r="B1021" s="8" t="s">
        <v>722</v>
      </c>
      <c r="C1021" s="2">
        <f t="shared" si="584"/>
        <v>2606340</v>
      </c>
      <c r="D1021" s="3">
        <f t="shared" si="583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4">
        <v>0</v>
      </c>
      <c r="L1021" s="3">
        <v>0</v>
      </c>
      <c r="M1021" s="3">
        <v>394.9</v>
      </c>
      <c r="N1021" s="3">
        <f t="shared" ref="N1021:N1031" si="588">M1021*6600</f>
        <v>2606340</v>
      </c>
      <c r="O1021" s="3">
        <v>0</v>
      </c>
      <c r="P1021" s="3">
        <v>0</v>
      </c>
      <c r="Q1021" s="3">
        <v>0</v>
      </c>
      <c r="R1021" s="3">
        <f t="shared" si="577"/>
        <v>0</v>
      </c>
      <c r="S1021" s="3">
        <v>0</v>
      </c>
      <c r="T1021" s="5">
        <v>0</v>
      </c>
      <c r="U1021" s="3">
        <v>0</v>
      </c>
      <c r="V1021" s="6">
        <f t="shared" si="582"/>
        <v>6600</v>
      </c>
    </row>
    <row r="1022" spans="1:258" ht="21.95" customHeight="1" x14ac:dyDescent="0.25">
      <c r="A1022" s="37" t="s">
        <v>1123</v>
      </c>
      <c r="B1022" s="8" t="s">
        <v>797</v>
      </c>
      <c r="C1022" s="2">
        <f t="shared" si="584"/>
        <v>1310760</v>
      </c>
      <c r="D1022" s="3">
        <f t="shared" si="583"/>
        <v>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4">
        <v>0</v>
      </c>
      <c r="L1022" s="3">
        <v>0</v>
      </c>
      <c r="M1022" s="5">
        <v>198.6</v>
      </c>
      <c r="N1022" s="3">
        <f t="shared" si="588"/>
        <v>1310760</v>
      </c>
      <c r="O1022" s="3">
        <v>0</v>
      </c>
      <c r="P1022" s="3">
        <v>0</v>
      </c>
      <c r="Q1022" s="3">
        <v>0</v>
      </c>
      <c r="R1022" s="3">
        <f t="shared" si="577"/>
        <v>0</v>
      </c>
      <c r="S1022" s="3">
        <v>0</v>
      </c>
      <c r="T1022" s="5">
        <v>0</v>
      </c>
      <c r="U1022" s="3">
        <v>0</v>
      </c>
      <c r="V1022" s="6">
        <f t="shared" si="582"/>
        <v>6600</v>
      </c>
    </row>
    <row r="1023" spans="1:258" ht="21.95" customHeight="1" x14ac:dyDescent="0.25">
      <c r="A1023" s="37" t="s">
        <v>1124</v>
      </c>
      <c r="B1023" s="8" t="s">
        <v>614</v>
      </c>
      <c r="C1023" s="2">
        <f t="shared" si="584"/>
        <v>1953600</v>
      </c>
      <c r="D1023" s="3">
        <f t="shared" si="583"/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11">
        <v>0</v>
      </c>
      <c r="L1023" s="5">
        <v>0</v>
      </c>
      <c r="M1023" s="5">
        <v>296</v>
      </c>
      <c r="N1023" s="3">
        <f t="shared" si="588"/>
        <v>1953600</v>
      </c>
      <c r="O1023" s="5">
        <v>0</v>
      </c>
      <c r="P1023" s="5">
        <v>0</v>
      </c>
      <c r="Q1023" s="5">
        <v>0</v>
      </c>
      <c r="R1023" s="3">
        <f t="shared" si="577"/>
        <v>0</v>
      </c>
      <c r="S1023" s="5">
        <v>0</v>
      </c>
      <c r="T1023" s="5">
        <v>0</v>
      </c>
      <c r="U1023" s="5">
        <v>0</v>
      </c>
      <c r="V1023" s="6">
        <f t="shared" si="582"/>
        <v>6600</v>
      </c>
    </row>
    <row r="1024" spans="1:258" ht="21.95" customHeight="1" x14ac:dyDescent="0.25">
      <c r="A1024" s="37" t="s">
        <v>1125</v>
      </c>
      <c r="B1024" s="8" t="s">
        <v>615</v>
      </c>
      <c r="C1024" s="2">
        <f t="shared" si="584"/>
        <v>1947000</v>
      </c>
      <c r="D1024" s="3">
        <f t="shared" si="583"/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11">
        <v>0</v>
      </c>
      <c r="L1024" s="5">
        <v>0</v>
      </c>
      <c r="M1024" s="5">
        <v>295</v>
      </c>
      <c r="N1024" s="3">
        <f t="shared" si="588"/>
        <v>1947000</v>
      </c>
      <c r="O1024" s="5">
        <v>0</v>
      </c>
      <c r="P1024" s="5">
        <v>0</v>
      </c>
      <c r="Q1024" s="5">
        <v>0</v>
      </c>
      <c r="R1024" s="3">
        <f t="shared" si="577"/>
        <v>0</v>
      </c>
      <c r="S1024" s="5">
        <v>0</v>
      </c>
      <c r="T1024" s="5">
        <v>0</v>
      </c>
      <c r="U1024" s="5">
        <v>0</v>
      </c>
      <c r="V1024" s="6">
        <f t="shared" si="582"/>
        <v>6600</v>
      </c>
    </row>
    <row r="1025" spans="1:258" ht="21.95" customHeight="1" x14ac:dyDescent="0.25">
      <c r="A1025" s="37" t="s">
        <v>1126</v>
      </c>
      <c r="B1025" s="8" t="s">
        <v>723</v>
      </c>
      <c r="C1025" s="2">
        <f t="shared" si="584"/>
        <v>1907400</v>
      </c>
      <c r="D1025" s="3">
        <f t="shared" si="583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3">
        <v>289</v>
      </c>
      <c r="N1025" s="3">
        <f t="shared" si="588"/>
        <v>1907400</v>
      </c>
      <c r="O1025" s="3">
        <v>0</v>
      </c>
      <c r="P1025" s="3">
        <v>0</v>
      </c>
      <c r="Q1025" s="3">
        <v>0</v>
      </c>
      <c r="R1025" s="3">
        <f t="shared" si="577"/>
        <v>0</v>
      </c>
      <c r="S1025" s="3">
        <v>0</v>
      </c>
      <c r="T1025" s="5">
        <v>0</v>
      </c>
      <c r="U1025" s="3">
        <v>0</v>
      </c>
      <c r="V1025" s="6">
        <f t="shared" si="582"/>
        <v>6600</v>
      </c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7"/>
      <c r="AW1025" s="17"/>
      <c r="AX1025" s="17"/>
      <c r="AY1025" s="17"/>
      <c r="AZ1025" s="17"/>
      <c r="BA1025" s="17"/>
      <c r="BB1025" s="17"/>
      <c r="BC1025" s="17"/>
      <c r="BD1025" s="17"/>
      <c r="BE1025" s="17"/>
      <c r="BF1025" s="17"/>
      <c r="BG1025" s="17"/>
      <c r="BH1025" s="17"/>
      <c r="BI1025" s="17"/>
      <c r="BJ1025" s="17"/>
      <c r="BK1025" s="17"/>
      <c r="BL1025" s="17"/>
      <c r="BM1025" s="17"/>
      <c r="BN1025" s="17"/>
      <c r="BO1025" s="17"/>
      <c r="BP1025" s="17"/>
      <c r="BQ1025" s="17"/>
      <c r="BR1025" s="17"/>
      <c r="BS1025" s="17"/>
      <c r="BT1025" s="17"/>
      <c r="BU1025" s="17"/>
      <c r="BV1025" s="17"/>
      <c r="BW1025" s="17"/>
      <c r="BX1025" s="17"/>
      <c r="BY1025" s="17"/>
      <c r="BZ1025" s="17"/>
      <c r="CA1025" s="17"/>
      <c r="CB1025" s="17"/>
      <c r="CC1025" s="17"/>
      <c r="CD1025" s="17"/>
      <c r="CE1025" s="17"/>
      <c r="CF1025" s="17"/>
      <c r="CG1025" s="17"/>
      <c r="CH1025" s="17"/>
      <c r="CI1025" s="17"/>
      <c r="CJ1025" s="17"/>
      <c r="CK1025" s="17"/>
      <c r="CL1025" s="17"/>
      <c r="CM1025" s="17"/>
      <c r="CN1025" s="17"/>
      <c r="CO1025" s="17"/>
      <c r="CP1025" s="17"/>
      <c r="CQ1025" s="17"/>
      <c r="CR1025" s="17"/>
      <c r="CS1025" s="17"/>
      <c r="CT1025" s="17"/>
      <c r="CU1025" s="17"/>
      <c r="CV1025" s="17"/>
      <c r="CW1025" s="17"/>
      <c r="CX1025" s="17"/>
      <c r="CY1025" s="17"/>
      <c r="CZ1025" s="17"/>
      <c r="DA1025" s="17"/>
      <c r="DB1025" s="17"/>
      <c r="DC1025" s="17"/>
      <c r="DD1025" s="17"/>
      <c r="DE1025" s="17"/>
      <c r="DF1025" s="17"/>
      <c r="DG1025" s="17"/>
      <c r="DH1025" s="17"/>
      <c r="DI1025" s="17"/>
      <c r="DJ1025" s="17"/>
      <c r="DK1025" s="17"/>
      <c r="DL1025" s="17"/>
      <c r="DM1025" s="17"/>
      <c r="DN1025" s="17"/>
      <c r="DO1025" s="17"/>
      <c r="DP1025" s="17"/>
      <c r="DQ1025" s="17"/>
      <c r="DR1025" s="17"/>
      <c r="DS1025" s="17"/>
      <c r="DT1025" s="17"/>
      <c r="DU1025" s="17"/>
      <c r="DV1025" s="17"/>
      <c r="DW1025" s="17"/>
      <c r="DX1025" s="17"/>
      <c r="DY1025" s="17"/>
      <c r="DZ1025" s="17"/>
      <c r="EA1025" s="17"/>
      <c r="EB1025" s="17"/>
      <c r="EC1025" s="17"/>
      <c r="ED1025" s="17"/>
      <c r="EE1025" s="17"/>
      <c r="EF1025" s="17"/>
      <c r="EG1025" s="17"/>
      <c r="EH1025" s="17"/>
      <c r="EI1025" s="17"/>
      <c r="EJ1025" s="17"/>
      <c r="EK1025" s="17"/>
      <c r="EL1025" s="17"/>
      <c r="EM1025" s="17"/>
      <c r="EN1025" s="17"/>
      <c r="EO1025" s="17"/>
      <c r="EP1025" s="17"/>
      <c r="EQ1025" s="17"/>
      <c r="ER1025" s="17"/>
      <c r="ES1025" s="17"/>
      <c r="ET1025" s="17"/>
      <c r="EU1025" s="17"/>
      <c r="EV1025" s="17"/>
      <c r="EW1025" s="17"/>
      <c r="EX1025" s="17"/>
      <c r="EY1025" s="17"/>
      <c r="EZ1025" s="17"/>
      <c r="FA1025" s="17"/>
      <c r="FB1025" s="17"/>
      <c r="FC1025" s="17"/>
      <c r="FD1025" s="17"/>
      <c r="FE1025" s="17"/>
      <c r="FF1025" s="17"/>
      <c r="FG1025" s="17"/>
      <c r="FH1025" s="17"/>
      <c r="FI1025" s="17"/>
      <c r="FJ1025" s="17"/>
      <c r="FK1025" s="17"/>
      <c r="FL1025" s="17"/>
      <c r="FM1025" s="17"/>
      <c r="FN1025" s="17"/>
      <c r="FO1025" s="17"/>
      <c r="FP1025" s="17"/>
      <c r="FQ1025" s="17"/>
      <c r="FR1025" s="17"/>
      <c r="FS1025" s="17"/>
      <c r="FT1025" s="17"/>
      <c r="FU1025" s="17"/>
      <c r="FV1025" s="17"/>
      <c r="FW1025" s="17"/>
      <c r="FX1025" s="17"/>
      <c r="FY1025" s="17"/>
      <c r="FZ1025" s="17"/>
      <c r="GA1025" s="17"/>
      <c r="GB1025" s="17"/>
      <c r="GC1025" s="17"/>
      <c r="GD1025" s="17"/>
      <c r="GE1025" s="17"/>
      <c r="GF1025" s="17"/>
      <c r="GG1025" s="17"/>
      <c r="GH1025" s="17"/>
      <c r="GI1025" s="17"/>
    </row>
    <row r="1026" spans="1:258" ht="21.95" customHeight="1" x14ac:dyDescent="0.25">
      <c r="A1026" s="37" t="s">
        <v>1127</v>
      </c>
      <c r="B1026" s="23" t="s">
        <v>798</v>
      </c>
      <c r="C1026" s="2">
        <f t="shared" si="584"/>
        <v>3786420.0000000005</v>
      </c>
      <c r="D1026" s="3">
        <f t="shared" si="583"/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5">
        <v>573.70000000000005</v>
      </c>
      <c r="N1026" s="3">
        <f t="shared" si="588"/>
        <v>3786420.0000000005</v>
      </c>
      <c r="O1026" s="3">
        <v>0</v>
      </c>
      <c r="P1026" s="3">
        <v>0</v>
      </c>
      <c r="Q1026" s="3">
        <v>0</v>
      </c>
      <c r="R1026" s="3">
        <f t="shared" si="577"/>
        <v>0</v>
      </c>
      <c r="S1026" s="3">
        <v>0</v>
      </c>
      <c r="T1026" s="5">
        <v>0</v>
      </c>
      <c r="U1026" s="3">
        <v>0</v>
      </c>
      <c r="V1026" s="6">
        <f t="shared" si="582"/>
        <v>6600</v>
      </c>
    </row>
    <row r="1027" spans="1:258" ht="21.95" customHeight="1" x14ac:dyDescent="0.25">
      <c r="A1027" s="37" t="s">
        <v>1128</v>
      </c>
      <c r="B1027" s="8" t="s">
        <v>725</v>
      </c>
      <c r="C1027" s="2">
        <f>D1027+L1027+N1027+P1027+R1027+S1027+T1027+U1027</f>
        <v>3478200</v>
      </c>
      <c r="D1027" s="3">
        <f>SUM(E1027:J1027)</f>
        <v>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4">
        <v>0</v>
      </c>
      <c r="L1027" s="3">
        <v>0</v>
      </c>
      <c r="M1027" s="5">
        <v>527</v>
      </c>
      <c r="N1027" s="3">
        <f>M1027*6600</f>
        <v>3478200</v>
      </c>
      <c r="O1027" s="3">
        <v>0</v>
      </c>
      <c r="P1027" s="3">
        <v>0</v>
      </c>
      <c r="Q1027" s="3">
        <v>0</v>
      </c>
      <c r="R1027" s="3">
        <f>Q1027*3200</f>
        <v>0</v>
      </c>
      <c r="S1027" s="3">
        <v>0</v>
      </c>
      <c r="T1027" s="5">
        <v>0</v>
      </c>
      <c r="U1027" s="3">
        <v>0</v>
      </c>
      <c r="V1027" s="6">
        <f>N1027/M1027</f>
        <v>6600</v>
      </c>
    </row>
    <row r="1028" spans="1:258" ht="21.95" customHeight="1" x14ac:dyDescent="0.25">
      <c r="A1028" s="37" t="s">
        <v>1129</v>
      </c>
      <c r="B1028" s="8" t="s">
        <v>724</v>
      </c>
      <c r="C1028" s="2">
        <f>D1028+L1028+N1028+P1028+R1028+S1028+T1028+U1028</f>
        <v>9400370</v>
      </c>
      <c r="D1028" s="3">
        <f>SUM(E1028:J1028)</f>
        <v>4501170</v>
      </c>
      <c r="E1028" s="3">
        <f>700*1500.39</f>
        <v>1050273</v>
      </c>
      <c r="F1028" s="3">
        <f>1300*1500.39</f>
        <v>1950507.0000000002</v>
      </c>
      <c r="G1028" s="3">
        <f>300*1500.39</f>
        <v>450117.00000000006</v>
      </c>
      <c r="H1028" s="3">
        <f>400*1500.39</f>
        <v>600156</v>
      </c>
      <c r="I1028" s="3">
        <f>300*1500.39</f>
        <v>450117.00000000006</v>
      </c>
      <c r="J1028" s="3">
        <v>0</v>
      </c>
      <c r="K1028" s="4">
        <v>0</v>
      </c>
      <c r="L1028" s="3">
        <v>0</v>
      </c>
      <c r="M1028" s="3">
        <v>576</v>
      </c>
      <c r="N1028" s="3">
        <f>M1028*6600</f>
        <v>3801600</v>
      </c>
      <c r="O1028" s="3">
        <v>438</v>
      </c>
      <c r="P1028" s="3">
        <f>O1028*1200</f>
        <v>525600</v>
      </c>
      <c r="Q1028" s="3">
        <v>0</v>
      </c>
      <c r="R1028" s="3">
        <f>Q1028*3200</f>
        <v>0</v>
      </c>
      <c r="S1028" s="3">
        <v>472000</v>
      </c>
      <c r="T1028" s="5">
        <v>0</v>
      </c>
      <c r="U1028" s="3">
        <v>100000</v>
      </c>
      <c r="V1028" s="6">
        <f>N1028/M1028</f>
        <v>6600</v>
      </c>
    </row>
    <row r="1029" spans="1:258" ht="21.95" customHeight="1" x14ac:dyDescent="0.25">
      <c r="A1029" s="37" t="s">
        <v>1130</v>
      </c>
      <c r="B1029" s="8" t="s">
        <v>799</v>
      </c>
      <c r="C1029" s="2">
        <f>D1029+L1029+N1029+P1029+R1029+S1029+T1029+U1029</f>
        <v>7117440.0000000009</v>
      </c>
      <c r="D1029" s="3">
        <f>SUM(E1029:J1029)</f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11">
        <v>0</v>
      </c>
      <c r="L1029" s="5">
        <v>0</v>
      </c>
      <c r="M1029" s="5">
        <v>1078.4000000000001</v>
      </c>
      <c r="N1029" s="3">
        <f>M1029*6600</f>
        <v>7117440.0000000009</v>
      </c>
      <c r="O1029" s="3">
        <v>0</v>
      </c>
      <c r="P1029" s="3">
        <v>0</v>
      </c>
      <c r="Q1029" s="3">
        <v>0</v>
      </c>
      <c r="R1029" s="3">
        <f>Q1029*3200</f>
        <v>0</v>
      </c>
      <c r="S1029" s="3">
        <v>0</v>
      </c>
      <c r="T1029" s="5">
        <v>0</v>
      </c>
      <c r="U1029" s="3">
        <v>0</v>
      </c>
      <c r="V1029" s="6">
        <f>N1029/M1029</f>
        <v>6600</v>
      </c>
    </row>
    <row r="1030" spans="1:258" s="17" customFormat="1" ht="21.95" customHeight="1" x14ac:dyDescent="0.25">
      <c r="A1030" s="37" t="s">
        <v>1131</v>
      </c>
      <c r="B1030" s="8" t="s">
        <v>800</v>
      </c>
      <c r="C1030" s="2">
        <f>D1030+L1030+N1030+P1030+R1030+S1030+T1030+U1030</f>
        <v>7167600</v>
      </c>
      <c r="D1030" s="3">
        <f>SUM(E1030:J1030)</f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4">
        <v>0</v>
      </c>
      <c r="L1030" s="3">
        <v>0</v>
      </c>
      <c r="M1030" s="5">
        <v>1086</v>
      </c>
      <c r="N1030" s="3">
        <f>M1030*6600</f>
        <v>7167600</v>
      </c>
      <c r="O1030" s="3">
        <v>0</v>
      </c>
      <c r="P1030" s="3">
        <v>0</v>
      </c>
      <c r="Q1030" s="3">
        <v>0</v>
      </c>
      <c r="R1030" s="3">
        <f>Q1030*3200</f>
        <v>0</v>
      </c>
      <c r="S1030" s="3">
        <v>0</v>
      </c>
      <c r="T1030" s="5">
        <v>0</v>
      </c>
      <c r="U1030" s="3">
        <v>0</v>
      </c>
      <c r="V1030" s="6">
        <f>N1030/M1030</f>
        <v>6600</v>
      </c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  <c r="BF1030" s="7"/>
      <c r="BG1030" s="7"/>
      <c r="BH1030" s="7"/>
      <c r="BI1030" s="7"/>
      <c r="BJ1030" s="7"/>
      <c r="BK1030" s="7"/>
      <c r="BL1030" s="7"/>
      <c r="BM1030" s="7"/>
      <c r="BN1030" s="7"/>
      <c r="BO1030" s="7"/>
      <c r="BP1030" s="7"/>
      <c r="BQ1030" s="7"/>
      <c r="BR1030" s="7"/>
      <c r="BS1030" s="7"/>
      <c r="BT1030" s="7"/>
      <c r="BU1030" s="7"/>
      <c r="BV1030" s="7"/>
      <c r="BW1030" s="7"/>
      <c r="BX1030" s="7"/>
      <c r="BY1030" s="7"/>
      <c r="BZ1030" s="7"/>
      <c r="CA1030" s="7"/>
      <c r="CB1030" s="7"/>
      <c r="CC1030" s="7"/>
      <c r="CD1030" s="7"/>
      <c r="CE1030" s="7"/>
      <c r="CF1030" s="7"/>
      <c r="CG1030" s="7"/>
      <c r="CH1030" s="7"/>
      <c r="CI1030" s="7"/>
      <c r="CJ1030" s="7"/>
      <c r="CK1030" s="7"/>
      <c r="CL1030" s="7"/>
      <c r="CM1030" s="7"/>
      <c r="CN1030" s="7"/>
      <c r="CO1030" s="7"/>
      <c r="CP1030" s="7"/>
      <c r="CQ1030" s="7"/>
      <c r="CR1030" s="7"/>
      <c r="CS1030" s="7"/>
      <c r="CT1030" s="7"/>
      <c r="CU1030" s="7"/>
      <c r="CV1030" s="7"/>
      <c r="CW1030" s="7"/>
      <c r="CX1030" s="7"/>
      <c r="CY1030" s="7"/>
      <c r="CZ1030" s="7"/>
      <c r="DA1030" s="7"/>
      <c r="DB1030" s="7"/>
      <c r="DC1030" s="7"/>
      <c r="DD1030" s="7"/>
      <c r="DE1030" s="7"/>
      <c r="DF1030" s="7"/>
      <c r="DG1030" s="7"/>
      <c r="DH1030" s="7"/>
      <c r="DI1030" s="7"/>
      <c r="DJ1030" s="7"/>
      <c r="DK1030" s="7"/>
      <c r="DL1030" s="7"/>
      <c r="DM1030" s="7"/>
      <c r="DN1030" s="7"/>
      <c r="DO1030" s="7"/>
      <c r="DP1030" s="7"/>
      <c r="DQ1030" s="7"/>
      <c r="DR1030" s="7"/>
      <c r="DS1030" s="7"/>
      <c r="DT1030" s="7"/>
      <c r="DU1030" s="7"/>
      <c r="DV1030" s="7"/>
      <c r="DW1030" s="7"/>
      <c r="DX1030" s="7"/>
      <c r="DY1030" s="7"/>
      <c r="DZ1030" s="7"/>
      <c r="EA1030" s="7"/>
      <c r="EB1030" s="7"/>
      <c r="EC1030" s="7"/>
      <c r="ED1030" s="7"/>
      <c r="EE1030" s="7"/>
      <c r="EF1030" s="7"/>
      <c r="EG1030" s="7"/>
      <c r="EH1030" s="7"/>
      <c r="EI1030" s="7"/>
      <c r="EJ1030" s="7"/>
      <c r="EK1030" s="7"/>
      <c r="EL1030" s="7"/>
      <c r="EM1030" s="7"/>
      <c r="EN1030" s="7"/>
      <c r="EO1030" s="7"/>
      <c r="EP1030" s="7"/>
      <c r="EQ1030" s="7"/>
      <c r="ER1030" s="7"/>
      <c r="ES1030" s="7"/>
      <c r="ET1030" s="7"/>
      <c r="EU1030" s="7"/>
      <c r="EV1030" s="7"/>
      <c r="EW1030" s="7"/>
      <c r="EX1030" s="7"/>
      <c r="EY1030" s="7"/>
      <c r="EZ1030" s="7"/>
      <c r="FA1030" s="7"/>
      <c r="FB1030" s="7"/>
      <c r="FC1030" s="7"/>
      <c r="FD1030" s="7"/>
      <c r="FE1030" s="7"/>
      <c r="FF1030" s="7"/>
      <c r="FG1030" s="7"/>
      <c r="FH1030" s="7"/>
      <c r="FI1030" s="7"/>
      <c r="FJ1030" s="7"/>
      <c r="FK1030" s="7"/>
      <c r="FL1030" s="7"/>
      <c r="FM1030" s="7"/>
      <c r="FN1030" s="7"/>
      <c r="FO1030" s="7"/>
      <c r="FP1030" s="7"/>
      <c r="FQ1030" s="7"/>
      <c r="FR1030" s="7"/>
      <c r="FS1030" s="7"/>
      <c r="FT1030" s="7"/>
      <c r="FU1030" s="7"/>
      <c r="FV1030" s="7"/>
      <c r="FW1030" s="7"/>
      <c r="FX1030" s="7"/>
      <c r="FY1030" s="7"/>
      <c r="FZ1030" s="7"/>
      <c r="GA1030" s="7"/>
      <c r="GB1030" s="7"/>
      <c r="GC1030" s="7"/>
      <c r="GD1030" s="7"/>
      <c r="GE1030" s="7"/>
      <c r="GF1030" s="7"/>
      <c r="GG1030" s="7"/>
      <c r="GH1030" s="7"/>
      <c r="GI1030" s="7"/>
      <c r="GJ1030" s="7"/>
      <c r="GK1030" s="7"/>
      <c r="GL1030" s="7"/>
      <c r="GM1030" s="7"/>
      <c r="GN1030" s="7"/>
      <c r="GO1030" s="7"/>
      <c r="GP1030" s="7"/>
      <c r="GQ1030" s="7"/>
      <c r="GR1030" s="7"/>
      <c r="GS1030" s="7"/>
      <c r="GT1030" s="7"/>
      <c r="GU1030" s="7"/>
      <c r="GV1030" s="7"/>
      <c r="GW1030" s="7"/>
      <c r="GX1030" s="7"/>
      <c r="GY1030" s="7"/>
      <c r="GZ1030" s="7"/>
      <c r="HA1030" s="7"/>
      <c r="HB1030" s="7"/>
      <c r="HC1030" s="7"/>
      <c r="HD1030" s="7"/>
      <c r="HE1030" s="7"/>
      <c r="HF1030" s="7"/>
      <c r="HG1030" s="7"/>
      <c r="HH1030" s="7"/>
      <c r="HI1030" s="7"/>
      <c r="HJ1030" s="7"/>
      <c r="HK1030" s="7"/>
      <c r="HL1030" s="7"/>
      <c r="HM1030" s="7"/>
      <c r="HN1030" s="7"/>
      <c r="HO1030" s="7"/>
      <c r="HP1030" s="7"/>
      <c r="HQ1030" s="7"/>
      <c r="HR1030" s="7"/>
      <c r="HS1030" s="7"/>
      <c r="HT1030" s="7"/>
      <c r="HU1030" s="7"/>
      <c r="HV1030" s="7"/>
      <c r="HW1030" s="7"/>
      <c r="HX1030" s="7"/>
      <c r="HY1030" s="7"/>
      <c r="HZ1030" s="7"/>
      <c r="IA1030" s="7"/>
      <c r="IB1030" s="7"/>
      <c r="IC1030" s="7"/>
      <c r="ID1030" s="7"/>
      <c r="IE1030" s="7"/>
      <c r="IF1030" s="7"/>
      <c r="IG1030" s="7"/>
      <c r="IH1030" s="7"/>
      <c r="II1030" s="7"/>
      <c r="IJ1030" s="7"/>
      <c r="IK1030" s="7"/>
      <c r="IL1030" s="7"/>
      <c r="IM1030" s="7"/>
      <c r="IN1030" s="7"/>
      <c r="IO1030" s="7"/>
      <c r="IP1030" s="7"/>
      <c r="IQ1030" s="7"/>
      <c r="IR1030" s="7"/>
      <c r="IS1030" s="7"/>
      <c r="IT1030" s="7"/>
      <c r="IU1030" s="7"/>
      <c r="IV1030" s="7"/>
      <c r="IW1030" s="7"/>
      <c r="IX1030" s="7"/>
    </row>
    <row r="1031" spans="1:258" ht="21.95" customHeight="1" x14ac:dyDescent="0.25">
      <c r="A1031" s="37" t="s">
        <v>1132</v>
      </c>
      <c r="B1031" s="8" t="s">
        <v>374</v>
      </c>
      <c r="C1031" s="2">
        <f t="shared" si="584"/>
        <v>7795320</v>
      </c>
      <c r="D1031" s="3">
        <f t="shared" ref="D1031" si="589">SUM(E1031:J1031)</f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4">
        <v>0</v>
      </c>
      <c r="L1031" s="3">
        <v>0</v>
      </c>
      <c r="M1031" s="3">
        <v>1090.2</v>
      </c>
      <c r="N1031" s="3">
        <f t="shared" si="588"/>
        <v>7195320</v>
      </c>
      <c r="O1031" s="3">
        <v>0</v>
      </c>
      <c r="P1031" s="3">
        <v>0</v>
      </c>
      <c r="Q1031" s="3">
        <v>0</v>
      </c>
      <c r="R1031" s="3">
        <f t="shared" si="577"/>
        <v>0</v>
      </c>
      <c r="S1031" s="3">
        <v>0</v>
      </c>
      <c r="T1031" s="3">
        <v>0</v>
      </c>
      <c r="U1031" s="3">
        <v>600000</v>
      </c>
      <c r="V1031" s="6">
        <f t="shared" si="582"/>
        <v>6600</v>
      </c>
    </row>
    <row r="1032" spans="1:258" s="17" customFormat="1" ht="21.95" customHeight="1" x14ac:dyDescent="0.25">
      <c r="A1032" s="37" t="s">
        <v>1133</v>
      </c>
      <c r="B1032" s="8" t="s">
        <v>1530</v>
      </c>
      <c r="C1032" s="2">
        <f>D1032+L1032+N1032+P1032+R1032+S1032+T1032+U1032</f>
        <v>11184310</v>
      </c>
      <c r="D1032" s="3">
        <f>SUM(E1032:J1032)</f>
        <v>11084310</v>
      </c>
      <c r="E1032" s="3">
        <f>700*3694.77</f>
        <v>2586339</v>
      </c>
      <c r="F1032" s="3">
        <f>1300*3694.77</f>
        <v>4803201</v>
      </c>
      <c r="G1032" s="3">
        <f>300*3694.77</f>
        <v>1108431</v>
      </c>
      <c r="H1032" s="3">
        <f>400*3694.77</f>
        <v>1477908</v>
      </c>
      <c r="I1032" s="3">
        <f>300*3694.77</f>
        <v>1108431</v>
      </c>
      <c r="J1032" s="3">
        <v>0</v>
      </c>
      <c r="K1032" s="4">
        <v>0</v>
      </c>
      <c r="L1032" s="3">
        <v>0</v>
      </c>
      <c r="M1032" s="5">
        <v>0</v>
      </c>
      <c r="N1032" s="3">
        <v>0</v>
      </c>
      <c r="O1032" s="3">
        <v>0</v>
      </c>
      <c r="P1032" s="3">
        <v>0</v>
      </c>
      <c r="Q1032" s="3">
        <v>0</v>
      </c>
      <c r="R1032" s="3">
        <f t="shared" ref="R1032:R1095" si="590">Q1032*3200</f>
        <v>0</v>
      </c>
      <c r="S1032" s="3">
        <v>0</v>
      </c>
      <c r="T1032" s="5">
        <v>0</v>
      </c>
      <c r="U1032" s="3">
        <v>100000</v>
      </c>
      <c r="V1032" s="6" t="e">
        <f t="shared" si="582"/>
        <v>#DIV/0!</v>
      </c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  <c r="BM1032" s="7"/>
      <c r="BN1032" s="7"/>
      <c r="BO1032" s="7"/>
      <c r="BP1032" s="7"/>
      <c r="BQ1032" s="7"/>
      <c r="BR1032" s="7"/>
      <c r="BS1032" s="7"/>
      <c r="BT1032" s="7"/>
      <c r="BU1032" s="7"/>
      <c r="BV1032" s="7"/>
      <c r="BW1032" s="7"/>
      <c r="BX1032" s="7"/>
      <c r="BY1032" s="7"/>
      <c r="BZ1032" s="7"/>
      <c r="CA1032" s="7"/>
      <c r="CB1032" s="7"/>
      <c r="CC1032" s="7"/>
      <c r="CD1032" s="7"/>
      <c r="CE1032" s="7"/>
      <c r="CF1032" s="7"/>
      <c r="CG1032" s="7"/>
      <c r="CH1032" s="7"/>
      <c r="CI1032" s="7"/>
      <c r="CJ1032" s="7"/>
      <c r="CK1032" s="7"/>
      <c r="CL1032" s="7"/>
      <c r="CM1032" s="7"/>
      <c r="CN1032" s="7"/>
      <c r="CO1032" s="7"/>
      <c r="CP1032" s="7"/>
      <c r="CQ1032" s="7"/>
      <c r="CR1032" s="7"/>
      <c r="CS1032" s="7"/>
      <c r="CT1032" s="7"/>
      <c r="CU1032" s="7"/>
      <c r="CV1032" s="7"/>
      <c r="CW1032" s="7"/>
      <c r="CX1032" s="7"/>
      <c r="CY1032" s="7"/>
      <c r="CZ1032" s="7"/>
      <c r="DA1032" s="7"/>
      <c r="DB1032" s="7"/>
      <c r="DC1032" s="7"/>
      <c r="DD1032" s="7"/>
      <c r="DE1032" s="7"/>
      <c r="DF1032" s="7"/>
      <c r="DG1032" s="7"/>
      <c r="DH1032" s="7"/>
      <c r="DI1032" s="7"/>
      <c r="DJ1032" s="7"/>
      <c r="DK1032" s="7"/>
      <c r="DL1032" s="7"/>
      <c r="DM1032" s="7"/>
      <c r="DN1032" s="7"/>
      <c r="DO1032" s="7"/>
      <c r="DP1032" s="7"/>
      <c r="DQ1032" s="7"/>
      <c r="DR1032" s="7"/>
      <c r="DS1032" s="7"/>
      <c r="DT1032" s="7"/>
      <c r="DU1032" s="7"/>
      <c r="DV1032" s="7"/>
      <c r="DW1032" s="7"/>
      <c r="DX1032" s="7"/>
      <c r="DY1032" s="7"/>
      <c r="DZ1032" s="7"/>
      <c r="EA1032" s="7"/>
      <c r="EB1032" s="7"/>
      <c r="EC1032" s="7"/>
      <c r="ED1032" s="7"/>
      <c r="EE1032" s="7"/>
      <c r="EF1032" s="7"/>
      <c r="EG1032" s="7"/>
      <c r="EH1032" s="7"/>
      <c r="EI1032" s="7"/>
      <c r="EJ1032" s="7"/>
      <c r="EK1032" s="7"/>
      <c r="EL1032" s="7"/>
      <c r="EM1032" s="7"/>
      <c r="EN1032" s="7"/>
      <c r="EO1032" s="7"/>
      <c r="EP1032" s="7"/>
      <c r="EQ1032" s="7"/>
      <c r="ER1032" s="7"/>
      <c r="ES1032" s="7"/>
      <c r="ET1032" s="7"/>
      <c r="EU1032" s="7"/>
      <c r="EV1032" s="7"/>
      <c r="EW1032" s="7"/>
      <c r="EX1032" s="7"/>
      <c r="EY1032" s="7"/>
      <c r="EZ1032" s="7"/>
      <c r="FA1032" s="7"/>
      <c r="FB1032" s="7"/>
      <c r="FC1032" s="7"/>
      <c r="FD1032" s="7"/>
      <c r="FE1032" s="7"/>
      <c r="FF1032" s="7"/>
      <c r="FG1032" s="7"/>
      <c r="FH1032" s="7"/>
      <c r="FI1032" s="7"/>
      <c r="FJ1032" s="7"/>
      <c r="FK1032" s="7"/>
      <c r="FL1032" s="7"/>
      <c r="FM1032" s="7"/>
      <c r="FN1032" s="7"/>
      <c r="FO1032" s="7"/>
      <c r="FP1032" s="7"/>
      <c r="FQ1032" s="7"/>
      <c r="FR1032" s="7"/>
      <c r="FS1032" s="7"/>
      <c r="FT1032" s="7"/>
      <c r="FU1032" s="7"/>
      <c r="FV1032" s="7"/>
      <c r="FW1032" s="7"/>
      <c r="FX1032" s="7"/>
      <c r="FY1032" s="7"/>
      <c r="FZ1032" s="7"/>
      <c r="GA1032" s="7"/>
      <c r="GB1032" s="7"/>
      <c r="GC1032" s="7"/>
      <c r="GD1032" s="7"/>
      <c r="GE1032" s="7"/>
      <c r="GF1032" s="7"/>
      <c r="GG1032" s="7"/>
      <c r="GH1032" s="7"/>
      <c r="GI1032" s="7"/>
      <c r="GJ1032" s="7"/>
      <c r="GK1032" s="7"/>
      <c r="GL1032" s="7"/>
      <c r="GM1032" s="7"/>
      <c r="GN1032" s="7"/>
      <c r="GO1032" s="7"/>
      <c r="GP1032" s="7"/>
      <c r="GQ1032" s="7"/>
      <c r="GR1032" s="7"/>
      <c r="GS1032" s="7"/>
      <c r="GT1032" s="7"/>
      <c r="GU1032" s="7"/>
      <c r="GV1032" s="7"/>
      <c r="GW1032" s="7"/>
      <c r="GX1032" s="7"/>
      <c r="GY1032" s="7"/>
      <c r="GZ1032" s="7"/>
      <c r="HA1032" s="7"/>
      <c r="HB1032" s="7"/>
      <c r="HC1032" s="7"/>
      <c r="HD1032" s="7"/>
      <c r="HE1032" s="7"/>
      <c r="HF1032" s="7"/>
      <c r="HG1032" s="7"/>
      <c r="HH1032" s="7"/>
      <c r="HI1032" s="7"/>
      <c r="HJ1032" s="7"/>
      <c r="HK1032" s="7"/>
      <c r="HL1032" s="7"/>
      <c r="HM1032" s="7"/>
      <c r="HN1032" s="7"/>
      <c r="HO1032" s="7"/>
      <c r="HP1032" s="7"/>
      <c r="HQ1032" s="7"/>
      <c r="HR1032" s="7"/>
      <c r="HS1032" s="7"/>
      <c r="HT1032" s="7"/>
      <c r="HU1032" s="7"/>
      <c r="HV1032" s="7"/>
      <c r="HW1032" s="7"/>
      <c r="HX1032" s="7"/>
      <c r="HY1032" s="7"/>
      <c r="HZ1032" s="7"/>
      <c r="IA1032" s="7"/>
      <c r="IB1032" s="7"/>
      <c r="IC1032" s="7"/>
      <c r="ID1032" s="7"/>
      <c r="IE1032" s="7"/>
      <c r="IF1032" s="7"/>
      <c r="IG1032" s="7"/>
      <c r="IH1032" s="7"/>
      <c r="II1032" s="7"/>
      <c r="IJ1032" s="7"/>
      <c r="IK1032" s="7"/>
      <c r="IL1032" s="7"/>
      <c r="IM1032" s="7"/>
      <c r="IN1032" s="7"/>
      <c r="IO1032" s="7"/>
      <c r="IP1032" s="7"/>
      <c r="IQ1032" s="7"/>
      <c r="IR1032" s="7"/>
      <c r="IS1032" s="7"/>
      <c r="IT1032" s="7"/>
      <c r="IU1032" s="7"/>
      <c r="IV1032" s="7"/>
      <c r="IW1032" s="7"/>
      <c r="IX1032" s="7"/>
    </row>
    <row r="1033" spans="1:258" ht="21.95" customHeight="1" x14ac:dyDescent="0.25">
      <c r="A1033" s="37" t="s">
        <v>1134</v>
      </c>
      <c r="B1033" s="8" t="s">
        <v>726</v>
      </c>
      <c r="C1033" s="2">
        <f>D1033+L1033+N1033+P1033+R1033+S1033+T1033+U1033</f>
        <v>106321700</v>
      </c>
      <c r="D1033" s="3">
        <f>SUM(E1033:J1033)</f>
        <v>47609700</v>
      </c>
      <c r="E1033" s="3">
        <f>700*15869.9</f>
        <v>11108930</v>
      </c>
      <c r="F1033" s="3">
        <f>1300*15869.9</f>
        <v>20630870</v>
      </c>
      <c r="G1033" s="3">
        <f>300*15869.9</f>
        <v>4760970</v>
      </c>
      <c r="H1033" s="3">
        <f>400*15869.9</f>
        <v>6347960</v>
      </c>
      <c r="I1033" s="3">
        <f>300*15869.9</f>
        <v>4760970</v>
      </c>
      <c r="J1033" s="3">
        <v>0</v>
      </c>
      <c r="K1033" s="4">
        <v>0</v>
      </c>
      <c r="L1033" s="3">
        <v>0</v>
      </c>
      <c r="M1033" s="5">
        <v>5060</v>
      </c>
      <c r="N1033" s="3">
        <f>M1033*6600</f>
        <v>33396000</v>
      </c>
      <c r="O1033" s="3">
        <v>0</v>
      </c>
      <c r="P1033" s="3">
        <v>0</v>
      </c>
      <c r="Q1033" s="3">
        <v>7880</v>
      </c>
      <c r="R1033" s="3">
        <f t="shared" si="590"/>
        <v>25216000</v>
      </c>
      <c r="S1033" s="3">
        <v>0</v>
      </c>
      <c r="T1033" s="5">
        <v>0</v>
      </c>
      <c r="U1033" s="3">
        <v>100000</v>
      </c>
      <c r="V1033" s="6">
        <f>N1033/M1033</f>
        <v>6600</v>
      </c>
    </row>
    <row r="1034" spans="1:258" ht="21.95" customHeight="1" x14ac:dyDescent="0.25">
      <c r="A1034" s="37" t="s">
        <v>1135</v>
      </c>
      <c r="B1034" s="8" t="s">
        <v>817</v>
      </c>
      <c r="C1034" s="2">
        <f t="shared" si="584"/>
        <v>4953600</v>
      </c>
      <c r="D1034" s="3">
        <f t="shared" si="583"/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4">
        <v>0</v>
      </c>
      <c r="L1034" s="3">
        <v>0</v>
      </c>
      <c r="M1034" s="5">
        <v>0</v>
      </c>
      <c r="N1034" s="5">
        <v>0</v>
      </c>
      <c r="O1034" s="3">
        <v>0</v>
      </c>
      <c r="P1034" s="3">
        <v>0</v>
      </c>
      <c r="Q1034" s="3">
        <v>1548</v>
      </c>
      <c r="R1034" s="3">
        <f t="shared" si="590"/>
        <v>4953600</v>
      </c>
      <c r="S1034" s="3">
        <v>0</v>
      </c>
      <c r="T1034" s="5">
        <v>0</v>
      </c>
      <c r="U1034" s="3">
        <v>0</v>
      </c>
      <c r="V1034" s="6" t="e">
        <f t="shared" si="582"/>
        <v>#DIV/0!</v>
      </c>
    </row>
    <row r="1035" spans="1:258" ht="21.95" customHeight="1" x14ac:dyDescent="0.25">
      <c r="A1035" s="37" t="s">
        <v>1136</v>
      </c>
      <c r="B1035" s="8" t="s">
        <v>538</v>
      </c>
      <c r="C1035" s="2">
        <f t="shared" si="584"/>
        <v>3516479.9999999995</v>
      </c>
      <c r="D1035" s="3">
        <f t="shared" ref="D1035" si="591">SUM(E1035:J1035)</f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11">
        <v>0</v>
      </c>
      <c r="L1035" s="5">
        <v>0</v>
      </c>
      <c r="M1035" s="5">
        <v>532.79999999999995</v>
      </c>
      <c r="N1035" s="3">
        <f>M1035*6600</f>
        <v>3516479.9999999995</v>
      </c>
      <c r="O1035" s="5">
        <v>0</v>
      </c>
      <c r="P1035" s="5">
        <v>0</v>
      </c>
      <c r="Q1035" s="5">
        <v>0</v>
      </c>
      <c r="R1035" s="3">
        <f t="shared" si="590"/>
        <v>0</v>
      </c>
      <c r="S1035" s="5">
        <v>0</v>
      </c>
      <c r="T1035" s="5">
        <v>0</v>
      </c>
      <c r="U1035" s="5">
        <v>0</v>
      </c>
      <c r="V1035" s="6">
        <f t="shared" si="582"/>
        <v>6600</v>
      </c>
    </row>
    <row r="1036" spans="1:258" ht="21.95" customHeight="1" x14ac:dyDescent="0.25">
      <c r="A1036" s="37" t="s">
        <v>1137</v>
      </c>
      <c r="B1036" s="8" t="s">
        <v>801</v>
      </c>
      <c r="C1036" s="2">
        <f t="shared" si="584"/>
        <v>1400520</v>
      </c>
      <c r="D1036" s="3">
        <f t="shared" si="583"/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4">
        <v>0</v>
      </c>
      <c r="L1036" s="3">
        <v>0</v>
      </c>
      <c r="M1036" s="5">
        <v>212.2</v>
      </c>
      <c r="N1036" s="3">
        <f>M1036*6600</f>
        <v>1400520</v>
      </c>
      <c r="O1036" s="3">
        <v>0</v>
      </c>
      <c r="P1036" s="3">
        <v>0</v>
      </c>
      <c r="Q1036" s="3">
        <v>0</v>
      </c>
      <c r="R1036" s="3">
        <f t="shared" si="590"/>
        <v>0</v>
      </c>
      <c r="S1036" s="3">
        <v>0</v>
      </c>
      <c r="T1036" s="5">
        <v>0</v>
      </c>
      <c r="U1036" s="3">
        <v>0</v>
      </c>
      <c r="V1036" s="6">
        <f t="shared" si="582"/>
        <v>6600</v>
      </c>
    </row>
    <row r="1037" spans="1:258" ht="21.95" customHeight="1" x14ac:dyDescent="0.25">
      <c r="A1037" s="37" t="s">
        <v>1138</v>
      </c>
      <c r="B1037" s="23" t="s">
        <v>539</v>
      </c>
      <c r="C1037" s="2">
        <f t="shared" si="584"/>
        <v>1848000</v>
      </c>
      <c r="D1037" s="3">
        <f t="shared" ref="D1037" si="592">SUM(E1037:J1037)</f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11">
        <v>0</v>
      </c>
      <c r="L1037" s="5">
        <v>0</v>
      </c>
      <c r="M1037" s="5">
        <v>280</v>
      </c>
      <c r="N1037" s="3">
        <f>M1037*6600</f>
        <v>1848000</v>
      </c>
      <c r="O1037" s="5">
        <v>0</v>
      </c>
      <c r="P1037" s="5">
        <v>0</v>
      </c>
      <c r="Q1037" s="5">
        <v>0</v>
      </c>
      <c r="R1037" s="3">
        <f t="shared" si="590"/>
        <v>0</v>
      </c>
      <c r="S1037" s="5">
        <v>0</v>
      </c>
      <c r="T1037" s="5">
        <v>0</v>
      </c>
      <c r="U1037" s="5">
        <v>0</v>
      </c>
      <c r="V1037" s="6">
        <f t="shared" si="582"/>
        <v>6600</v>
      </c>
    </row>
    <row r="1038" spans="1:258" ht="21.95" customHeight="1" x14ac:dyDescent="0.25">
      <c r="A1038" s="37" t="s">
        <v>1221</v>
      </c>
      <c r="B1038" s="23" t="s">
        <v>727</v>
      </c>
      <c r="C1038" s="2">
        <f t="shared" si="584"/>
        <v>2105400</v>
      </c>
      <c r="D1038" s="3">
        <f t="shared" si="583"/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4">
        <v>0</v>
      </c>
      <c r="L1038" s="3">
        <v>0</v>
      </c>
      <c r="M1038" s="5">
        <v>319</v>
      </c>
      <c r="N1038" s="3">
        <f>M1038*6600</f>
        <v>2105400</v>
      </c>
      <c r="O1038" s="3">
        <v>0</v>
      </c>
      <c r="P1038" s="3">
        <v>0</v>
      </c>
      <c r="Q1038" s="3">
        <v>0</v>
      </c>
      <c r="R1038" s="3">
        <f t="shared" si="590"/>
        <v>0</v>
      </c>
      <c r="S1038" s="3">
        <v>0</v>
      </c>
      <c r="T1038" s="5">
        <v>0</v>
      </c>
      <c r="U1038" s="3">
        <v>0</v>
      </c>
      <c r="V1038" s="6">
        <f t="shared" si="582"/>
        <v>6600</v>
      </c>
    </row>
    <row r="1039" spans="1:258" s="17" customFormat="1" ht="21.95" customHeight="1" x14ac:dyDescent="0.25">
      <c r="A1039" s="37" t="s">
        <v>1139</v>
      </c>
      <c r="B1039" s="8" t="s">
        <v>802</v>
      </c>
      <c r="C1039" s="2">
        <f t="shared" si="584"/>
        <v>4272000</v>
      </c>
      <c r="D1039" s="3">
        <f t="shared" si="583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5">
        <v>960</v>
      </c>
      <c r="N1039" s="3">
        <f>M1039*4450</f>
        <v>4272000</v>
      </c>
      <c r="O1039" s="3">
        <v>0</v>
      </c>
      <c r="P1039" s="3">
        <v>0</v>
      </c>
      <c r="Q1039" s="3">
        <v>0</v>
      </c>
      <c r="R1039" s="3">
        <f t="shared" si="590"/>
        <v>0</v>
      </c>
      <c r="S1039" s="3">
        <v>0</v>
      </c>
      <c r="T1039" s="5">
        <v>0</v>
      </c>
      <c r="U1039" s="3">
        <v>0</v>
      </c>
      <c r="V1039" s="6">
        <f t="shared" si="582"/>
        <v>4450</v>
      </c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  <c r="BF1039" s="7"/>
      <c r="BG1039" s="7"/>
      <c r="BH1039" s="7"/>
      <c r="BI1039" s="7"/>
      <c r="BJ1039" s="7"/>
      <c r="BK1039" s="7"/>
      <c r="BL1039" s="7"/>
      <c r="BM1039" s="7"/>
      <c r="BN1039" s="7"/>
      <c r="BO1039" s="7"/>
      <c r="BP1039" s="7"/>
      <c r="BQ1039" s="7"/>
      <c r="BR1039" s="7"/>
      <c r="BS1039" s="7"/>
      <c r="BT1039" s="7"/>
      <c r="BU1039" s="7"/>
      <c r="BV1039" s="7"/>
      <c r="BW1039" s="7"/>
      <c r="BX1039" s="7"/>
      <c r="BY1039" s="7"/>
      <c r="BZ1039" s="7"/>
      <c r="CA1039" s="7"/>
      <c r="CB1039" s="7"/>
      <c r="CC1039" s="7"/>
      <c r="CD1039" s="7"/>
      <c r="CE1039" s="7"/>
      <c r="CF1039" s="7"/>
      <c r="CG1039" s="7"/>
      <c r="CH1039" s="7"/>
      <c r="CI1039" s="7"/>
      <c r="CJ1039" s="7"/>
      <c r="CK1039" s="7"/>
      <c r="CL1039" s="7"/>
      <c r="CM1039" s="7"/>
      <c r="CN1039" s="7"/>
      <c r="CO1039" s="7"/>
      <c r="CP1039" s="7"/>
      <c r="CQ1039" s="7"/>
      <c r="CR1039" s="7"/>
      <c r="CS1039" s="7"/>
      <c r="CT1039" s="7"/>
      <c r="CU1039" s="7"/>
      <c r="CV1039" s="7"/>
      <c r="CW1039" s="7"/>
      <c r="CX1039" s="7"/>
      <c r="CY1039" s="7"/>
      <c r="CZ1039" s="7"/>
      <c r="DA1039" s="7"/>
      <c r="DB1039" s="7"/>
      <c r="DC1039" s="7"/>
      <c r="DD1039" s="7"/>
      <c r="DE1039" s="7"/>
      <c r="DF1039" s="7"/>
      <c r="DG1039" s="7"/>
      <c r="DH1039" s="7"/>
      <c r="DI1039" s="7"/>
      <c r="DJ1039" s="7"/>
      <c r="DK1039" s="7"/>
      <c r="DL1039" s="7"/>
      <c r="DM1039" s="7"/>
      <c r="DN1039" s="7"/>
      <c r="DO1039" s="7"/>
      <c r="DP1039" s="7"/>
      <c r="DQ1039" s="7"/>
      <c r="DR1039" s="7"/>
      <c r="DS1039" s="7"/>
      <c r="DT1039" s="7"/>
      <c r="DU1039" s="7"/>
      <c r="DV1039" s="7"/>
      <c r="DW1039" s="7"/>
      <c r="DX1039" s="7"/>
      <c r="DY1039" s="7"/>
      <c r="DZ1039" s="7"/>
      <c r="EA1039" s="7"/>
      <c r="EB1039" s="7"/>
      <c r="EC1039" s="7"/>
      <c r="ED1039" s="7"/>
      <c r="EE1039" s="7"/>
      <c r="EF1039" s="7"/>
      <c r="EG1039" s="7"/>
      <c r="EH1039" s="7"/>
      <c r="EI1039" s="7"/>
      <c r="EJ1039" s="7"/>
      <c r="EK1039" s="7"/>
      <c r="EL1039" s="7"/>
      <c r="EM1039" s="7"/>
      <c r="EN1039" s="7"/>
      <c r="EO1039" s="7"/>
      <c r="EP1039" s="7"/>
      <c r="EQ1039" s="7"/>
      <c r="ER1039" s="7"/>
      <c r="ES1039" s="7"/>
      <c r="ET1039" s="7"/>
      <c r="EU1039" s="7"/>
      <c r="EV1039" s="7"/>
      <c r="EW1039" s="7"/>
      <c r="EX1039" s="7"/>
      <c r="EY1039" s="7"/>
      <c r="EZ1039" s="7"/>
      <c r="FA1039" s="7"/>
      <c r="FB1039" s="7"/>
      <c r="FC1039" s="7"/>
      <c r="FD1039" s="7"/>
      <c r="FE1039" s="7"/>
      <c r="FF1039" s="7"/>
      <c r="FG1039" s="7"/>
      <c r="FH1039" s="7"/>
      <c r="FI1039" s="7"/>
      <c r="FJ1039" s="7"/>
      <c r="FK1039" s="7"/>
      <c r="FL1039" s="7"/>
      <c r="FM1039" s="7"/>
      <c r="FN1039" s="7"/>
      <c r="FO1039" s="7"/>
      <c r="FP1039" s="7"/>
      <c r="FQ1039" s="7"/>
      <c r="FR1039" s="7"/>
      <c r="FS1039" s="7"/>
      <c r="FT1039" s="7"/>
      <c r="FU1039" s="7"/>
      <c r="FV1039" s="7"/>
      <c r="FW1039" s="7"/>
      <c r="FX1039" s="7"/>
      <c r="FY1039" s="7"/>
      <c r="FZ1039" s="7"/>
      <c r="GA1039" s="7"/>
      <c r="GB1039" s="7"/>
      <c r="GC1039" s="7"/>
      <c r="GD1039" s="7"/>
      <c r="GE1039" s="7"/>
      <c r="GF1039" s="7"/>
      <c r="GG1039" s="7"/>
      <c r="GH1039" s="7"/>
      <c r="GI1039" s="7"/>
      <c r="GJ1039" s="7"/>
      <c r="GK1039" s="7"/>
      <c r="GL1039" s="7"/>
      <c r="GM1039" s="7"/>
      <c r="GN1039" s="7"/>
      <c r="GO1039" s="7"/>
      <c r="GP1039" s="7"/>
      <c r="GQ1039" s="7"/>
      <c r="GR1039" s="7"/>
      <c r="GS1039" s="7"/>
      <c r="GT1039" s="7"/>
      <c r="GU1039" s="7"/>
      <c r="GV1039" s="7"/>
      <c r="GW1039" s="7"/>
      <c r="GX1039" s="7"/>
      <c r="GY1039" s="7"/>
      <c r="GZ1039" s="7"/>
      <c r="HA1039" s="7"/>
      <c r="HB1039" s="7"/>
      <c r="HC1039" s="7"/>
      <c r="HD1039" s="7"/>
      <c r="HE1039" s="7"/>
      <c r="HF1039" s="7"/>
      <c r="HG1039" s="7"/>
      <c r="HH1039" s="7"/>
      <c r="HI1039" s="7"/>
      <c r="HJ1039" s="7"/>
      <c r="HK1039" s="7"/>
      <c r="HL1039" s="7"/>
      <c r="HM1039" s="7"/>
      <c r="HN1039" s="7"/>
      <c r="HO1039" s="7"/>
      <c r="HP1039" s="7"/>
      <c r="HQ1039" s="7"/>
      <c r="HR1039" s="7"/>
      <c r="HS1039" s="7"/>
      <c r="HT1039" s="7"/>
      <c r="HU1039" s="7"/>
      <c r="HV1039" s="7"/>
      <c r="HW1039" s="7"/>
      <c r="HX1039" s="7"/>
      <c r="HY1039" s="7"/>
      <c r="HZ1039" s="7"/>
      <c r="IA1039" s="7"/>
      <c r="IB1039" s="7"/>
      <c r="IC1039" s="7"/>
      <c r="ID1039" s="7"/>
      <c r="IE1039" s="7"/>
      <c r="IF1039" s="7"/>
      <c r="IG1039" s="7"/>
      <c r="IH1039" s="7"/>
      <c r="II1039" s="7"/>
      <c r="IJ1039" s="7"/>
      <c r="IK1039" s="7"/>
      <c r="IL1039" s="7"/>
      <c r="IM1039" s="7"/>
      <c r="IN1039" s="7"/>
      <c r="IO1039" s="7"/>
      <c r="IP1039" s="7"/>
      <c r="IQ1039" s="7"/>
      <c r="IR1039" s="7"/>
      <c r="IS1039" s="7"/>
      <c r="IT1039" s="7"/>
      <c r="IU1039" s="7"/>
      <c r="IV1039" s="7"/>
      <c r="IW1039" s="7"/>
      <c r="IX1039" s="7"/>
    </row>
    <row r="1040" spans="1:258" ht="21.95" customHeight="1" x14ac:dyDescent="0.25">
      <c r="A1040" s="37" t="s">
        <v>1140</v>
      </c>
      <c r="B1040" s="8" t="s">
        <v>462</v>
      </c>
      <c r="C1040" s="2">
        <f>D1040+L1040+N1040+P1040+R1040+S1040+T1040+U1040</f>
        <v>14689000</v>
      </c>
      <c r="D1040" s="3">
        <f>SUM(E1040:J1040)</f>
        <v>14589000</v>
      </c>
      <c r="E1040" s="3">
        <f>700*4863</f>
        <v>3404100</v>
      </c>
      <c r="F1040" s="3">
        <f>1300*4863</f>
        <v>6321900</v>
      </c>
      <c r="G1040" s="3">
        <f>300*4863</f>
        <v>1458900</v>
      </c>
      <c r="H1040" s="3">
        <f>400*4863</f>
        <v>1945200</v>
      </c>
      <c r="I1040" s="3">
        <f>300*4863</f>
        <v>1458900</v>
      </c>
      <c r="J1040" s="3">
        <v>0</v>
      </c>
      <c r="K1040" s="4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0</v>
      </c>
      <c r="Q1040" s="3">
        <v>0</v>
      </c>
      <c r="R1040" s="3">
        <f t="shared" si="590"/>
        <v>0</v>
      </c>
      <c r="S1040" s="3">
        <v>0</v>
      </c>
      <c r="T1040" s="5">
        <v>0</v>
      </c>
      <c r="U1040" s="3">
        <v>100000</v>
      </c>
      <c r="V1040" s="6" t="e">
        <f>N1040/M1040</f>
        <v>#DIV/0!</v>
      </c>
    </row>
    <row r="1041" spans="1:258" ht="21.95" customHeight="1" x14ac:dyDescent="0.25">
      <c r="A1041" s="37" t="s">
        <v>1141</v>
      </c>
      <c r="B1041" s="8" t="s">
        <v>448</v>
      </c>
      <c r="C1041" s="2">
        <f>D1041+L1041+N1041+P1041+R1041+S1041+T1041+U1041</f>
        <v>24707500</v>
      </c>
      <c r="D1041" s="3">
        <f>SUM(E1041:J1041)</f>
        <v>24607500</v>
      </c>
      <c r="E1041" s="3">
        <f>700*8202.5</f>
        <v>5741750</v>
      </c>
      <c r="F1041" s="3">
        <f>1300*8202.5</f>
        <v>10663250</v>
      </c>
      <c r="G1041" s="3">
        <f>300*8202.5</f>
        <v>2460750</v>
      </c>
      <c r="H1041" s="3">
        <f>400*8202.5</f>
        <v>3281000</v>
      </c>
      <c r="I1041" s="3">
        <f>300*8202.5</f>
        <v>2460750</v>
      </c>
      <c r="J1041" s="3">
        <v>0</v>
      </c>
      <c r="K1041" s="4">
        <v>0</v>
      </c>
      <c r="L1041" s="3">
        <v>0</v>
      </c>
      <c r="M1041" s="3">
        <v>0</v>
      </c>
      <c r="N1041" s="3">
        <v>0</v>
      </c>
      <c r="O1041" s="3">
        <v>0</v>
      </c>
      <c r="P1041" s="3">
        <v>0</v>
      </c>
      <c r="Q1041" s="3">
        <v>0</v>
      </c>
      <c r="R1041" s="3">
        <f t="shared" si="590"/>
        <v>0</v>
      </c>
      <c r="S1041" s="3">
        <v>0</v>
      </c>
      <c r="T1041" s="5">
        <v>0</v>
      </c>
      <c r="U1041" s="3">
        <v>100000</v>
      </c>
      <c r="V1041" s="6" t="e">
        <f>N1041/M1041</f>
        <v>#DIV/0!</v>
      </c>
    </row>
    <row r="1042" spans="1:258" ht="21.95" customHeight="1" x14ac:dyDescent="0.25">
      <c r="A1042" s="37" t="s">
        <v>1142</v>
      </c>
      <c r="B1042" s="8" t="s">
        <v>728</v>
      </c>
      <c r="C1042" s="2">
        <f t="shared" si="584"/>
        <v>2912148</v>
      </c>
      <c r="D1042" s="3">
        <f t="shared" si="583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3">
        <v>395.78</v>
      </c>
      <c r="N1042" s="3">
        <f>M1042*6600</f>
        <v>2612148</v>
      </c>
      <c r="O1042" s="3">
        <v>0</v>
      </c>
      <c r="P1042" s="3">
        <v>0</v>
      </c>
      <c r="Q1042" s="3">
        <v>0</v>
      </c>
      <c r="R1042" s="3">
        <f t="shared" si="590"/>
        <v>0</v>
      </c>
      <c r="S1042" s="3">
        <v>0</v>
      </c>
      <c r="T1042" s="5">
        <v>0</v>
      </c>
      <c r="U1042" s="3">
        <v>300000</v>
      </c>
      <c r="V1042" s="6">
        <f t="shared" si="582"/>
        <v>6600.0000000000009</v>
      </c>
    </row>
    <row r="1043" spans="1:258" ht="21.95" customHeight="1" x14ac:dyDescent="0.25">
      <c r="A1043" s="37" t="s">
        <v>1143</v>
      </c>
      <c r="B1043" s="8" t="s">
        <v>803</v>
      </c>
      <c r="C1043" s="2">
        <f t="shared" si="584"/>
        <v>2514600</v>
      </c>
      <c r="D1043" s="3">
        <f t="shared" si="583"/>
        <v>0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4">
        <v>0</v>
      </c>
      <c r="L1043" s="3">
        <v>0</v>
      </c>
      <c r="M1043" s="5">
        <v>381</v>
      </c>
      <c r="N1043" s="3">
        <f>M1043*6600</f>
        <v>2514600</v>
      </c>
      <c r="O1043" s="3">
        <v>0</v>
      </c>
      <c r="P1043" s="3">
        <v>0</v>
      </c>
      <c r="Q1043" s="3">
        <v>0</v>
      </c>
      <c r="R1043" s="3">
        <f t="shared" si="590"/>
        <v>0</v>
      </c>
      <c r="S1043" s="3">
        <v>0</v>
      </c>
      <c r="T1043" s="5">
        <v>0</v>
      </c>
      <c r="U1043" s="3">
        <v>0</v>
      </c>
      <c r="V1043" s="6">
        <f t="shared" si="582"/>
        <v>6600</v>
      </c>
    </row>
    <row r="1044" spans="1:258" ht="21.95" customHeight="1" x14ac:dyDescent="0.25">
      <c r="A1044" s="37" t="s">
        <v>1144</v>
      </c>
      <c r="B1044" s="8" t="s">
        <v>628</v>
      </c>
      <c r="C1044" s="2">
        <f t="shared" si="584"/>
        <v>1111960</v>
      </c>
      <c r="D1044" s="3">
        <f t="shared" ref="D1044" si="593">SUM(E1044:J1044)</f>
        <v>1011960</v>
      </c>
      <c r="E1044" s="5">
        <f>700*337.32</f>
        <v>236124</v>
      </c>
      <c r="F1044" s="5">
        <f>1300*337.32</f>
        <v>438516</v>
      </c>
      <c r="G1044" s="5">
        <f>300*337.32</f>
        <v>101196</v>
      </c>
      <c r="H1044" s="5">
        <f>400*337.32</f>
        <v>134928</v>
      </c>
      <c r="I1044" s="5">
        <f>300*337.32</f>
        <v>101196</v>
      </c>
      <c r="J1044" s="5">
        <f>350*0</f>
        <v>0</v>
      </c>
      <c r="K1044" s="11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3">
        <f t="shared" si="590"/>
        <v>0</v>
      </c>
      <c r="S1044" s="5">
        <v>0</v>
      </c>
      <c r="T1044" s="5">
        <v>0</v>
      </c>
      <c r="U1044" s="5">
        <v>100000</v>
      </c>
      <c r="V1044" s="6" t="e">
        <f t="shared" si="582"/>
        <v>#DIV/0!</v>
      </c>
    </row>
    <row r="1045" spans="1:258" s="26" customFormat="1" ht="21.95" customHeight="1" x14ac:dyDescent="0.25">
      <c r="A1045" s="37" t="s">
        <v>1145</v>
      </c>
      <c r="B1045" s="8" t="s">
        <v>729</v>
      </c>
      <c r="C1045" s="2">
        <f t="shared" si="584"/>
        <v>1702800</v>
      </c>
      <c r="D1045" s="3">
        <f t="shared" si="583"/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4">
        <v>0</v>
      </c>
      <c r="L1045" s="3">
        <v>0</v>
      </c>
      <c r="M1045" s="5">
        <v>258</v>
      </c>
      <c r="N1045" s="3">
        <f t="shared" ref="N1045:N1069" si="594">M1045*6600</f>
        <v>1702800</v>
      </c>
      <c r="O1045" s="3">
        <v>0</v>
      </c>
      <c r="P1045" s="3">
        <v>0</v>
      </c>
      <c r="Q1045" s="3">
        <v>0</v>
      </c>
      <c r="R1045" s="3">
        <f t="shared" si="590"/>
        <v>0</v>
      </c>
      <c r="S1045" s="3">
        <v>0</v>
      </c>
      <c r="T1045" s="5">
        <v>0</v>
      </c>
      <c r="U1045" s="3">
        <v>0</v>
      </c>
      <c r="V1045" s="6">
        <f t="shared" si="582"/>
        <v>6600</v>
      </c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  <c r="BF1045" s="7"/>
      <c r="BG1045" s="7"/>
      <c r="BH1045" s="7"/>
      <c r="BI1045" s="7"/>
      <c r="BJ1045" s="7"/>
      <c r="BK1045" s="7"/>
      <c r="BL1045" s="7"/>
      <c r="BM1045" s="7"/>
      <c r="BN1045" s="7"/>
      <c r="BO1045" s="7"/>
      <c r="BP1045" s="7"/>
      <c r="BQ1045" s="7"/>
      <c r="BR1045" s="7"/>
      <c r="BS1045" s="7"/>
      <c r="BT1045" s="7"/>
      <c r="BU1045" s="7"/>
      <c r="BV1045" s="7"/>
      <c r="BW1045" s="7"/>
      <c r="BX1045" s="7"/>
      <c r="BY1045" s="7"/>
      <c r="BZ1045" s="7"/>
      <c r="CA1045" s="7"/>
      <c r="CB1045" s="7"/>
      <c r="CC1045" s="7"/>
      <c r="CD1045" s="7"/>
      <c r="CE1045" s="7"/>
      <c r="CF1045" s="7"/>
      <c r="CG1045" s="7"/>
      <c r="CH1045" s="7"/>
      <c r="CI1045" s="7"/>
      <c r="CJ1045" s="7"/>
      <c r="CK1045" s="7"/>
      <c r="CL1045" s="7"/>
      <c r="CM1045" s="7"/>
      <c r="CN1045" s="7"/>
      <c r="CO1045" s="7"/>
      <c r="CP1045" s="7"/>
      <c r="CQ1045" s="7"/>
      <c r="CR1045" s="7"/>
      <c r="CS1045" s="7"/>
      <c r="CT1045" s="7"/>
      <c r="CU1045" s="7"/>
      <c r="CV1045" s="7"/>
      <c r="CW1045" s="7"/>
      <c r="CX1045" s="7"/>
      <c r="CY1045" s="7"/>
      <c r="CZ1045" s="7"/>
      <c r="DA1045" s="7"/>
      <c r="DB1045" s="7"/>
      <c r="DC1045" s="7"/>
      <c r="DD1045" s="7"/>
      <c r="DE1045" s="7"/>
      <c r="DF1045" s="7"/>
      <c r="DG1045" s="7"/>
      <c r="DH1045" s="7"/>
      <c r="DI1045" s="7"/>
      <c r="DJ1045" s="7"/>
      <c r="DK1045" s="7"/>
      <c r="DL1045" s="7"/>
      <c r="DM1045" s="7"/>
      <c r="DN1045" s="7"/>
      <c r="DO1045" s="7"/>
      <c r="DP1045" s="7"/>
      <c r="DQ1045" s="7"/>
      <c r="DR1045" s="7"/>
      <c r="DS1045" s="7"/>
      <c r="DT1045" s="7"/>
      <c r="DU1045" s="7"/>
      <c r="DV1045" s="7"/>
      <c r="DW1045" s="7"/>
      <c r="DX1045" s="7"/>
      <c r="DY1045" s="7"/>
      <c r="DZ1045" s="7"/>
      <c r="EA1045" s="7"/>
      <c r="EB1045" s="7"/>
      <c r="EC1045" s="7"/>
      <c r="ED1045" s="7"/>
      <c r="EE1045" s="7"/>
      <c r="EF1045" s="7"/>
      <c r="EG1045" s="7"/>
      <c r="EH1045" s="7"/>
      <c r="EI1045" s="7"/>
      <c r="EJ1045" s="7"/>
      <c r="EK1045" s="7"/>
      <c r="EL1045" s="7"/>
      <c r="EM1045" s="7"/>
      <c r="EN1045" s="7"/>
      <c r="EO1045" s="7"/>
      <c r="EP1045" s="7"/>
      <c r="EQ1045" s="7"/>
      <c r="ER1045" s="7"/>
      <c r="ES1045" s="7"/>
      <c r="ET1045" s="7"/>
      <c r="EU1045" s="7"/>
      <c r="EV1045" s="7"/>
      <c r="EW1045" s="7"/>
      <c r="EX1045" s="7"/>
      <c r="EY1045" s="7"/>
      <c r="EZ1045" s="7"/>
      <c r="FA1045" s="7"/>
      <c r="FB1045" s="7"/>
      <c r="FC1045" s="7"/>
      <c r="FD1045" s="7"/>
      <c r="FE1045" s="7"/>
      <c r="FF1045" s="7"/>
      <c r="FG1045" s="7"/>
      <c r="FH1045" s="7"/>
      <c r="FI1045" s="7"/>
      <c r="FJ1045" s="7"/>
      <c r="FK1045" s="7"/>
      <c r="FL1045" s="7"/>
      <c r="FM1045" s="7"/>
      <c r="FN1045" s="7"/>
      <c r="FO1045" s="7"/>
      <c r="FP1045" s="7"/>
      <c r="FQ1045" s="7"/>
      <c r="FR1045" s="7"/>
      <c r="FS1045" s="7"/>
      <c r="FT1045" s="7"/>
      <c r="FU1045" s="7"/>
      <c r="FV1045" s="7"/>
      <c r="FW1045" s="7"/>
      <c r="FX1045" s="7"/>
      <c r="FY1045" s="7"/>
      <c r="FZ1045" s="7"/>
      <c r="GA1045" s="7"/>
      <c r="GB1045" s="7"/>
      <c r="GC1045" s="7"/>
      <c r="GD1045" s="7"/>
      <c r="GE1045" s="7"/>
      <c r="GF1045" s="7"/>
      <c r="GG1045" s="7"/>
      <c r="GH1045" s="7"/>
      <c r="GI1045" s="7"/>
      <c r="GJ1045" s="7"/>
      <c r="GK1045" s="7"/>
      <c r="GL1045" s="7"/>
      <c r="GM1045" s="7"/>
      <c r="GN1045" s="7"/>
      <c r="GO1045" s="7"/>
      <c r="GP1045" s="7"/>
      <c r="GQ1045" s="7"/>
      <c r="GR1045" s="7"/>
      <c r="GS1045" s="7"/>
      <c r="GT1045" s="7"/>
      <c r="GU1045" s="7"/>
      <c r="GV1045" s="7"/>
      <c r="GW1045" s="7"/>
      <c r="GX1045" s="7"/>
      <c r="GY1045" s="7"/>
      <c r="GZ1045" s="7"/>
      <c r="HA1045" s="7"/>
      <c r="HB1045" s="7"/>
      <c r="HC1045" s="7"/>
      <c r="HD1045" s="7"/>
      <c r="HE1045" s="7"/>
      <c r="HF1045" s="7"/>
      <c r="HG1045" s="7"/>
      <c r="HH1045" s="7"/>
      <c r="HI1045" s="7"/>
      <c r="HJ1045" s="7"/>
      <c r="HK1045" s="7"/>
      <c r="HL1045" s="7"/>
      <c r="HM1045" s="7"/>
      <c r="HN1045" s="7"/>
      <c r="HO1045" s="7"/>
      <c r="HP1045" s="7"/>
      <c r="HQ1045" s="7"/>
      <c r="HR1045" s="7"/>
      <c r="HS1045" s="7"/>
      <c r="HT1045" s="7"/>
      <c r="HU1045" s="7"/>
      <c r="HV1045" s="7"/>
      <c r="HW1045" s="7"/>
      <c r="HX1045" s="7"/>
      <c r="HY1045" s="7"/>
      <c r="HZ1045" s="7"/>
      <c r="IA1045" s="7"/>
      <c r="IB1045" s="7"/>
      <c r="IC1045" s="7"/>
      <c r="ID1045" s="7"/>
      <c r="IE1045" s="7"/>
      <c r="IF1045" s="7"/>
      <c r="IG1045" s="7"/>
      <c r="IH1045" s="7"/>
      <c r="II1045" s="7"/>
      <c r="IJ1045" s="7"/>
      <c r="IK1045" s="7"/>
      <c r="IL1045" s="7"/>
      <c r="IM1045" s="7"/>
      <c r="IN1045" s="7"/>
      <c r="IO1045" s="7"/>
      <c r="IP1045" s="7"/>
      <c r="IQ1045" s="7"/>
      <c r="IR1045" s="7"/>
      <c r="IS1045" s="7"/>
      <c r="IT1045" s="7"/>
      <c r="IU1045" s="7"/>
      <c r="IV1045" s="7"/>
      <c r="IW1045" s="7"/>
      <c r="IX1045" s="7"/>
    </row>
    <row r="1046" spans="1:258" ht="21.95" customHeight="1" x14ac:dyDescent="0.25">
      <c r="A1046" s="37" t="s">
        <v>1146</v>
      </c>
      <c r="B1046" s="8" t="s">
        <v>730</v>
      </c>
      <c r="C1046" s="2">
        <f t="shared" si="584"/>
        <v>3323160</v>
      </c>
      <c r="D1046" s="3">
        <f t="shared" si="583"/>
        <v>846900</v>
      </c>
      <c r="E1046" s="3">
        <f>700*282.3</f>
        <v>197610</v>
      </c>
      <c r="F1046" s="3">
        <f>1300*282.3</f>
        <v>366990</v>
      </c>
      <c r="G1046" s="3">
        <f>300*282.3</f>
        <v>84690</v>
      </c>
      <c r="H1046" s="3">
        <f>400*282.3</f>
        <v>112920</v>
      </c>
      <c r="I1046" s="3">
        <f>300*282.3</f>
        <v>84690</v>
      </c>
      <c r="J1046" s="3">
        <v>0</v>
      </c>
      <c r="K1046" s="4">
        <v>0</v>
      </c>
      <c r="L1046" s="3">
        <v>0</v>
      </c>
      <c r="M1046" s="5">
        <v>202.1</v>
      </c>
      <c r="N1046" s="3">
        <f t="shared" si="594"/>
        <v>1333860</v>
      </c>
      <c r="O1046" s="3">
        <v>0</v>
      </c>
      <c r="P1046" s="3">
        <v>0</v>
      </c>
      <c r="Q1046" s="3">
        <v>357</v>
      </c>
      <c r="R1046" s="3">
        <f t="shared" si="590"/>
        <v>1142400</v>
      </c>
      <c r="S1046" s="3">
        <v>0</v>
      </c>
      <c r="T1046" s="5">
        <v>0</v>
      </c>
      <c r="U1046" s="3">
        <v>0</v>
      </c>
      <c r="V1046" s="6">
        <f t="shared" si="582"/>
        <v>6600</v>
      </c>
    </row>
    <row r="1047" spans="1:258" ht="21.95" customHeight="1" x14ac:dyDescent="0.25">
      <c r="A1047" s="37" t="s">
        <v>1147</v>
      </c>
      <c r="B1047" s="23" t="s">
        <v>804</v>
      </c>
      <c r="C1047" s="2">
        <f t="shared" si="584"/>
        <v>6204000</v>
      </c>
      <c r="D1047" s="3">
        <f t="shared" si="583"/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5">
        <v>940</v>
      </c>
      <c r="N1047" s="3">
        <f t="shared" si="594"/>
        <v>6204000</v>
      </c>
      <c r="O1047" s="3">
        <v>0</v>
      </c>
      <c r="P1047" s="3">
        <v>0</v>
      </c>
      <c r="Q1047" s="3">
        <v>0</v>
      </c>
      <c r="R1047" s="3">
        <f t="shared" si="590"/>
        <v>0</v>
      </c>
      <c r="S1047" s="3">
        <v>0</v>
      </c>
      <c r="T1047" s="5">
        <v>0</v>
      </c>
      <c r="U1047" s="3">
        <v>0</v>
      </c>
      <c r="V1047" s="6">
        <f t="shared" si="582"/>
        <v>6600</v>
      </c>
    </row>
    <row r="1048" spans="1:258" ht="21.95" customHeight="1" x14ac:dyDescent="0.25">
      <c r="A1048" s="37" t="s">
        <v>1148</v>
      </c>
      <c r="B1048" s="23" t="s">
        <v>805</v>
      </c>
      <c r="C1048" s="2">
        <f t="shared" si="584"/>
        <v>6157800</v>
      </c>
      <c r="D1048" s="3">
        <f t="shared" si="583"/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4">
        <v>0</v>
      </c>
      <c r="L1048" s="3">
        <v>0</v>
      </c>
      <c r="M1048" s="5">
        <v>933</v>
      </c>
      <c r="N1048" s="3">
        <f t="shared" si="594"/>
        <v>6157800</v>
      </c>
      <c r="O1048" s="3">
        <v>0</v>
      </c>
      <c r="P1048" s="3">
        <v>0</v>
      </c>
      <c r="Q1048" s="3">
        <v>0</v>
      </c>
      <c r="R1048" s="3">
        <f t="shared" si="590"/>
        <v>0</v>
      </c>
      <c r="S1048" s="3">
        <v>0</v>
      </c>
      <c r="T1048" s="5">
        <v>0</v>
      </c>
      <c r="U1048" s="3">
        <v>0</v>
      </c>
      <c r="V1048" s="6">
        <f t="shared" si="582"/>
        <v>6600</v>
      </c>
    </row>
    <row r="1049" spans="1:258" ht="21.95" customHeight="1" x14ac:dyDescent="0.25">
      <c r="A1049" s="37" t="s">
        <v>1149</v>
      </c>
      <c r="B1049" s="8" t="s">
        <v>806</v>
      </c>
      <c r="C1049" s="2">
        <f t="shared" si="584"/>
        <v>4158000</v>
      </c>
      <c r="D1049" s="3">
        <f t="shared" si="583"/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4">
        <v>0</v>
      </c>
      <c r="L1049" s="3">
        <v>0</v>
      </c>
      <c r="M1049" s="5">
        <v>630</v>
      </c>
      <c r="N1049" s="3">
        <f t="shared" si="594"/>
        <v>4158000</v>
      </c>
      <c r="O1049" s="3">
        <v>0</v>
      </c>
      <c r="P1049" s="3">
        <v>0</v>
      </c>
      <c r="Q1049" s="3">
        <v>0</v>
      </c>
      <c r="R1049" s="3">
        <f t="shared" si="590"/>
        <v>0</v>
      </c>
      <c r="S1049" s="3">
        <v>0</v>
      </c>
      <c r="T1049" s="5">
        <v>0</v>
      </c>
      <c r="U1049" s="3">
        <v>0</v>
      </c>
      <c r="V1049" s="6">
        <f t="shared" si="582"/>
        <v>6600</v>
      </c>
    </row>
    <row r="1050" spans="1:258" ht="21.95" customHeight="1" x14ac:dyDescent="0.25">
      <c r="A1050" s="37" t="s">
        <v>1150</v>
      </c>
      <c r="B1050" s="8" t="s">
        <v>807</v>
      </c>
      <c r="C1050" s="2">
        <f t="shared" si="584"/>
        <v>1993200</v>
      </c>
      <c r="D1050" s="3">
        <f t="shared" si="583"/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4">
        <v>0</v>
      </c>
      <c r="L1050" s="3">
        <v>0</v>
      </c>
      <c r="M1050" s="5">
        <v>302</v>
      </c>
      <c r="N1050" s="3">
        <f t="shared" si="594"/>
        <v>1993200</v>
      </c>
      <c r="O1050" s="3">
        <v>0</v>
      </c>
      <c r="P1050" s="3">
        <v>0</v>
      </c>
      <c r="Q1050" s="3">
        <v>0</v>
      </c>
      <c r="R1050" s="3">
        <f t="shared" si="590"/>
        <v>0</v>
      </c>
      <c r="S1050" s="3">
        <v>0</v>
      </c>
      <c r="T1050" s="5">
        <v>0</v>
      </c>
      <c r="U1050" s="3">
        <v>0</v>
      </c>
      <c r="V1050" s="6">
        <f t="shared" si="582"/>
        <v>6600</v>
      </c>
    </row>
    <row r="1051" spans="1:258" ht="21.95" customHeight="1" x14ac:dyDescent="0.25">
      <c r="A1051" s="37" t="s">
        <v>1151</v>
      </c>
      <c r="B1051" s="8" t="s">
        <v>731</v>
      </c>
      <c r="C1051" s="2">
        <f t="shared" si="584"/>
        <v>1506780</v>
      </c>
      <c r="D1051" s="3">
        <f t="shared" si="583"/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4">
        <v>0</v>
      </c>
      <c r="L1051" s="3">
        <v>0</v>
      </c>
      <c r="M1051" s="5">
        <v>228.3</v>
      </c>
      <c r="N1051" s="3">
        <f t="shared" si="594"/>
        <v>1506780</v>
      </c>
      <c r="O1051" s="3">
        <v>0</v>
      </c>
      <c r="P1051" s="3">
        <v>0</v>
      </c>
      <c r="Q1051" s="3">
        <v>0</v>
      </c>
      <c r="R1051" s="3">
        <f t="shared" si="590"/>
        <v>0</v>
      </c>
      <c r="S1051" s="3">
        <v>0</v>
      </c>
      <c r="T1051" s="5">
        <v>0</v>
      </c>
      <c r="U1051" s="3">
        <v>0</v>
      </c>
      <c r="V1051" s="6">
        <f t="shared" si="582"/>
        <v>6600</v>
      </c>
    </row>
    <row r="1052" spans="1:258" ht="21.95" customHeight="1" x14ac:dyDescent="0.25">
      <c r="A1052" s="37" t="s">
        <v>1152</v>
      </c>
      <c r="B1052" s="8" t="s">
        <v>808</v>
      </c>
      <c r="C1052" s="2">
        <f t="shared" si="584"/>
        <v>1511400</v>
      </c>
      <c r="D1052" s="3">
        <f t="shared" si="583"/>
        <v>0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4">
        <v>0</v>
      </c>
      <c r="L1052" s="3">
        <v>0</v>
      </c>
      <c r="M1052" s="5">
        <v>229</v>
      </c>
      <c r="N1052" s="3">
        <f t="shared" si="594"/>
        <v>1511400</v>
      </c>
      <c r="O1052" s="3">
        <v>0</v>
      </c>
      <c r="P1052" s="3">
        <v>0</v>
      </c>
      <c r="Q1052" s="3">
        <v>0</v>
      </c>
      <c r="R1052" s="3">
        <f t="shared" si="590"/>
        <v>0</v>
      </c>
      <c r="S1052" s="3">
        <v>0</v>
      </c>
      <c r="T1052" s="5">
        <v>0</v>
      </c>
      <c r="U1052" s="3">
        <v>0</v>
      </c>
      <c r="V1052" s="6">
        <f t="shared" si="582"/>
        <v>6600</v>
      </c>
    </row>
    <row r="1053" spans="1:258" ht="21.95" customHeight="1" x14ac:dyDescent="0.25">
      <c r="A1053" s="37" t="s">
        <v>1153</v>
      </c>
      <c r="B1053" s="8" t="s">
        <v>809</v>
      </c>
      <c r="C1053" s="2">
        <f t="shared" si="584"/>
        <v>1907400</v>
      </c>
      <c r="D1053" s="3">
        <f t="shared" si="583"/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5">
        <v>289</v>
      </c>
      <c r="N1053" s="3">
        <f t="shared" si="594"/>
        <v>1907400</v>
      </c>
      <c r="O1053" s="3">
        <v>0</v>
      </c>
      <c r="P1053" s="3">
        <v>0</v>
      </c>
      <c r="Q1053" s="3">
        <v>0</v>
      </c>
      <c r="R1053" s="3">
        <f t="shared" si="590"/>
        <v>0</v>
      </c>
      <c r="S1053" s="3">
        <v>0</v>
      </c>
      <c r="T1053" s="5">
        <v>0</v>
      </c>
      <c r="U1053" s="3">
        <v>0</v>
      </c>
      <c r="V1053" s="6">
        <f t="shared" si="582"/>
        <v>6600</v>
      </c>
    </row>
    <row r="1054" spans="1:258" ht="21.95" customHeight="1" x14ac:dyDescent="0.25">
      <c r="A1054" s="37" t="s">
        <v>1154</v>
      </c>
      <c r="B1054" s="8" t="s">
        <v>732</v>
      </c>
      <c r="C1054" s="2">
        <f t="shared" si="584"/>
        <v>2468400</v>
      </c>
      <c r="D1054" s="3">
        <f t="shared" si="583"/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4">
        <v>0</v>
      </c>
      <c r="L1054" s="3">
        <v>0</v>
      </c>
      <c r="M1054" s="3">
        <v>374</v>
      </c>
      <c r="N1054" s="3">
        <f t="shared" si="594"/>
        <v>2468400</v>
      </c>
      <c r="O1054" s="3">
        <v>0</v>
      </c>
      <c r="P1054" s="3">
        <v>0</v>
      </c>
      <c r="Q1054" s="3">
        <v>0</v>
      </c>
      <c r="R1054" s="3">
        <f t="shared" si="590"/>
        <v>0</v>
      </c>
      <c r="S1054" s="3">
        <v>0</v>
      </c>
      <c r="T1054" s="5">
        <v>0</v>
      </c>
      <c r="U1054" s="3">
        <v>0</v>
      </c>
      <c r="V1054" s="6">
        <f t="shared" ref="V1054:V1107" si="595">N1054/M1054</f>
        <v>6600</v>
      </c>
    </row>
    <row r="1055" spans="1:258" ht="21.95" customHeight="1" x14ac:dyDescent="0.25">
      <c r="A1055" s="37" t="s">
        <v>1155</v>
      </c>
      <c r="B1055" s="8" t="s">
        <v>810</v>
      </c>
      <c r="C1055" s="2">
        <f>D1055+L1055+N1055+P1055+R1055+S1055+T1055+U1055</f>
        <v>3517800</v>
      </c>
      <c r="D1055" s="3">
        <f>SUM(E1055:J1055)</f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4">
        <v>0</v>
      </c>
      <c r="L1055" s="3">
        <v>0</v>
      </c>
      <c r="M1055" s="5">
        <v>533</v>
      </c>
      <c r="N1055" s="3">
        <f t="shared" si="594"/>
        <v>3517800</v>
      </c>
      <c r="O1055" s="3">
        <v>0</v>
      </c>
      <c r="P1055" s="3">
        <v>0</v>
      </c>
      <c r="Q1055" s="3">
        <v>0</v>
      </c>
      <c r="R1055" s="3">
        <f t="shared" si="590"/>
        <v>0</v>
      </c>
      <c r="S1055" s="3">
        <v>0</v>
      </c>
      <c r="T1055" s="5">
        <v>0</v>
      </c>
      <c r="U1055" s="3">
        <v>0</v>
      </c>
      <c r="V1055" s="6">
        <f>N1055/M1055</f>
        <v>6600</v>
      </c>
    </row>
    <row r="1056" spans="1:258" ht="21.95" customHeight="1" x14ac:dyDescent="0.25">
      <c r="A1056" s="37" t="s">
        <v>1156</v>
      </c>
      <c r="B1056" s="8" t="s">
        <v>737</v>
      </c>
      <c r="C1056" s="2">
        <f>D1056+L1056+N1056+P1056+R1056+S1056+T1056+U1056</f>
        <v>9060480</v>
      </c>
      <c r="D1056" s="3">
        <f>SUM(E1056:J1056)</f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5">
        <v>1372.8</v>
      </c>
      <c r="N1056" s="3">
        <f t="shared" si="594"/>
        <v>9060480</v>
      </c>
      <c r="O1056" s="3">
        <v>0</v>
      </c>
      <c r="P1056" s="3">
        <v>0</v>
      </c>
      <c r="Q1056" s="3">
        <v>0</v>
      </c>
      <c r="R1056" s="3">
        <f t="shared" si="590"/>
        <v>0</v>
      </c>
      <c r="S1056" s="3">
        <v>0</v>
      </c>
      <c r="T1056" s="5">
        <v>0</v>
      </c>
      <c r="U1056" s="3">
        <v>0</v>
      </c>
      <c r="V1056" s="6">
        <f>N1056/M1056</f>
        <v>6600</v>
      </c>
    </row>
    <row r="1057" spans="1:258" ht="21.95" customHeight="1" x14ac:dyDescent="0.25">
      <c r="A1057" s="37" t="s">
        <v>1157</v>
      </c>
      <c r="B1057" s="8" t="s">
        <v>733</v>
      </c>
      <c r="C1057" s="2">
        <f t="shared" si="584"/>
        <v>4425000</v>
      </c>
      <c r="D1057" s="3">
        <f t="shared" ref="D1057:D1107" si="596">SUM(E1057:J1057)</f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5">
        <v>625</v>
      </c>
      <c r="N1057" s="3">
        <f t="shared" si="594"/>
        <v>4125000</v>
      </c>
      <c r="O1057" s="3">
        <v>0</v>
      </c>
      <c r="P1057" s="3">
        <v>0</v>
      </c>
      <c r="Q1057" s="3">
        <v>0</v>
      </c>
      <c r="R1057" s="3">
        <f t="shared" si="590"/>
        <v>0</v>
      </c>
      <c r="S1057" s="3">
        <v>0</v>
      </c>
      <c r="T1057" s="5">
        <v>0</v>
      </c>
      <c r="U1057" s="3">
        <v>300000</v>
      </c>
      <c r="V1057" s="6">
        <f t="shared" si="595"/>
        <v>6600</v>
      </c>
    </row>
    <row r="1058" spans="1:258" ht="21.95" customHeight="1" x14ac:dyDescent="0.25">
      <c r="A1058" s="37" t="s">
        <v>1158</v>
      </c>
      <c r="B1058" s="8" t="s">
        <v>734</v>
      </c>
      <c r="C1058" s="2">
        <f t="shared" si="584"/>
        <v>2230800</v>
      </c>
      <c r="D1058" s="3">
        <f t="shared" si="596"/>
        <v>0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4">
        <v>0</v>
      </c>
      <c r="L1058" s="3">
        <v>0</v>
      </c>
      <c r="M1058" s="3">
        <v>338</v>
      </c>
      <c r="N1058" s="3">
        <f t="shared" si="594"/>
        <v>2230800</v>
      </c>
      <c r="O1058" s="3">
        <v>0</v>
      </c>
      <c r="P1058" s="3">
        <v>0</v>
      </c>
      <c r="Q1058" s="3">
        <v>0</v>
      </c>
      <c r="R1058" s="3">
        <f t="shared" si="590"/>
        <v>0</v>
      </c>
      <c r="S1058" s="3">
        <v>0</v>
      </c>
      <c r="T1058" s="5">
        <v>0</v>
      </c>
      <c r="U1058" s="3">
        <v>0</v>
      </c>
      <c r="V1058" s="6">
        <f t="shared" si="595"/>
        <v>6600</v>
      </c>
    </row>
    <row r="1059" spans="1:258" ht="21.95" customHeight="1" x14ac:dyDescent="0.25">
      <c r="A1059" s="37" t="s">
        <v>1159</v>
      </c>
      <c r="B1059" s="8" t="s">
        <v>735</v>
      </c>
      <c r="C1059" s="2">
        <f t="shared" si="584"/>
        <v>1750320</v>
      </c>
      <c r="D1059" s="3">
        <f t="shared" si="596"/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4">
        <v>0</v>
      </c>
      <c r="L1059" s="3">
        <v>0</v>
      </c>
      <c r="M1059" s="5">
        <v>265.2</v>
      </c>
      <c r="N1059" s="3">
        <f t="shared" si="594"/>
        <v>1750320</v>
      </c>
      <c r="O1059" s="3">
        <v>0</v>
      </c>
      <c r="P1059" s="3">
        <v>0</v>
      </c>
      <c r="Q1059" s="3">
        <v>0</v>
      </c>
      <c r="R1059" s="3">
        <f t="shared" si="590"/>
        <v>0</v>
      </c>
      <c r="S1059" s="3">
        <v>0</v>
      </c>
      <c r="T1059" s="5">
        <v>0</v>
      </c>
      <c r="U1059" s="3">
        <v>0</v>
      </c>
      <c r="V1059" s="6">
        <f t="shared" si="595"/>
        <v>6600</v>
      </c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  <c r="BO1059" s="6"/>
      <c r="BP1059" s="6"/>
      <c r="BQ1059" s="6"/>
      <c r="BR1059" s="6"/>
      <c r="BS1059" s="6"/>
      <c r="BT1059" s="6"/>
      <c r="BU1059" s="6"/>
      <c r="BV1059" s="6"/>
      <c r="BW1059" s="6"/>
      <c r="BX1059" s="6"/>
      <c r="BY1059" s="6"/>
      <c r="BZ1059" s="6"/>
      <c r="CA1059" s="6"/>
      <c r="CB1059" s="6"/>
      <c r="CC1059" s="6"/>
      <c r="CD1059" s="6"/>
      <c r="CE1059" s="6"/>
      <c r="CF1059" s="6"/>
      <c r="CG1059" s="6"/>
      <c r="CH1059" s="6"/>
      <c r="CI1059" s="6"/>
      <c r="CJ1059" s="6"/>
      <c r="CK1059" s="6"/>
      <c r="CL1059" s="6"/>
      <c r="CM1059" s="6"/>
      <c r="CN1059" s="6"/>
      <c r="CO1059" s="6"/>
      <c r="CP1059" s="6"/>
      <c r="CQ1059" s="6"/>
      <c r="CR1059" s="6"/>
      <c r="CS1059" s="6"/>
      <c r="CT1059" s="6"/>
      <c r="CU1059" s="6"/>
      <c r="CV1059" s="6"/>
      <c r="CW1059" s="6"/>
      <c r="CX1059" s="6"/>
      <c r="CY1059" s="6"/>
      <c r="CZ1059" s="6"/>
      <c r="DA1059" s="6"/>
      <c r="DB1059" s="6"/>
      <c r="DC1059" s="6"/>
      <c r="DD1059" s="6"/>
      <c r="DE1059" s="6"/>
      <c r="DF1059" s="6"/>
      <c r="DG1059" s="6"/>
      <c r="DH1059" s="6"/>
      <c r="DI1059" s="6"/>
      <c r="DJ1059" s="6"/>
      <c r="DK1059" s="6"/>
      <c r="DL1059" s="6"/>
      <c r="DM1059" s="6"/>
      <c r="DN1059" s="6"/>
      <c r="DO1059" s="6"/>
      <c r="DP1059" s="6"/>
      <c r="DQ1059" s="6"/>
      <c r="DR1059" s="6"/>
      <c r="DS1059" s="6"/>
      <c r="DT1059" s="6"/>
      <c r="DU1059" s="6"/>
      <c r="DV1059" s="6"/>
      <c r="DW1059" s="6"/>
      <c r="DX1059" s="6"/>
      <c r="DY1059" s="6"/>
      <c r="DZ1059" s="6"/>
      <c r="EA1059" s="6"/>
      <c r="EB1059" s="6"/>
      <c r="EC1059" s="6"/>
      <c r="ED1059" s="6"/>
      <c r="EE1059" s="6"/>
      <c r="EF1059" s="6"/>
      <c r="EG1059" s="6"/>
      <c r="EH1059" s="6"/>
      <c r="EI1059" s="6"/>
      <c r="EJ1059" s="6"/>
      <c r="EK1059" s="6"/>
      <c r="EL1059" s="6"/>
      <c r="EM1059" s="6"/>
      <c r="EN1059" s="6"/>
      <c r="EO1059" s="6"/>
      <c r="EP1059" s="6"/>
      <c r="EQ1059" s="6"/>
      <c r="ER1059" s="6"/>
      <c r="ES1059" s="6"/>
      <c r="ET1059" s="6"/>
      <c r="EU1059" s="6"/>
      <c r="EV1059" s="6"/>
      <c r="EW1059" s="6"/>
      <c r="EX1059" s="6"/>
      <c r="EY1059" s="6"/>
      <c r="EZ1059" s="6"/>
      <c r="FA1059" s="6"/>
      <c r="FB1059" s="6"/>
      <c r="FC1059" s="6"/>
      <c r="FD1059" s="6"/>
      <c r="FE1059" s="6"/>
      <c r="FF1059" s="6"/>
      <c r="FG1059" s="6"/>
      <c r="FH1059" s="6"/>
      <c r="FI1059" s="6"/>
      <c r="FJ1059" s="6"/>
      <c r="FK1059" s="6"/>
      <c r="FL1059" s="6"/>
      <c r="FM1059" s="6"/>
      <c r="FN1059" s="6"/>
      <c r="FO1059" s="6"/>
      <c r="FP1059" s="6"/>
      <c r="FQ1059" s="6"/>
      <c r="FR1059" s="6"/>
      <c r="FS1059" s="6"/>
      <c r="FT1059" s="6"/>
      <c r="FU1059" s="6"/>
      <c r="FV1059" s="6"/>
      <c r="FW1059" s="6"/>
      <c r="FX1059" s="6"/>
      <c r="FY1059" s="6"/>
      <c r="FZ1059" s="6"/>
      <c r="GA1059" s="6"/>
      <c r="GB1059" s="6"/>
      <c r="GC1059" s="6"/>
      <c r="GD1059" s="6"/>
      <c r="GE1059" s="6"/>
      <c r="GF1059" s="6"/>
      <c r="GG1059" s="6"/>
      <c r="GH1059" s="6"/>
      <c r="GI1059" s="6"/>
      <c r="GJ1059" s="6"/>
      <c r="GK1059" s="6"/>
      <c r="GL1059" s="6"/>
      <c r="GM1059" s="6"/>
      <c r="GN1059" s="6"/>
      <c r="GO1059" s="6"/>
      <c r="GP1059" s="6"/>
      <c r="GQ1059" s="6"/>
      <c r="GR1059" s="6"/>
      <c r="GS1059" s="6"/>
      <c r="GT1059" s="6"/>
      <c r="GU1059" s="6"/>
      <c r="GV1059" s="6"/>
      <c r="GW1059" s="6"/>
      <c r="GX1059" s="6"/>
      <c r="GY1059" s="6"/>
      <c r="GZ1059" s="6"/>
      <c r="HA1059" s="6"/>
      <c r="HB1059" s="6"/>
      <c r="HC1059" s="6"/>
      <c r="HD1059" s="6"/>
      <c r="HE1059" s="6"/>
      <c r="HF1059" s="6"/>
      <c r="HG1059" s="6"/>
      <c r="HH1059" s="6"/>
      <c r="HI1059" s="6"/>
      <c r="HJ1059" s="6"/>
      <c r="HK1059" s="6"/>
      <c r="HL1059" s="6"/>
      <c r="HM1059" s="6"/>
      <c r="HN1059" s="6"/>
      <c r="HO1059" s="6"/>
      <c r="HP1059" s="6"/>
      <c r="HQ1059" s="6"/>
      <c r="HR1059" s="6"/>
      <c r="HS1059" s="6"/>
      <c r="HT1059" s="6"/>
      <c r="HU1059" s="6"/>
      <c r="HV1059" s="6"/>
      <c r="HW1059" s="6"/>
      <c r="HX1059" s="6"/>
      <c r="HY1059" s="6"/>
      <c r="HZ1059" s="6"/>
      <c r="IA1059" s="6"/>
      <c r="IB1059" s="6"/>
      <c r="IC1059" s="6"/>
      <c r="ID1059" s="6"/>
      <c r="IE1059" s="6"/>
      <c r="IF1059" s="6"/>
      <c r="IG1059" s="6"/>
      <c r="IH1059" s="6"/>
      <c r="II1059" s="6"/>
      <c r="IJ1059" s="6"/>
      <c r="IK1059" s="6"/>
      <c r="IL1059" s="6"/>
      <c r="IM1059" s="6"/>
      <c r="IN1059" s="6"/>
      <c r="IO1059" s="6"/>
      <c r="IP1059" s="6"/>
      <c r="IQ1059" s="6"/>
      <c r="IR1059" s="6"/>
      <c r="IS1059" s="6"/>
      <c r="IT1059" s="6"/>
      <c r="IU1059" s="6"/>
      <c r="IV1059" s="6"/>
      <c r="IW1059" s="6"/>
      <c r="IX1059" s="6"/>
    </row>
    <row r="1060" spans="1:258" ht="21.95" customHeight="1" x14ac:dyDescent="0.25">
      <c r="A1060" s="37" t="s">
        <v>1160</v>
      </c>
      <c r="B1060" s="8" t="s">
        <v>736</v>
      </c>
      <c r="C1060" s="2">
        <f t="shared" ref="C1060:C1133" si="597">D1060+L1060+N1060+P1060+R1060+S1060+T1060+U1060</f>
        <v>1747680</v>
      </c>
      <c r="D1060" s="3">
        <f t="shared" si="596"/>
        <v>0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4">
        <v>0</v>
      </c>
      <c r="L1060" s="3">
        <v>0</v>
      </c>
      <c r="M1060" s="5">
        <v>264.8</v>
      </c>
      <c r="N1060" s="3">
        <f t="shared" si="594"/>
        <v>1747680</v>
      </c>
      <c r="O1060" s="3">
        <v>0</v>
      </c>
      <c r="P1060" s="3">
        <v>0</v>
      </c>
      <c r="Q1060" s="3">
        <v>0</v>
      </c>
      <c r="R1060" s="3">
        <f t="shared" si="590"/>
        <v>0</v>
      </c>
      <c r="S1060" s="3">
        <v>0</v>
      </c>
      <c r="T1060" s="5">
        <v>0</v>
      </c>
      <c r="U1060" s="3">
        <v>0</v>
      </c>
      <c r="V1060" s="6">
        <f t="shared" si="595"/>
        <v>6600</v>
      </c>
    </row>
    <row r="1061" spans="1:258" ht="21.95" customHeight="1" x14ac:dyDescent="0.25">
      <c r="A1061" s="37" t="s">
        <v>1161</v>
      </c>
      <c r="B1061" s="8" t="s">
        <v>811</v>
      </c>
      <c r="C1061" s="2">
        <f t="shared" si="597"/>
        <v>2504400</v>
      </c>
      <c r="D1061" s="3">
        <f t="shared" si="596"/>
        <v>0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4">
        <v>0</v>
      </c>
      <c r="L1061" s="3">
        <v>0</v>
      </c>
      <c r="M1061" s="3">
        <v>334</v>
      </c>
      <c r="N1061" s="3">
        <f t="shared" si="594"/>
        <v>2204400</v>
      </c>
      <c r="O1061" s="3">
        <v>0</v>
      </c>
      <c r="P1061" s="3">
        <v>0</v>
      </c>
      <c r="Q1061" s="3">
        <v>0</v>
      </c>
      <c r="R1061" s="3">
        <f t="shared" si="590"/>
        <v>0</v>
      </c>
      <c r="S1061" s="3">
        <v>0</v>
      </c>
      <c r="T1061" s="5">
        <v>0</v>
      </c>
      <c r="U1061" s="3">
        <v>300000</v>
      </c>
      <c r="V1061" s="6">
        <f t="shared" si="595"/>
        <v>6600</v>
      </c>
    </row>
    <row r="1062" spans="1:258" ht="21.95" customHeight="1" x14ac:dyDescent="0.25">
      <c r="A1062" s="37" t="s">
        <v>1162</v>
      </c>
      <c r="B1062" s="8" t="s">
        <v>640</v>
      </c>
      <c r="C1062" s="2">
        <f t="shared" si="597"/>
        <v>3339600</v>
      </c>
      <c r="D1062" s="3">
        <f t="shared" ref="D1062" si="598">SUM(E1062:J1062)</f>
        <v>0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11">
        <v>0</v>
      </c>
      <c r="L1062" s="5">
        <v>0</v>
      </c>
      <c r="M1062" s="5">
        <v>506</v>
      </c>
      <c r="N1062" s="3">
        <f t="shared" si="594"/>
        <v>3339600</v>
      </c>
      <c r="O1062" s="5">
        <v>0</v>
      </c>
      <c r="P1062" s="5">
        <v>0</v>
      </c>
      <c r="Q1062" s="5">
        <v>0</v>
      </c>
      <c r="R1062" s="3">
        <f t="shared" si="590"/>
        <v>0</v>
      </c>
      <c r="S1062" s="5">
        <v>0</v>
      </c>
      <c r="T1062" s="5">
        <v>0</v>
      </c>
      <c r="U1062" s="5">
        <v>0</v>
      </c>
      <c r="V1062" s="6">
        <f t="shared" si="595"/>
        <v>6600</v>
      </c>
    </row>
    <row r="1063" spans="1:258" ht="21.95" customHeight="1" x14ac:dyDescent="0.25">
      <c r="A1063" s="37" t="s">
        <v>1163</v>
      </c>
      <c r="B1063" s="8" t="s">
        <v>430</v>
      </c>
      <c r="C1063" s="2">
        <f t="shared" si="597"/>
        <v>1112150</v>
      </c>
      <c r="D1063" s="3">
        <f t="shared" ref="D1063" si="599">SUM(E1063:J1063)</f>
        <v>1112150</v>
      </c>
      <c r="E1063" s="3">
        <v>0</v>
      </c>
      <c r="F1063" s="3">
        <f>1300*855.5</f>
        <v>1112150</v>
      </c>
      <c r="G1063" s="3">
        <v>0</v>
      </c>
      <c r="H1063" s="3">
        <v>0</v>
      </c>
      <c r="I1063" s="3">
        <v>0</v>
      </c>
      <c r="J1063" s="3">
        <v>0</v>
      </c>
      <c r="K1063" s="4">
        <v>0</v>
      </c>
      <c r="L1063" s="3">
        <v>0</v>
      </c>
      <c r="M1063" s="3">
        <v>0</v>
      </c>
      <c r="N1063" s="3">
        <f t="shared" si="594"/>
        <v>0</v>
      </c>
      <c r="O1063" s="3">
        <v>0</v>
      </c>
      <c r="P1063" s="3">
        <v>0</v>
      </c>
      <c r="Q1063" s="3">
        <v>0</v>
      </c>
      <c r="R1063" s="3">
        <f t="shared" si="590"/>
        <v>0</v>
      </c>
      <c r="S1063" s="3">
        <v>0</v>
      </c>
      <c r="T1063" s="5">
        <v>0</v>
      </c>
      <c r="U1063" s="3">
        <v>0</v>
      </c>
      <c r="V1063" s="6" t="e">
        <f t="shared" si="595"/>
        <v>#DIV/0!</v>
      </c>
    </row>
    <row r="1064" spans="1:258" ht="21.95" customHeight="1" x14ac:dyDescent="0.25">
      <c r="A1064" s="37" t="s">
        <v>1164</v>
      </c>
      <c r="B1064" s="23" t="s">
        <v>738</v>
      </c>
      <c r="C1064" s="2">
        <f t="shared" si="597"/>
        <v>9649200</v>
      </c>
      <c r="D1064" s="3">
        <f t="shared" si="596"/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4">
        <v>0</v>
      </c>
      <c r="L1064" s="3">
        <v>0</v>
      </c>
      <c r="M1064" s="3">
        <v>1462</v>
      </c>
      <c r="N1064" s="3">
        <f t="shared" si="594"/>
        <v>9649200</v>
      </c>
      <c r="O1064" s="3">
        <v>0</v>
      </c>
      <c r="P1064" s="3">
        <v>0</v>
      </c>
      <c r="Q1064" s="3">
        <v>0</v>
      </c>
      <c r="R1064" s="3">
        <f t="shared" si="590"/>
        <v>0</v>
      </c>
      <c r="S1064" s="3">
        <v>0</v>
      </c>
      <c r="T1064" s="5">
        <v>0</v>
      </c>
      <c r="U1064" s="3">
        <v>0</v>
      </c>
      <c r="V1064" s="6">
        <f t="shared" si="595"/>
        <v>6600</v>
      </c>
    </row>
    <row r="1065" spans="1:258" ht="21.95" customHeight="1" x14ac:dyDescent="0.25">
      <c r="A1065" s="37" t="s">
        <v>1165</v>
      </c>
      <c r="B1065" s="8" t="s">
        <v>381</v>
      </c>
      <c r="C1065" s="2">
        <f t="shared" si="597"/>
        <v>4738500</v>
      </c>
      <c r="D1065" s="3">
        <f t="shared" ref="D1065" si="600">SUM(E1065:J1065)</f>
        <v>4738500</v>
      </c>
      <c r="E1065" s="3">
        <v>0</v>
      </c>
      <c r="F1065" s="3">
        <f>1300*3645</f>
        <v>4738500</v>
      </c>
      <c r="G1065" s="3">
        <v>0</v>
      </c>
      <c r="H1065" s="3">
        <v>0</v>
      </c>
      <c r="I1065" s="3">
        <v>0</v>
      </c>
      <c r="J1065" s="3">
        <f>350*0</f>
        <v>0</v>
      </c>
      <c r="K1065" s="4">
        <v>0</v>
      </c>
      <c r="L1065" s="3">
        <v>0</v>
      </c>
      <c r="M1065" s="3">
        <v>0</v>
      </c>
      <c r="N1065" s="3">
        <f t="shared" si="594"/>
        <v>0</v>
      </c>
      <c r="O1065" s="3">
        <v>0</v>
      </c>
      <c r="P1065" s="3">
        <v>0</v>
      </c>
      <c r="Q1065" s="3">
        <v>0</v>
      </c>
      <c r="R1065" s="3">
        <f t="shared" si="590"/>
        <v>0</v>
      </c>
      <c r="S1065" s="3">
        <v>0</v>
      </c>
      <c r="T1065" s="3">
        <v>0</v>
      </c>
      <c r="U1065" s="3">
        <v>0</v>
      </c>
      <c r="V1065" s="6" t="e">
        <f t="shared" si="595"/>
        <v>#DIV/0!</v>
      </c>
    </row>
    <row r="1066" spans="1:258" ht="21.95" customHeight="1" x14ac:dyDescent="0.25">
      <c r="A1066" s="37" t="s">
        <v>1166</v>
      </c>
      <c r="B1066" s="23" t="s">
        <v>740</v>
      </c>
      <c r="C1066" s="2">
        <f>D1066+L1066+N1066+P1066+R1066+S1066+T1066+U1066</f>
        <v>6890400</v>
      </c>
      <c r="D1066" s="3">
        <f>SUM(E1066:J1066)</f>
        <v>0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4">
        <v>0</v>
      </c>
      <c r="L1066" s="3">
        <v>0</v>
      </c>
      <c r="M1066" s="3">
        <v>1044</v>
      </c>
      <c r="N1066" s="3">
        <f t="shared" si="594"/>
        <v>6890400</v>
      </c>
      <c r="O1066" s="3">
        <v>0</v>
      </c>
      <c r="P1066" s="3">
        <v>0</v>
      </c>
      <c r="Q1066" s="3">
        <v>0</v>
      </c>
      <c r="R1066" s="3">
        <f t="shared" si="590"/>
        <v>0</v>
      </c>
      <c r="S1066" s="3">
        <v>0</v>
      </c>
      <c r="T1066" s="5">
        <v>0</v>
      </c>
      <c r="U1066" s="3">
        <v>0</v>
      </c>
      <c r="V1066" s="6">
        <f>N1066/M1066</f>
        <v>6600</v>
      </c>
    </row>
    <row r="1067" spans="1:258" ht="21.95" customHeight="1" x14ac:dyDescent="0.25">
      <c r="A1067" s="37" t="s">
        <v>1167</v>
      </c>
      <c r="B1067" s="23" t="s">
        <v>741</v>
      </c>
      <c r="C1067" s="2">
        <f>D1067+L1067+N1067+P1067+R1067+S1067+T1067+U1067</f>
        <v>6844200</v>
      </c>
      <c r="D1067" s="3">
        <f>SUM(E1067:J1067)</f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3">
        <v>1037</v>
      </c>
      <c r="N1067" s="3">
        <f t="shared" si="594"/>
        <v>6844200</v>
      </c>
      <c r="O1067" s="3">
        <v>0</v>
      </c>
      <c r="P1067" s="3">
        <v>0</v>
      </c>
      <c r="Q1067" s="3">
        <v>0</v>
      </c>
      <c r="R1067" s="3">
        <f t="shared" si="590"/>
        <v>0</v>
      </c>
      <c r="S1067" s="3">
        <v>0</v>
      </c>
      <c r="T1067" s="5">
        <v>0</v>
      </c>
      <c r="U1067" s="3">
        <v>0</v>
      </c>
      <c r="V1067" s="6">
        <f>N1067/M1067</f>
        <v>6600</v>
      </c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7"/>
      <c r="AV1067" s="17"/>
      <c r="AW1067" s="17"/>
      <c r="AX1067" s="17"/>
      <c r="AY1067" s="17"/>
      <c r="AZ1067" s="17"/>
      <c r="BA1067" s="17"/>
      <c r="BB1067" s="17"/>
      <c r="BC1067" s="17"/>
      <c r="BD1067" s="17"/>
      <c r="BE1067" s="17"/>
      <c r="BF1067" s="17"/>
      <c r="BG1067" s="17"/>
      <c r="BH1067" s="17"/>
      <c r="BI1067" s="17"/>
      <c r="BJ1067" s="17"/>
      <c r="BK1067" s="17"/>
      <c r="BL1067" s="17"/>
      <c r="BM1067" s="17"/>
      <c r="BN1067" s="17"/>
      <c r="BO1067" s="17"/>
      <c r="BP1067" s="17"/>
      <c r="BQ1067" s="17"/>
      <c r="BR1067" s="17"/>
      <c r="BS1067" s="17"/>
      <c r="BT1067" s="17"/>
      <c r="BU1067" s="17"/>
      <c r="BV1067" s="17"/>
      <c r="BW1067" s="17"/>
      <c r="BX1067" s="17"/>
      <c r="BY1067" s="17"/>
      <c r="BZ1067" s="17"/>
      <c r="CA1067" s="17"/>
      <c r="CB1067" s="17"/>
      <c r="CC1067" s="17"/>
      <c r="CD1067" s="17"/>
      <c r="CE1067" s="17"/>
      <c r="CF1067" s="17"/>
      <c r="CG1067" s="17"/>
      <c r="CH1067" s="17"/>
      <c r="CI1067" s="17"/>
      <c r="CJ1067" s="17"/>
      <c r="CK1067" s="17"/>
      <c r="CL1067" s="17"/>
      <c r="CM1067" s="17"/>
      <c r="CN1067" s="17"/>
      <c r="CO1067" s="17"/>
      <c r="CP1067" s="17"/>
      <c r="CQ1067" s="17"/>
      <c r="CR1067" s="17"/>
      <c r="CS1067" s="17"/>
      <c r="CT1067" s="17"/>
      <c r="CU1067" s="17"/>
      <c r="CV1067" s="17"/>
      <c r="CW1067" s="17"/>
      <c r="CX1067" s="17"/>
      <c r="CY1067" s="17"/>
      <c r="CZ1067" s="17"/>
      <c r="DA1067" s="17"/>
      <c r="DB1067" s="17"/>
      <c r="DC1067" s="17"/>
      <c r="DD1067" s="17"/>
      <c r="DE1067" s="17"/>
      <c r="DF1067" s="17"/>
      <c r="DG1067" s="17"/>
      <c r="DH1067" s="17"/>
      <c r="DI1067" s="17"/>
      <c r="DJ1067" s="17"/>
      <c r="DK1067" s="17"/>
      <c r="DL1067" s="17"/>
      <c r="DM1067" s="17"/>
      <c r="DN1067" s="17"/>
      <c r="DO1067" s="17"/>
      <c r="DP1067" s="17"/>
      <c r="DQ1067" s="17"/>
      <c r="DR1067" s="17"/>
      <c r="DS1067" s="17"/>
      <c r="DT1067" s="17"/>
      <c r="DU1067" s="17"/>
      <c r="DV1067" s="17"/>
      <c r="DW1067" s="17"/>
      <c r="DX1067" s="17"/>
      <c r="DY1067" s="17"/>
      <c r="DZ1067" s="17"/>
      <c r="EA1067" s="17"/>
      <c r="EB1067" s="17"/>
      <c r="EC1067" s="17"/>
      <c r="ED1067" s="17"/>
      <c r="EE1067" s="17"/>
      <c r="EF1067" s="17"/>
      <c r="EG1067" s="17"/>
      <c r="EH1067" s="17"/>
      <c r="EI1067" s="17"/>
      <c r="EJ1067" s="17"/>
      <c r="EK1067" s="17"/>
      <c r="EL1067" s="17"/>
      <c r="EM1067" s="17"/>
      <c r="EN1067" s="17"/>
      <c r="EO1067" s="17"/>
      <c r="EP1067" s="17"/>
      <c r="EQ1067" s="17"/>
      <c r="ER1067" s="17"/>
      <c r="ES1067" s="17"/>
      <c r="ET1067" s="17"/>
      <c r="EU1067" s="17"/>
      <c r="EV1067" s="17"/>
      <c r="EW1067" s="17"/>
      <c r="EX1067" s="17"/>
      <c r="EY1067" s="17"/>
      <c r="EZ1067" s="17"/>
      <c r="FA1067" s="17"/>
      <c r="FB1067" s="17"/>
      <c r="FC1067" s="17"/>
      <c r="FD1067" s="17"/>
      <c r="FE1067" s="17"/>
      <c r="FF1067" s="17"/>
      <c r="FG1067" s="17"/>
      <c r="FH1067" s="17"/>
      <c r="FI1067" s="17"/>
      <c r="FJ1067" s="17"/>
      <c r="FK1067" s="17"/>
      <c r="FL1067" s="17"/>
      <c r="FM1067" s="17"/>
      <c r="FN1067" s="17"/>
      <c r="FO1067" s="17"/>
      <c r="FP1067" s="17"/>
      <c r="FQ1067" s="17"/>
      <c r="FR1067" s="17"/>
      <c r="FS1067" s="17"/>
      <c r="FT1067" s="17"/>
      <c r="FU1067" s="17"/>
      <c r="FV1067" s="17"/>
      <c r="FW1067" s="17"/>
      <c r="FX1067" s="17"/>
      <c r="FY1067" s="17"/>
      <c r="FZ1067" s="17"/>
      <c r="GA1067" s="17"/>
      <c r="GB1067" s="17"/>
      <c r="GC1067" s="17"/>
      <c r="GD1067" s="17"/>
      <c r="GE1067" s="17"/>
      <c r="GF1067" s="17"/>
      <c r="GG1067" s="17"/>
      <c r="GH1067" s="17"/>
      <c r="GI1067" s="17"/>
      <c r="GJ1067" s="17"/>
      <c r="GK1067" s="17"/>
      <c r="GL1067" s="17"/>
      <c r="GM1067" s="17"/>
      <c r="GN1067" s="17"/>
      <c r="GO1067" s="17"/>
      <c r="GP1067" s="17"/>
      <c r="GQ1067" s="17"/>
      <c r="GR1067" s="17"/>
      <c r="GS1067" s="17"/>
      <c r="GT1067" s="17"/>
      <c r="GU1067" s="17"/>
      <c r="GV1067" s="17"/>
      <c r="GW1067" s="17"/>
      <c r="GX1067" s="17"/>
      <c r="GY1067" s="17"/>
      <c r="GZ1067" s="17"/>
      <c r="HA1067" s="17"/>
      <c r="HB1067" s="17"/>
      <c r="HC1067" s="17"/>
      <c r="HD1067" s="17"/>
      <c r="HE1067" s="17"/>
      <c r="HF1067" s="17"/>
      <c r="HG1067" s="17"/>
      <c r="HH1067" s="17"/>
      <c r="HI1067" s="17"/>
      <c r="HJ1067" s="17"/>
      <c r="HK1067" s="17"/>
      <c r="HL1067" s="17"/>
      <c r="HM1067" s="17"/>
      <c r="HN1067" s="17"/>
      <c r="HO1067" s="17"/>
      <c r="HP1067" s="17"/>
      <c r="HQ1067" s="17"/>
      <c r="HR1067" s="17"/>
      <c r="HS1067" s="17"/>
      <c r="HT1067" s="17"/>
      <c r="HU1067" s="17"/>
      <c r="HV1067" s="17"/>
      <c r="HW1067" s="17"/>
      <c r="HX1067" s="17"/>
      <c r="HY1067" s="17"/>
      <c r="HZ1067" s="17"/>
      <c r="IA1067" s="17"/>
      <c r="IB1067" s="17"/>
      <c r="IC1067" s="17"/>
      <c r="ID1067" s="17"/>
      <c r="IE1067" s="17"/>
      <c r="IF1067" s="17"/>
      <c r="IG1067" s="17"/>
      <c r="IH1067" s="17"/>
      <c r="II1067" s="17"/>
      <c r="IJ1067" s="17"/>
      <c r="IK1067" s="17"/>
      <c r="IL1067" s="17"/>
      <c r="IM1067" s="17"/>
      <c r="IN1067" s="17"/>
      <c r="IO1067" s="17"/>
      <c r="IP1067" s="17"/>
      <c r="IQ1067" s="17"/>
      <c r="IR1067" s="17"/>
      <c r="IS1067" s="17"/>
      <c r="IT1067" s="17"/>
      <c r="IU1067" s="17"/>
      <c r="IV1067" s="17"/>
      <c r="IW1067" s="17"/>
      <c r="IX1067" s="17"/>
    </row>
    <row r="1068" spans="1:258" ht="21.95" customHeight="1" x14ac:dyDescent="0.25">
      <c r="A1068" s="37" t="s">
        <v>1168</v>
      </c>
      <c r="B1068" s="23" t="s">
        <v>739</v>
      </c>
      <c r="C1068" s="2">
        <f t="shared" si="597"/>
        <v>6837600</v>
      </c>
      <c r="D1068" s="3">
        <f t="shared" si="596"/>
        <v>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4">
        <v>0</v>
      </c>
      <c r="L1068" s="3">
        <v>0</v>
      </c>
      <c r="M1068" s="3">
        <v>1036</v>
      </c>
      <c r="N1068" s="3">
        <f t="shared" si="594"/>
        <v>6837600</v>
      </c>
      <c r="O1068" s="3">
        <v>0</v>
      </c>
      <c r="P1068" s="3">
        <v>0</v>
      </c>
      <c r="Q1068" s="3">
        <v>0</v>
      </c>
      <c r="R1068" s="3">
        <f t="shared" si="590"/>
        <v>0</v>
      </c>
      <c r="S1068" s="3">
        <v>0</v>
      </c>
      <c r="T1068" s="5">
        <v>0</v>
      </c>
      <c r="U1068" s="3">
        <v>0</v>
      </c>
      <c r="V1068" s="6">
        <f t="shared" si="595"/>
        <v>6600</v>
      </c>
    </row>
    <row r="1069" spans="1:258" ht="21.95" customHeight="1" x14ac:dyDescent="0.25">
      <c r="A1069" s="37" t="s">
        <v>1169</v>
      </c>
      <c r="B1069" s="8" t="s">
        <v>400</v>
      </c>
      <c r="C1069" s="2">
        <f t="shared" si="597"/>
        <v>645528</v>
      </c>
      <c r="D1069" s="3">
        <f t="shared" ref="D1069" si="601">SUM(E1069:J1069)</f>
        <v>645528</v>
      </c>
      <c r="E1069" s="5">
        <v>0</v>
      </c>
      <c r="F1069" s="5">
        <f>1300*496.56</f>
        <v>645528</v>
      </c>
      <c r="G1069" s="5">
        <v>0</v>
      </c>
      <c r="H1069" s="5">
        <v>0</v>
      </c>
      <c r="I1069" s="5">
        <v>0</v>
      </c>
      <c r="J1069" s="5">
        <f>350*0</f>
        <v>0</v>
      </c>
      <c r="K1069" s="4">
        <v>0</v>
      </c>
      <c r="L1069" s="3">
        <v>0</v>
      </c>
      <c r="M1069" s="3">
        <v>0</v>
      </c>
      <c r="N1069" s="3">
        <f t="shared" si="594"/>
        <v>0</v>
      </c>
      <c r="O1069" s="3">
        <v>0</v>
      </c>
      <c r="P1069" s="3">
        <v>0</v>
      </c>
      <c r="Q1069" s="3">
        <v>0</v>
      </c>
      <c r="R1069" s="3">
        <f t="shared" si="590"/>
        <v>0</v>
      </c>
      <c r="S1069" s="3">
        <v>0</v>
      </c>
      <c r="T1069" s="5">
        <v>0</v>
      </c>
      <c r="U1069" s="3">
        <v>0</v>
      </c>
      <c r="V1069" s="6" t="e">
        <f t="shared" si="595"/>
        <v>#DIV/0!</v>
      </c>
    </row>
    <row r="1070" spans="1:258" ht="21.95" customHeight="1" x14ac:dyDescent="0.25">
      <c r="A1070" s="37" t="s">
        <v>1170</v>
      </c>
      <c r="B1070" s="8" t="s">
        <v>742</v>
      </c>
      <c r="C1070" s="2">
        <f t="shared" si="597"/>
        <v>3381730</v>
      </c>
      <c r="D1070" s="3">
        <f t="shared" si="596"/>
        <v>3281730</v>
      </c>
      <c r="E1070" s="3">
        <f>700*1093.91</f>
        <v>765737</v>
      </c>
      <c r="F1070" s="3">
        <f>1300*1093.91</f>
        <v>1422083</v>
      </c>
      <c r="G1070" s="3">
        <f>300*1093.91</f>
        <v>328173</v>
      </c>
      <c r="H1070" s="3">
        <f>400*1093.91</f>
        <v>437564.00000000006</v>
      </c>
      <c r="I1070" s="3">
        <f>300*1093.91</f>
        <v>328173</v>
      </c>
      <c r="J1070" s="3">
        <v>0</v>
      </c>
      <c r="K1070" s="4">
        <v>0</v>
      </c>
      <c r="L1070" s="3">
        <v>0</v>
      </c>
      <c r="M1070" s="5">
        <v>0</v>
      </c>
      <c r="N1070" s="5">
        <v>0</v>
      </c>
      <c r="O1070" s="3">
        <v>0</v>
      </c>
      <c r="P1070" s="3">
        <v>0</v>
      </c>
      <c r="Q1070" s="3">
        <v>0</v>
      </c>
      <c r="R1070" s="3">
        <f t="shared" si="590"/>
        <v>0</v>
      </c>
      <c r="S1070" s="3">
        <v>0</v>
      </c>
      <c r="T1070" s="5">
        <v>0</v>
      </c>
      <c r="U1070" s="3">
        <v>100000</v>
      </c>
      <c r="V1070" s="6" t="e">
        <f t="shared" si="595"/>
        <v>#DIV/0!</v>
      </c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  <c r="AS1070" s="6"/>
      <c r="AT1070" s="6"/>
      <c r="AU1070" s="6"/>
      <c r="AV1070" s="6"/>
      <c r="AW1070" s="6"/>
      <c r="AX1070" s="6"/>
      <c r="AY1070" s="6"/>
      <c r="AZ1070" s="6"/>
      <c r="BA1070" s="6"/>
      <c r="BB1070" s="6"/>
      <c r="BC1070" s="6"/>
      <c r="BD1070" s="6"/>
      <c r="BE1070" s="6"/>
      <c r="BF1070" s="6"/>
      <c r="BG1070" s="6"/>
      <c r="BH1070" s="6"/>
      <c r="BI1070" s="6"/>
      <c r="BJ1070" s="6"/>
      <c r="BK1070" s="6"/>
      <c r="BL1070" s="6"/>
      <c r="BM1070" s="6"/>
      <c r="BN1070" s="6"/>
      <c r="BO1070" s="6"/>
      <c r="BP1070" s="6"/>
      <c r="BQ1070" s="6"/>
      <c r="BR1070" s="6"/>
      <c r="BS1070" s="6"/>
      <c r="BT1070" s="6"/>
      <c r="BU1070" s="6"/>
      <c r="BV1070" s="6"/>
      <c r="BW1070" s="6"/>
      <c r="BX1070" s="6"/>
      <c r="BY1070" s="6"/>
      <c r="BZ1070" s="6"/>
      <c r="CA1070" s="6"/>
      <c r="CB1070" s="6"/>
      <c r="CC1070" s="6"/>
      <c r="CD1070" s="6"/>
      <c r="CE1070" s="6"/>
      <c r="CF1070" s="6"/>
      <c r="CG1070" s="6"/>
      <c r="CH1070" s="6"/>
      <c r="CI1070" s="6"/>
      <c r="CJ1070" s="6"/>
      <c r="CK1070" s="6"/>
      <c r="CL1070" s="6"/>
      <c r="CM1070" s="6"/>
      <c r="CN1070" s="6"/>
      <c r="CO1070" s="6"/>
      <c r="CP1070" s="6"/>
      <c r="CQ1070" s="6"/>
      <c r="CR1070" s="6"/>
      <c r="CS1070" s="6"/>
      <c r="CT1070" s="6"/>
      <c r="CU1070" s="6"/>
      <c r="CV1070" s="6"/>
      <c r="CW1070" s="6"/>
      <c r="CX1070" s="6"/>
      <c r="CY1070" s="6"/>
      <c r="CZ1070" s="6"/>
      <c r="DA1070" s="6"/>
      <c r="DB1070" s="6"/>
      <c r="DC1070" s="6"/>
      <c r="DD1070" s="6"/>
      <c r="DE1070" s="6"/>
      <c r="DF1070" s="6"/>
      <c r="DG1070" s="6"/>
      <c r="DH1070" s="6"/>
      <c r="DI1070" s="6"/>
      <c r="DJ1070" s="6"/>
      <c r="DK1070" s="6"/>
      <c r="DL1070" s="6"/>
      <c r="DM1070" s="6"/>
      <c r="DN1070" s="6"/>
      <c r="DO1070" s="6"/>
      <c r="DP1070" s="6"/>
      <c r="DQ1070" s="6"/>
      <c r="DR1070" s="6"/>
      <c r="DS1070" s="6"/>
      <c r="DT1070" s="6"/>
      <c r="DU1070" s="6"/>
      <c r="DV1070" s="6"/>
      <c r="DW1070" s="6"/>
      <c r="DX1070" s="6"/>
      <c r="DY1070" s="6"/>
      <c r="DZ1070" s="6"/>
      <c r="EA1070" s="6"/>
      <c r="EB1070" s="6"/>
      <c r="EC1070" s="6"/>
      <c r="ED1070" s="6"/>
      <c r="EE1070" s="6"/>
      <c r="EF1070" s="6"/>
      <c r="EG1070" s="6"/>
      <c r="EH1070" s="6"/>
      <c r="EI1070" s="6"/>
      <c r="EJ1070" s="6"/>
      <c r="EK1070" s="6"/>
      <c r="EL1070" s="6"/>
      <c r="EM1070" s="6"/>
      <c r="EN1070" s="6"/>
      <c r="EO1070" s="6"/>
      <c r="EP1070" s="6"/>
      <c r="EQ1070" s="6"/>
      <c r="ER1070" s="6"/>
      <c r="ES1070" s="6"/>
      <c r="ET1070" s="6"/>
      <c r="EU1070" s="6"/>
      <c r="EV1070" s="6"/>
      <c r="EW1070" s="6"/>
      <c r="EX1070" s="6"/>
      <c r="EY1070" s="6"/>
      <c r="EZ1070" s="6"/>
      <c r="FA1070" s="6"/>
      <c r="FB1070" s="6"/>
      <c r="FC1070" s="6"/>
      <c r="FD1070" s="6"/>
      <c r="FE1070" s="6"/>
      <c r="FF1070" s="6"/>
      <c r="FG1070" s="6"/>
      <c r="FH1070" s="6"/>
      <c r="FI1070" s="6"/>
      <c r="FJ1070" s="6"/>
      <c r="FK1070" s="6"/>
      <c r="FL1070" s="6"/>
      <c r="FM1070" s="6"/>
      <c r="FN1070" s="6"/>
      <c r="FO1070" s="6"/>
      <c r="FP1070" s="6"/>
      <c r="FQ1070" s="6"/>
      <c r="FR1070" s="6"/>
      <c r="FS1070" s="6"/>
      <c r="FT1070" s="6"/>
      <c r="FU1070" s="6"/>
      <c r="FV1070" s="6"/>
      <c r="FW1070" s="6"/>
      <c r="FX1070" s="6"/>
      <c r="FY1070" s="6"/>
      <c r="FZ1070" s="6"/>
      <c r="GA1070" s="6"/>
      <c r="GB1070" s="6"/>
      <c r="GC1070" s="6"/>
      <c r="GD1070" s="6"/>
      <c r="GE1070" s="6"/>
      <c r="GF1070" s="6"/>
      <c r="GG1070" s="6"/>
      <c r="GH1070" s="6"/>
      <c r="GI1070" s="6"/>
      <c r="GJ1070" s="6"/>
      <c r="GK1070" s="6"/>
      <c r="GL1070" s="6"/>
      <c r="GM1070" s="6"/>
      <c r="GN1070" s="6"/>
      <c r="GO1070" s="6"/>
      <c r="GP1070" s="6"/>
      <c r="GQ1070" s="6"/>
      <c r="GR1070" s="6"/>
      <c r="GS1070" s="6"/>
      <c r="GT1070" s="6"/>
      <c r="GU1070" s="6"/>
      <c r="GV1070" s="6"/>
      <c r="GW1070" s="6"/>
      <c r="GX1070" s="6"/>
      <c r="GY1070" s="6"/>
      <c r="GZ1070" s="6"/>
      <c r="HA1070" s="6"/>
      <c r="HB1070" s="6"/>
      <c r="HC1070" s="6"/>
      <c r="HD1070" s="6"/>
      <c r="HE1070" s="6"/>
      <c r="HF1070" s="6"/>
      <c r="HG1070" s="6"/>
      <c r="HH1070" s="6"/>
      <c r="HI1070" s="6"/>
      <c r="HJ1070" s="6"/>
      <c r="HK1070" s="6"/>
      <c r="HL1070" s="6"/>
      <c r="HM1070" s="6"/>
      <c r="HN1070" s="6"/>
      <c r="HO1070" s="6"/>
      <c r="HP1070" s="6"/>
      <c r="HQ1070" s="6"/>
      <c r="HR1070" s="6"/>
      <c r="HS1070" s="6"/>
      <c r="HT1070" s="6"/>
      <c r="HU1070" s="6"/>
      <c r="HV1070" s="6"/>
      <c r="HW1070" s="6"/>
      <c r="HX1070" s="6"/>
      <c r="HY1070" s="6"/>
      <c r="HZ1070" s="6"/>
      <c r="IA1070" s="6"/>
      <c r="IB1070" s="6"/>
      <c r="IC1070" s="6"/>
      <c r="ID1070" s="6"/>
      <c r="IE1070" s="6"/>
      <c r="IF1070" s="6"/>
      <c r="IG1070" s="6"/>
      <c r="IH1070" s="6"/>
      <c r="II1070" s="6"/>
      <c r="IJ1070" s="6"/>
      <c r="IK1070" s="6"/>
      <c r="IL1070" s="6"/>
      <c r="IM1070" s="6"/>
      <c r="IN1070" s="6"/>
      <c r="IO1070" s="6"/>
      <c r="IP1070" s="6"/>
      <c r="IQ1070" s="6"/>
      <c r="IR1070" s="6"/>
      <c r="IS1070" s="6"/>
      <c r="IT1070" s="6"/>
      <c r="IU1070" s="6"/>
      <c r="IV1070" s="6"/>
      <c r="IW1070" s="6"/>
      <c r="IX1070" s="6"/>
    </row>
    <row r="1071" spans="1:258" ht="21.95" customHeight="1" x14ac:dyDescent="0.25">
      <c r="A1071" s="37" t="s">
        <v>1171</v>
      </c>
      <c r="B1071" s="8" t="s">
        <v>743</v>
      </c>
      <c r="C1071" s="2">
        <f t="shared" si="597"/>
        <v>3286140</v>
      </c>
      <c r="D1071" s="3">
        <f t="shared" si="596"/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4">
        <v>0</v>
      </c>
      <c r="L1071" s="3">
        <v>0</v>
      </c>
      <c r="M1071" s="3">
        <v>497.9</v>
      </c>
      <c r="N1071" s="3">
        <f>M1071*6600</f>
        <v>3286140</v>
      </c>
      <c r="O1071" s="3">
        <v>0</v>
      </c>
      <c r="P1071" s="3">
        <v>0</v>
      </c>
      <c r="Q1071" s="3">
        <v>0</v>
      </c>
      <c r="R1071" s="3">
        <f t="shared" si="590"/>
        <v>0</v>
      </c>
      <c r="S1071" s="3">
        <v>0</v>
      </c>
      <c r="T1071" s="5">
        <v>0</v>
      </c>
      <c r="U1071" s="3">
        <v>0</v>
      </c>
      <c r="V1071" s="6">
        <f t="shared" si="595"/>
        <v>6600</v>
      </c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7"/>
      <c r="AV1071" s="17"/>
      <c r="AW1071" s="17"/>
      <c r="AX1071" s="17"/>
      <c r="AY1071" s="17"/>
      <c r="AZ1071" s="17"/>
      <c r="BA1071" s="17"/>
      <c r="BB1071" s="17"/>
      <c r="BC1071" s="17"/>
      <c r="BD1071" s="17"/>
      <c r="BE1071" s="17"/>
      <c r="BF1071" s="17"/>
      <c r="BG1071" s="17"/>
      <c r="BH1071" s="17"/>
      <c r="BI1071" s="17"/>
      <c r="BJ1071" s="17"/>
      <c r="BK1071" s="17"/>
      <c r="BL1071" s="17"/>
      <c r="BM1071" s="17"/>
      <c r="BN1071" s="17"/>
      <c r="BO1071" s="17"/>
      <c r="BP1071" s="17"/>
      <c r="BQ1071" s="17"/>
      <c r="BR1071" s="17"/>
      <c r="BS1071" s="17"/>
      <c r="BT1071" s="17"/>
      <c r="BU1071" s="17"/>
      <c r="BV1071" s="17"/>
      <c r="BW1071" s="17"/>
      <c r="BX1071" s="17"/>
      <c r="BY1071" s="17"/>
      <c r="BZ1071" s="17"/>
      <c r="CA1071" s="17"/>
      <c r="CB1071" s="17"/>
      <c r="CC1071" s="17"/>
      <c r="CD1071" s="17"/>
      <c r="CE1071" s="17"/>
      <c r="CF1071" s="17"/>
      <c r="CG1071" s="17"/>
      <c r="CH1071" s="17"/>
      <c r="CI1071" s="17"/>
      <c r="CJ1071" s="17"/>
      <c r="CK1071" s="17"/>
      <c r="CL1071" s="17"/>
      <c r="CM1071" s="17"/>
      <c r="CN1071" s="17"/>
      <c r="CO1071" s="17"/>
      <c r="CP1071" s="17"/>
      <c r="CQ1071" s="17"/>
      <c r="CR1071" s="17"/>
      <c r="CS1071" s="17"/>
      <c r="CT1071" s="17"/>
      <c r="CU1071" s="17"/>
      <c r="CV1071" s="17"/>
      <c r="CW1071" s="17"/>
      <c r="CX1071" s="17"/>
      <c r="CY1071" s="17"/>
      <c r="CZ1071" s="17"/>
      <c r="DA1071" s="17"/>
      <c r="DB1071" s="17"/>
      <c r="DC1071" s="17"/>
      <c r="DD1071" s="17"/>
      <c r="DE1071" s="17"/>
      <c r="DF1071" s="17"/>
      <c r="DG1071" s="17"/>
      <c r="DH1071" s="17"/>
      <c r="DI1071" s="17"/>
      <c r="DJ1071" s="17"/>
      <c r="DK1071" s="17"/>
      <c r="DL1071" s="17"/>
      <c r="DM1071" s="17"/>
      <c r="DN1071" s="17"/>
      <c r="DO1071" s="17"/>
      <c r="DP1071" s="17"/>
      <c r="DQ1071" s="17"/>
      <c r="DR1071" s="17"/>
      <c r="DS1071" s="17"/>
      <c r="DT1071" s="17"/>
      <c r="DU1071" s="17"/>
      <c r="DV1071" s="17"/>
      <c r="DW1071" s="17"/>
      <c r="DX1071" s="17"/>
      <c r="DY1071" s="17"/>
      <c r="DZ1071" s="17"/>
      <c r="EA1071" s="17"/>
      <c r="EB1071" s="17"/>
      <c r="EC1071" s="17"/>
      <c r="ED1071" s="17"/>
      <c r="EE1071" s="17"/>
      <c r="EF1071" s="17"/>
      <c r="EG1071" s="17"/>
      <c r="EH1071" s="17"/>
      <c r="EI1071" s="17"/>
      <c r="EJ1071" s="17"/>
      <c r="EK1071" s="17"/>
      <c r="EL1071" s="17"/>
      <c r="EM1071" s="17"/>
      <c r="EN1071" s="17"/>
      <c r="EO1071" s="17"/>
      <c r="EP1071" s="17"/>
      <c r="EQ1071" s="17"/>
      <c r="ER1071" s="17"/>
      <c r="ES1071" s="17"/>
      <c r="ET1071" s="17"/>
      <c r="EU1071" s="17"/>
      <c r="EV1071" s="17"/>
      <c r="EW1071" s="17"/>
      <c r="EX1071" s="17"/>
      <c r="EY1071" s="17"/>
      <c r="EZ1071" s="17"/>
      <c r="FA1071" s="17"/>
      <c r="FB1071" s="17"/>
      <c r="FC1071" s="17"/>
      <c r="FD1071" s="17"/>
      <c r="FE1071" s="17"/>
      <c r="FF1071" s="17"/>
      <c r="FG1071" s="17"/>
      <c r="FH1071" s="17"/>
      <c r="FI1071" s="17"/>
      <c r="FJ1071" s="17"/>
      <c r="FK1071" s="17"/>
      <c r="FL1071" s="17"/>
      <c r="FM1071" s="17"/>
      <c r="FN1071" s="17"/>
      <c r="FO1071" s="17"/>
      <c r="FP1071" s="17"/>
      <c r="FQ1071" s="17"/>
      <c r="FR1071" s="17"/>
      <c r="FS1071" s="17"/>
      <c r="FT1071" s="17"/>
      <c r="FU1071" s="17"/>
      <c r="FV1071" s="17"/>
      <c r="FW1071" s="17"/>
      <c r="FX1071" s="17"/>
      <c r="FY1071" s="17"/>
      <c r="FZ1071" s="17"/>
      <c r="GA1071" s="17"/>
      <c r="GB1071" s="17"/>
      <c r="GC1071" s="17"/>
      <c r="GD1071" s="17"/>
      <c r="GE1071" s="17"/>
      <c r="GF1071" s="17"/>
      <c r="GG1071" s="17"/>
      <c r="GH1071" s="17"/>
      <c r="GI1071" s="17"/>
      <c r="GJ1071" s="17"/>
      <c r="GK1071" s="17"/>
      <c r="GL1071" s="17"/>
      <c r="GM1071" s="17"/>
      <c r="GN1071" s="17"/>
      <c r="GO1071" s="17"/>
      <c r="GP1071" s="17"/>
      <c r="GQ1071" s="17"/>
      <c r="GR1071" s="17"/>
      <c r="GS1071" s="17"/>
      <c r="GT1071" s="17"/>
      <c r="GU1071" s="17"/>
      <c r="GV1071" s="17"/>
      <c r="GW1071" s="17"/>
      <c r="GX1071" s="17"/>
      <c r="GY1071" s="17"/>
      <c r="GZ1071" s="17"/>
      <c r="HA1071" s="17"/>
      <c r="HB1071" s="17"/>
      <c r="HC1071" s="17"/>
      <c r="HD1071" s="17"/>
      <c r="HE1071" s="17"/>
      <c r="HF1071" s="17"/>
      <c r="HG1071" s="17"/>
      <c r="HH1071" s="17"/>
      <c r="HI1071" s="17"/>
      <c r="HJ1071" s="17"/>
      <c r="HK1071" s="17"/>
      <c r="HL1071" s="17"/>
      <c r="HM1071" s="17"/>
      <c r="HN1071" s="17"/>
      <c r="HO1071" s="17"/>
      <c r="HP1071" s="17"/>
      <c r="HQ1071" s="17"/>
      <c r="HR1071" s="17"/>
      <c r="HS1071" s="17"/>
      <c r="HT1071" s="17"/>
      <c r="HU1071" s="17"/>
      <c r="HV1071" s="17"/>
      <c r="HW1071" s="17"/>
      <c r="HX1071" s="17"/>
      <c r="HY1071" s="17"/>
      <c r="HZ1071" s="17"/>
      <c r="IA1071" s="17"/>
      <c r="IB1071" s="17"/>
      <c r="IC1071" s="17"/>
      <c r="ID1071" s="17"/>
      <c r="IE1071" s="17"/>
      <c r="IF1071" s="17"/>
      <c r="IG1071" s="17"/>
      <c r="IH1071" s="17"/>
      <c r="II1071" s="17"/>
      <c r="IJ1071" s="17"/>
      <c r="IK1071" s="17"/>
      <c r="IL1071" s="17"/>
      <c r="IM1071" s="17"/>
      <c r="IN1071" s="17"/>
      <c r="IO1071" s="17"/>
      <c r="IP1071" s="17"/>
      <c r="IQ1071" s="17"/>
      <c r="IR1071" s="17"/>
      <c r="IS1071" s="17"/>
      <c r="IT1071" s="17"/>
      <c r="IU1071" s="17"/>
      <c r="IV1071" s="17"/>
      <c r="IW1071" s="17"/>
      <c r="IX1071" s="17"/>
    </row>
    <row r="1072" spans="1:258" ht="21.95" customHeight="1" x14ac:dyDescent="0.25">
      <c r="A1072" s="37" t="s">
        <v>1172</v>
      </c>
      <c r="B1072" s="8" t="s">
        <v>550</v>
      </c>
      <c r="C1072" s="2">
        <f t="shared" si="597"/>
        <v>1815000</v>
      </c>
      <c r="D1072" s="3">
        <f t="shared" ref="D1072" si="602">SUM(E1072:J1072)</f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11">
        <v>0</v>
      </c>
      <c r="L1072" s="5">
        <v>0</v>
      </c>
      <c r="M1072" s="5">
        <v>275</v>
      </c>
      <c r="N1072" s="3">
        <f>M1072*6600</f>
        <v>1815000</v>
      </c>
      <c r="O1072" s="5">
        <v>0</v>
      </c>
      <c r="P1072" s="5">
        <v>0</v>
      </c>
      <c r="Q1072" s="5">
        <v>0</v>
      </c>
      <c r="R1072" s="3">
        <f t="shared" si="590"/>
        <v>0</v>
      </c>
      <c r="S1072" s="5">
        <v>0</v>
      </c>
      <c r="T1072" s="5">
        <v>0</v>
      </c>
      <c r="U1072" s="5">
        <v>0</v>
      </c>
      <c r="V1072" s="6">
        <f t="shared" si="595"/>
        <v>6600</v>
      </c>
    </row>
    <row r="1073" spans="1:258" ht="21.95" customHeight="1" x14ac:dyDescent="0.25">
      <c r="A1073" s="37" t="s">
        <v>1279</v>
      </c>
      <c r="B1073" s="8" t="s">
        <v>1984</v>
      </c>
      <c r="C1073" s="2">
        <f>D1073+L1073+N1073+P1073+R1073+S1073+T1073+U1073</f>
        <v>300000</v>
      </c>
      <c r="D1073" s="3">
        <f>SUM(E1073:J1073)</f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4">
        <v>0</v>
      </c>
      <c r="L1073" s="3">
        <v>0</v>
      </c>
      <c r="M1073" s="5">
        <v>0</v>
      </c>
      <c r="N1073" s="3">
        <f>M1073*6600</f>
        <v>0</v>
      </c>
      <c r="O1073" s="3">
        <v>0</v>
      </c>
      <c r="P1073" s="3">
        <v>0</v>
      </c>
      <c r="Q1073" s="3">
        <v>0</v>
      </c>
      <c r="R1073" s="3">
        <f t="shared" si="590"/>
        <v>0</v>
      </c>
      <c r="S1073" s="3">
        <v>0</v>
      </c>
      <c r="T1073" s="5">
        <v>0</v>
      </c>
      <c r="U1073" s="3">
        <v>300000</v>
      </c>
      <c r="V1073" s="6" t="e">
        <f>N1073/M1073</f>
        <v>#DIV/0!</v>
      </c>
    </row>
    <row r="1074" spans="1:258" ht="21.95" customHeight="1" x14ac:dyDescent="0.25">
      <c r="A1074" s="37" t="s">
        <v>1173</v>
      </c>
      <c r="B1074" s="8" t="s">
        <v>746</v>
      </c>
      <c r="C1074" s="2">
        <f>D1074+L1074+N1074+P1074+R1074+S1074+T1074+U1074</f>
        <v>1742400</v>
      </c>
      <c r="D1074" s="3">
        <f>SUM(E1074:J1074)</f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4">
        <v>0</v>
      </c>
      <c r="L1074" s="3">
        <v>0</v>
      </c>
      <c r="M1074" s="5">
        <v>264</v>
      </c>
      <c r="N1074" s="3">
        <f>M1074*6600</f>
        <v>1742400</v>
      </c>
      <c r="O1074" s="3">
        <v>0</v>
      </c>
      <c r="P1074" s="3">
        <v>0</v>
      </c>
      <c r="Q1074" s="3">
        <v>0</v>
      </c>
      <c r="R1074" s="3">
        <f t="shared" si="590"/>
        <v>0</v>
      </c>
      <c r="S1074" s="3">
        <v>0</v>
      </c>
      <c r="T1074" s="5">
        <v>0</v>
      </c>
      <c r="U1074" s="3">
        <v>0</v>
      </c>
      <c r="V1074" s="6">
        <f>N1074/M1074</f>
        <v>6600</v>
      </c>
    </row>
    <row r="1075" spans="1:258" ht="21.95" customHeight="1" x14ac:dyDescent="0.25">
      <c r="A1075" s="37" t="s">
        <v>1174</v>
      </c>
      <c r="B1075" s="8" t="s">
        <v>747</v>
      </c>
      <c r="C1075" s="2">
        <f>D1075+L1075+N1075+P1075+R1075+S1075+T1075+U1075</f>
        <v>1248000</v>
      </c>
      <c r="D1075" s="3">
        <f>SUM(E1075:J1075)</f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11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390</v>
      </c>
      <c r="R1075" s="3">
        <f t="shared" si="590"/>
        <v>1248000</v>
      </c>
      <c r="S1075" s="5">
        <v>0</v>
      </c>
      <c r="T1075" s="5">
        <v>0</v>
      </c>
      <c r="U1075" s="5">
        <v>0</v>
      </c>
      <c r="V1075" s="6" t="e">
        <f>N1075/M1075</f>
        <v>#DIV/0!</v>
      </c>
    </row>
    <row r="1076" spans="1:258" ht="21.95" customHeight="1" x14ac:dyDescent="0.25">
      <c r="A1076" s="37" t="s">
        <v>1175</v>
      </c>
      <c r="B1076" s="8" t="s">
        <v>748</v>
      </c>
      <c r="C1076" s="2">
        <f>D1076+L1076+N1076+P1076+R1076+S1076+T1076+U1076</f>
        <v>1152000</v>
      </c>
      <c r="D1076" s="3">
        <f>SUM(E1076:J1076)</f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4">
        <v>0</v>
      </c>
      <c r="L1076" s="3">
        <v>0</v>
      </c>
      <c r="M1076" s="5">
        <v>0</v>
      </c>
      <c r="N1076" s="5">
        <v>0</v>
      </c>
      <c r="O1076" s="3">
        <v>0</v>
      </c>
      <c r="P1076" s="3">
        <v>0</v>
      </c>
      <c r="Q1076" s="3">
        <v>360</v>
      </c>
      <c r="R1076" s="3">
        <f t="shared" si="590"/>
        <v>1152000</v>
      </c>
      <c r="S1076" s="3">
        <v>0</v>
      </c>
      <c r="T1076" s="5">
        <v>0</v>
      </c>
      <c r="U1076" s="3">
        <v>0</v>
      </c>
      <c r="V1076" s="6" t="e">
        <f>N1076/M1076</f>
        <v>#DIV/0!</v>
      </c>
      <c r="W1076" s="30"/>
      <c r="X1076" s="30"/>
      <c r="Y1076" s="30"/>
      <c r="Z1076" s="30"/>
      <c r="AA1076" s="30"/>
      <c r="AB1076" s="30"/>
      <c r="AC1076" s="30"/>
      <c r="AD1076" s="30"/>
      <c r="AE1076" s="30"/>
      <c r="AF1076" s="30"/>
      <c r="AG1076" s="30"/>
      <c r="AH1076" s="30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  <c r="AS1076" s="30"/>
      <c r="AT1076" s="30"/>
      <c r="AU1076" s="30"/>
      <c r="AV1076" s="30"/>
      <c r="AW1076" s="30"/>
      <c r="AX1076" s="30"/>
      <c r="AY1076" s="30"/>
      <c r="AZ1076" s="30"/>
      <c r="BA1076" s="30"/>
      <c r="BB1076" s="30"/>
      <c r="BC1076" s="30"/>
      <c r="BD1076" s="30"/>
      <c r="BE1076" s="30"/>
      <c r="BF1076" s="30"/>
      <c r="BG1076" s="30"/>
      <c r="BH1076" s="30"/>
      <c r="BI1076" s="30"/>
      <c r="BJ1076" s="30"/>
      <c r="BK1076" s="30"/>
      <c r="BL1076" s="30"/>
      <c r="BM1076" s="30"/>
      <c r="BN1076" s="30"/>
      <c r="BO1076" s="30"/>
      <c r="BP1076" s="30"/>
      <c r="BQ1076" s="30"/>
      <c r="BR1076" s="30"/>
      <c r="BS1076" s="30"/>
      <c r="BT1076" s="30"/>
      <c r="BU1076" s="30"/>
      <c r="BV1076" s="30"/>
      <c r="BW1076" s="30"/>
      <c r="BX1076" s="30"/>
      <c r="BY1076" s="30"/>
      <c r="BZ1076" s="30"/>
      <c r="CA1076" s="30"/>
      <c r="CB1076" s="30"/>
      <c r="CC1076" s="30"/>
      <c r="CD1076" s="30"/>
      <c r="CE1076" s="30"/>
      <c r="CF1076" s="30"/>
      <c r="CG1076" s="30"/>
      <c r="CH1076" s="30"/>
      <c r="CI1076" s="30"/>
      <c r="CJ1076" s="30"/>
      <c r="CK1076" s="30"/>
      <c r="CL1076" s="30"/>
      <c r="CM1076" s="30"/>
      <c r="CN1076" s="30"/>
      <c r="CO1076" s="30"/>
      <c r="CP1076" s="30"/>
      <c r="CQ1076" s="30"/>
      <c r="CR1076" s="30"/>
      <c r="CS1076" s="30"/>
      <c r="CT1076" s="30"/>
      <c r="CU1076" s="30"/>
      <c r="CV1076" s="30"/>
      <c r="CW1076" s="30"/>
      <c r="CX1076" s="30"/>
      <c r="CY1076" s="30"/>
      <c r="CZ1076" s="30"/>
      <c r="DA1076" s="30"/>
      <c r="DB1076" s="30"/>
      <c r="DC1076" s="30"/>
      <c r="DD1076" s="30"/>
      <c r="DE1076" s="30"/>
      <c r="DF1076" s="30"/>
      <c r="DG1076" s="30"/>
      <c r="DH1076" s="30"/>
      <c r="DI1076" s="30"/>
      <c r="DJ1076" s="30"/>
      <c r="DK1076" s="30"/>
      <c r="DL1076" s="30"/>
      <c r="DM1076" s="30"/>
      <c r="DN1076" s="30"/>
      <c r="DO1076" s="30"/>
      <c r="DP1076" s="30"/>
      <c r="DQ1076" s="30"/>
      <c r="DR1076" s="30"/>
      <c r="DS1076" s="30"/>
      <c r="DT1076" s="30"/>
      <c r="DU1076" s="30"/>
      <c r="DV1076" s="30"/>
      <c r="DW1076" s="30"/>
      <c r="DX1076" s="30"/>
      <c r="DY1076" s="30"/>
      <c r="DZ1076" s="30"/>
      <c r="EA1076" s="30"/>
      <c r="EB1076" s="30"/>
      <c r="EC1076" s="30"/>
      <c r="ED1076" s="30"/>
      <c r="EE1076" s="30"/>
      <c r="EF1076" s="30"/>
      <c r="EG1076" s="30"/>
      <c r="EH1076" s="30"/>
      <c r="EI1076" s="30"/>
      <c r="EJ1076" s="30"/>
      <c r="EK1076" s="30"/>
      <c r="EL1076" s="30"/>
      <c r="EM1076" s="30"/>
      <c r="EN1076" s="30"/>
      <c r="EO1076" s="30"/>
      <c r="EP1076" s="30"/>
      <c r="EQ1076" s="30"/>
      <c r="ER1076" s="30"/>
      <c r="ES1076" s="30"/>
      <c r="ET1076" s="30"/>
      <c r="EU1076" s="30"/>
      <c r="EV1076" s="30"/>
      <c r="EW1076" s="30"/>
      <c r="EX1076" s="30"/>
      <c r="EY1076" s="30"/>
      <c r="EZ1076" s="30"/>
      <c r="FA1076" s="30"/>
      <c r="FB1076" s="30"/>
      <c r="FC1076" s="30"/>
      <c r="FD1076" s="30"/>
      <c r="FE1076" s="30"/>
      <c r="FF1076" s="30"/>
      <c r="FG1076" s="30"/>
      <c r="FH1076" s="30"/>
      <c r="FI1076" s="30"/>
      <c r="FJ1076" s="30"/>
      <c r="FK1076" s="30"/>
      <c r="FL1076" s="30"/>
      <c r="FM1076" s="30"/>
      <c r="FN1076" s="30"/>
      <c r="FO1076" s="30"/>
      <c r="FP1076" s="30"/>
      <c r="FQ1076" s="30"/>
      <c r="FR1076" s="30"/>
      <c r="FS1076" s="30"/>
      <c r="FT1076" s="30"/>
      <c r="FU1076" s="30"/>
      <c r="FV1076" s="30"/>
      <c r="FW1076" s="30"/>
      <c r="FX1076" s="30"/>
      <c r="FY1076" s="30"/>
      <c r="FZ1076" s="30"/>
      <c r="GA1076" s="30"/>
      <c r="GB1076" s="30"/>
      <c r="GC1076" s="30"/>
      <c r="GD1076" s="30"/>
      <c r="GE1076" s="30"/>
      <c r="GF1076" s="30"/>
      <c r="GG1076" s="30"/>
      <c r="GH1076" s="30"/>
      <c r="GI1076" s="30"/>
      <c r="GJ1076" s="30"/>
      <c r="GK1076" s="30"/>
      <c r="GL1076" s="30"/>
      <c r="GM1076" s="30"/>
      <c r="GN1076" s="30"/>
      <c r="GO1076" s="30"/>
      <c r="GP1076" s="30"/>
      <c r="GQ1076" s="30"/>
      <c r="GR1076" s="30"/>
      <c r="GS1076" s="30"/>
      <c r="GT1076" s="30"/>
      <c r="GU1076" s="30"/>
      <c r="GV1076" s="30"/>
      <c r="GW1076" s="30"/>
      <c r="GX1076" s="30"/>
      <c r="GY1076" s="30"/>
      <c r="GZ1076" s="30"/>
      <c r="HA1076" s="30"/>
      <c r="HB1076" s="30"/>
      <c r="HC1076" s="30"/>
      <c r="HD1076" s="30"/>
      <c r="HE1076" s="30"/>
      <c r="HF1076" s="30"/>
      <c r="HG1076" s="30"/>
      <c r="HH1076" s="30"/>
      <c r="HI1076" s="30"/>
      <c r="HJ1076" s="30"/>
      <c r="HK1076" s="30"/>
      <c r="HL1076" s="30"/>
      <c r="HM1076" s="30"/>
      <c r="HN1076" s="30"/>
      <c r="HO1076" s="30"/>
      <c r="HP1076" s="30"/>
      <c r="HQ1076" s="30"/>
      <c r="HR1076" s="30"/>
      <c r="HS1076" s="30"/>
      <c r="HT1076" s="30"/>
      <c r="HU1076" s="30"/>
      <c r="HV1076" s="30"/>
      <c r="HW1076" s="30"/>
      <c r="HX1076" s="30"/>
      <c r="HY1076" s="30"/>
      <c r="HZ1076" s="30"/>
      <c r="IA1076" s="30"/>
      <c r="IB1076" s="30"/>
      <c r="IC1076" s="30"/>
      <c r="ID1076" s="30"/>
      <c r="IE1076" s="30"/>
      <c r="IF1076" s="30"/>
      <c r="IG1076" s="30"/>
      <c r="IH1076" s="30"/>
      <c r="II1076" s="30"/>
      <c r="IJ1076" s="30"/>
      <c r="IK1076" s="30"/>
      <c r="IL1076" s="30"/>
      <c r="IM1076" s="30"/>
      <c r="IN1076" s="30"/>
      <c r="IO1076" s="30"/>
      <c r="IP1076" s="30"/>
      <c r="IQ1076" s="30"/>
      <c r="IR1076" s="30"/>
      <c r="IS1076" s="30"/>
      <c r="IT1076" s="30"/>
      <c r="IU1076" s="30"/>
      <c r="IV1076" s="30"/>
      <c r="IW1076" s="30"/>
      <c r="IX1076" s="30"/>
    </row>
    <row r="1077" spans="1:258" ht="21.95" customHeight="1" x14ac:dyDescent="0.25">
      <c r="A1077" s="37" t="s">
        <v>1176</v>
      </c>
      <c r="B1077" s="8" t="s">
        <v>649</v>
      </c>
      <c r="C1077" s="2">
        <f t="shared" ref="C1077" si="603">D1077+L1077+N1077+P1077+R1077+S1077+T1077+U1077</f>
        <v>1768800</v>
      </c>
      <c r="D1077" s="3">
        <f t="shared" ref="D1077" si="604">SUM(E1077:J1077)</f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11">
        <v>0</v>
      </c>
      <c r="L1077" s="5">
        <v>0</v>
      </c>
      <c r="M1077" s="5">
        <v>268</v>
      </c>
      <c r="N1077" s="3">
        <f t="shared" ref="N1077:N1093" si="605">M1077*6600</f>
        <v>1768800</v>
      </c>
      <c r="O1077" s="5">
        <v>0</v>
      </c>
      <c r="P1077" s="5">
        <v>0</v>
      </c>
      <c r="Q1077" s="5">
        <v>0</v>
      </c>
      <c r="R1077" s="3">
        <f t="shared" si="590"/>
        <v>0</v>
      </c>
      <c r="S1077" s="5">
        <v>0</v>
      </c>
      <c r="T1077" s="5">
        <v>0</v>
      </c>
      <c r="U1077" s="5">
        <v>0</v>
      </c>
      <c r="V1077" s="6">
        <f t="shared" ref="V1077" si="606">N1077/M1077</f>
        <v>6600</v>
      </c>
    </row>
    <row r="1078" spans="1:258" ht="21.95" customHeight="1" x14ac:dyDescent="0.25">
      <c r="A1078" s="37" t="s">
        <v>1177</v>
      </c>
      <c r="B1078" s="8" t="s">
        <v>744</v>
      </c>
      <c r="C1078" s="2">
        <f t="shared" si="597"/>
        <v>1768800</v>
      </c>
      <c r="D1078" s="3">
        <f t="shared" si="596"/>
        <v>0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4">
        <v>0</v>
      </c>
      <c r="L1078" s="3">
        <v>0</v>
      </c>
      <c r="M1078" s="3">
        <v>268</v>
      </c>
      <c r="N1078" s="3">
        <f t="shared" si="605"/>
        <v>1768800</v>
      </c>
      <c r="O1078" s="3">
        <v>0</v>
      </c>
      <c r="P1078" s="3">
        <v>0</v>
      </c>
      <c r="Q1078" s="3">
        <v>0</v>
      </c>
      <c r="R1078" s="3">
        <f t="shared" si="590"/>
        <v>0</v>
      </c>
      <c r="S1078" s="3">
        <v>0</v>
      </c>
      <c r="T1078" s="5">
        <v>0</v>
      </c>
      <c r="U1078" s="3">
        <v>0</v>
      </c>
      <c r="V1078" s="6">
        <f t="shared" si="595"/>
        <v>6600</v>
      </c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7"/>
      <c r="AV1078" s="17"/>
      <c r="AW1078" s="17"/>
      <c r="AX1078" s="17"/>
      <c r="AY1078" s="17"/>
      <c r="AZ1078" s="17"/>
      <c r="BA1078" s="17"/>
      <c r="BB1078" s="17"/>
      <c r="BC1078" s="17"/>
      <c r="BD1078" s="17"/>
      <c r="BE1078" s="17"/>
      <c r="BF1078" s="17"/>
      <c r="BG1078" s="17"/>
      <c r="BH1078" s="17"/>
      <c r="BI1078" s="17"/>
      <c r="BJ1078" s="17"/>
      <c r="BK1078" s="17"/>
      <c r="BL1078" s="17"/>
      <c r="BM1078" s="17"/>
      <c r="BN1078" s="17"/>
      <c r="BO1078" s="17"/>
      <c r="BP1078" s="17"/>
      <c r="BQ1078" s="17"/>
      <c r="BR1078" s="17"/>
      <c r="BS1078" s="17"/>
      <c r="BT1078" s="17"/>
      <c r="BU1078" s="17"/>
      <c r="BV1078" s="17"/>
      <c r="BW1078" s="17"/>
      <c r="BX1078" s="17"/>
      <c r="BY1078" s="17"/>
      <c r="BZ1078" s="17"/>
      <c r="CA1078" s="17"/>
      <c r="CB1078" s="17"/>
      <c r="CC1078" s="17"/>
      <c r="CD1078" s="17"/>
      <c r="CE1078" s="17"/>
      <c r="CF1078" s="17"/>
      <c r="CG1078" s="17"/>
      <c r="CH1078" s="17"/>
      <c r="CI1078" s="17"/>
      <c r="CJ1078" s="17"/>
      <c r="CK1078" s="17"/>
      <c r="CL1078" s="17"/>
      <c r="CM1078" s="17"/>
      <c r="CN1078" s="17"/>
      <c r="CO1078" s="17"/>
      <c r="CP1078" s="17"/>
      <c r="CQ1078" s="17"/>
      <c r="CR1078" s="17"/>
      <c r="CS1078" s="17"/>
      <c r="CT1078" s="17"/>
      <c r="CU1078" s="17"/>
      <c r="CV1078" s="17"/>
      <c r="CW1078" s="17"/>
      <c r="CX1078" s="17"/>
      <c r="CY1078" s="17"/>
      <c r="CZ1078" s="17"/>
      <c r="DA1078" s="17"/>
      <c r="DB1078" s="17"/>
      <c r="DC1078" s="17"/>
      <c r="DD1078" s="17"/>
      <c r="DE1078" s="17"/>
      <c r="DF1078" s="17"/>
      <c r="DG1078" s="17"/>
      <c r="DH1078" s="17"/>
      <c r="DI1078" s="17"/>
      <c r="DJ1078" s="17"/>
      <c r="DK1078" s="17"/>
      <c r="DL1078" s="17"/>
      <c r="DM1078" s="17"/>
      <c r="DN1078" s="17"/>
      <c r="DO1078" s="17"/>
      <c r="DP1078" s="17"/>
      <c r="DQ1078" s="17"/>
      <c r="DR1078" s="17"/>
      <c r="DS1078" s="17"/>
      <c r="DT1078" s="17"/>
      <c r="DU1078" s="17"/>
      <c r="DV1078" s="17"/>
      <c r="DW1078" s="17"/>
      <c r="DX1078" s="17"/>
      <c r="DY1078" s="17"/>
      <c r="DZ1078" s="17"/>
      <c r="EA1078" s="17"/>
      <c r="EB1078" s="17"/>
      <c r="EC1078" s="17"/>
      <c r="ED1078" s="17"/>
      <c r="EE1078" s="17"/>
      <c r="EF1078" s="17"/>
      <c r="EG1078" s="17"/>
      <c r="EH1078" s="17"/>
      <c r="EI1078" s="17"/>
      <c r="EJ1078" s="17"/>
      <c r="EK1078" s="17"/>
      <c r="EL1078" s="17"/>
      <c r="EM1078" s="17"/>
      <c r="EN1078" s="17"/>
      <c r="EO1078" s="17"/>
      <c r="EP1078" s="17"/>
      <c r="EQ1078" s="17"/>
      <c r="ER1078" s="17"/>
      <c r="ES1078" s="17"/>
      <c r="ET1078" s="17"/>
      <c r="EU1078" s="17"/>
      <c r="EV1078" s="17"/>
      <c r="EW1078" s="17"/>
      <c r="EX1078" s="17"/>
      <c r="EY1078" s="17"/>
      <c r="EZ1078" s="17"/>
      <c r="FA1078" s="17"/>
      <c r="FB1078" s="17"/>
      <c r="FC1078" s="17"/>
      <c r="FD1078" s="17"/>
      <c r="FE1078" s="17"/>
      <c r="FF1078" s="17"/>
      <c r="FG1078" s="17"/>
      <c r="FH1078" s="17"/>
      <c r="FI1078" s="17"/>
      <c r="FJ1078" s="17"/>
      <c r="FK1078" s="17"/>
      <c r="FL1078" s="17"/>
      <c r="FM1078" s="17"/>
      <c r="FN1078" s="17"/>
      <c r="FO1078" s="17"/>
      <c r="FP1078" s="17"/>
      <c r="FQ1078" s="17"/>
      <c r="FR1078" s="17"/>
      <c r="FS1078" s="17"/>
      <c r="FT1078" s="17"/>
      <c r="FU1078" s="17"/>
      <c r="FV1078" s="17"/>
      <c r="FW1078" s="17"/>
      <c r="FX1078" s="17"/>
      <c r="FY1078" s="17"/>
      <c r="FZ1078" s="17"/>
      <c r="GA1078" s="17"/>
      <c r="GB1078" s="17"/>
      <c r="GC1078" s="17"/>
      <c r="GD1078" s="17"/>
      <c r="GE1078" s="17"/>
      <c r="GF1078" s="17"/>
      <c r="GG1078" s="17"/>
      <c r="GH1078" s="17"/>
      <c r="GI1078" s="17"/>
      <c r="GJ1078" s="17"/>
      <c r="GK1078" s="17"/>
      <c r="GL1078" s="17"/>
      <c r="GM1078" s="17"/>
      <c r="GN1078" s="17"/>
      <c r="GO1078" s="17"/>
      <c r="GP1078" s="17"/>
      <c r="GQ1078" s="17"/>
      <c r="GR1078" s="17"/>
      <c r="GS1078" s="17"/>
      <c r="GT1078" s="17"/>
      <c r="GU1078" s="17"/>
      <c r="GV1078" s="17"/>
      <c r="GW1078" s="17"/>
      <c r="GX1078" s="17"/>
      <c r="GY1078" s="17"/>
      <c r="GZ1078" s="17"/>
      <c r="HA1078" s="17"/>
      <c r="HB1078" s="17"/>
      <c r="HC1078" s="17"/>
      <c r="HD1078" s="17"/>
      <c r="HE1078" s="17"/>
      <c r="HF1078" s="17"/>
      <c r="HG1078" s="17"/>
      <c r="HH1078" s="17"/>
      <c r="HI1078" s="17"/>
      <c r="HJ1078" s="17"/>
      <c r="HK1078" s="17"/>
      <c r="HL1078" s="17"/>
      <c r="HM1078" s="17"/>
      <c r="HN1078" s="17"/>
      <c r="HO1078" s="17"/>
      <c r="HP1078" s="17"/>
      <c r="HQ1078" s="17"/>
      <c r="HR1078" s="17"/>
      <c r="HS1078" s="17"/>
      <c r="HT1078" s="17"/>
      <c r="HU1078" s="17"/>
      <c r="HV1078" s="17"/>
      <c r="HW1078" s="17"/>
      <c r="HX1078" s="17"/>
      <c r="HY1078" s="17"/>
      <c r="HZ1078" s="17"/>
      <c r="IA1078" s="17"/>
      <c r="IB1078" s="17"/>
      <c r="IC1078" s="17"/>
      <c r="ID1078" s="17"/>
      <c r="IE1078" s="17"/>
      <c r="IF1078" s="17"/>
      <c r="IG1078" s="17"/>
      <c r="IH1078" s="17"/>
      <c r="II1078" s="17"/>
      <c r="IJ1078" s="17"/>
      <c r="IK1078" s="17"/>
      <c r="IL1078" s="17"/>
      <c r="IM1078" s="17"/>
      <c r="IN1078" s="17"/>
      <c r="IO1078" s="17"/>
      <c r="IP1078" s="17"/>
      <c r="IQ1078" s="17"/>
      <c r="IR1078" s="17"/>
      <c r="IS1078" s="17"/>
      <c r="IT1078" s="17"/>
      <c r="IU1078" s="17"/>
      <c r="IV1078" s="17"/>
      <c r="IW1078" s="17"/>
      <c r="IX1078" s="17"/>
    </row>
    <row r="1079" spans="1:258" ht="21.95" customHeight="1" x14ac:dyDescent="0.25">
      <c r="A1079" s="37" t="s">
        <v>1178</v>
      </c>
      <c r="B1079" s="8" t="s">
        <v>745</v>
      </c>
      <c r="C1079" s="2">
        <f t="shared" si="597"/>
        <v>1867800</v>
      </c>
      <c r="D1079" s="3">
        <f t="shared" si="596"/>
        <v>0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4">
        <v>0</v>
      </c>
      <c r="L1079" s="3">
        <v>0</v>
      </c>
      <c r="M1079" s="5">
        <v>283</v>
      </c>
      <c r="N1079" s="3">
        <f t="shared" si="605"/>
        <v>1867800</v>
      </c>
      <c r="O1079" s="3">
        <v>0</v>
      </c>
      <c r="P1079" s="3">
        <v>0</v>
      </c>
      <c r="Q1079" s="3">
        <v>0</v>
      </c>
      <c r="R1079" s="3">
        <f t="shared" si="590"/>
        <v>0</v>
      </c>
      <c r="S1079" s="3">
        <v>0</v>
      </c>
      <c r="T1079" s="5">
        <v>0</v>
      </c>
      <c r="U1079" s="3">
        <v>0</v>
      </c>
      <c r="V1079" s="6">
        <f t="shared" si="595"/>
        <v>6600</v>
      </c>
    </row>
    <row r="1080" spans="1:258" ht="21.95" customHeight="1" x14ac:dyDescent="0.25">
      <c r="A1080" s="37" t="s">
        <v>1179</v>
      </c>
      <c r="B1080" s="8" t="s">
        <v>653</v>
      </c>
      <c r="C1080" s="2">
        <f t="shared" si="597"/>
        <v>1766820</v>
      </c>
      <c r="D1080" s="3">
        <f t="shared" ref="D1080" si="607">SUM(E1080:J1080)</f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11">
        <v>0</v>
      </c>
      <c r="L1080" s="5">
        <v>0</v>
      </c>
      <c r="M1080" s="5">
        <v>267.7</v>
      </c>
      <c r="N1080" s="3">
        <f t="shared" si="605"/>
        <v>1766820</v>
      </c>
      <c r="O1080" s="5">
        <v>0</v>
      </c>
      <c r="P1080" s="5">
        <v>0</v>
      </c>
      <c r="Q1080" s="5">
        <v>0</v>
      </c>
      <c r="R1080" s="3">
        <f t="shared" si="590"/>
        <v>0</v>
      </c>
      <c r="S1080" s="5">
        <v>0</v>
      </c>
      <c r="T1080" s="5">
        <v>0</v>
      </c>
      <c r="U1080" s="5">
        <v>0</v>
      </c>
      <c r="V1080" s="6">
        <f t="shared" si="595"/>
        <v>6600</v>
      </c>
    </row>
    <row r="1081" spans="1:258" ht="21.95" customHeight="1" x14ac:dyDescent="0.25">
      <c r="A1081" s="37" t="s">
        <v>1180</v>
      </c>
      <c r="B1081" s="8" t="s">
        <v>654</v>
      </c>
      <c r="C1081" s="2">
        <f t="shared" ref="C1081:C1082" si="608">D1081+L1081+N1081+P1081+R1081+S1081+T1081+U1081</f>
        <v>1780020</v>
      </c>
      <c r="D1081" s="3">
        <f t="shared" ref="D1081" si="609">SUM(E1081:J1081)</f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11">
        <v>0</v>
      </c>
      <c r="L1081" s="5">
        <v>0</v>
      </c>
      <c r="M1081" s="5">
        <v>269.7</v>
      </c>
      <c r="N1081" s="3">
        <f t="shared" si="605"/>
        <v>1780020</v>
      </c>
      <c r="O1081" s="5">
        <v>0</v>
      </c>
      <c r="P1081" s="5">
        <v>0</v>
      </c>
      <c r="Q1081" s="5">
        <v>0</v>
      </c>
      <c r="R1081" s="3">
        <f t="shared" si="590"/>
        <v>0</v>
      </c>
      <c r="S1081" s="5">
        <v>0</v>
      </c>
      <c r="T1081" s="5">
        <v>0</v>
      </c>
      <c r="U1081" s="5">
        <v>0</v>
      </c>
      <c r="V1081" s="6">
        <f t="shared" ref="V1081:V1082" si="610">N1081/M1081</f>
        <v>6600</v>
      </c>
    </row>
    <row r="1082" spans="1:258" ht="21.95" customHeight="1" x14ac:dyDescent="0.25">
      <c r="A1082" s="37" t="s">
        <v>1181</v>
      </c>
      <c r="B1082" s="8" t="s">
        <v>655</v>
      </c>
      <c r="C1082" s="2">
        <f t="shared" si="608"/>
        <v>1786620</v>
      </c>
      <c r="D1082" s="3">
        <f t="shared" ref="D1082" si="611">SUM(E1082:J1082)</f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11">
        <v>0</v>
      </c>
      <c r="L1082" s="5">
        <v>0</v>
      </c>
      <c r="M1082" s="5">
        <v>270.7</v>
      </c>
      <c r="N1082" s="3">
        <f t="shared" si="605"/>
        <v>1786620</v>
      </c>
      <c r="O1082" s="5">
        <v>0</v>
      </c>
      <c r="P1082" s="5">
        <v>0</v>
      </c>
      <c r="Q1082" s="5">
        <v>0</v>
      </c>
      <c r="R1082" s="3">
        <f t="shared" si="590"/>
        <v>0</v>
      </c>
      <c r="S1082" s="5">
        <v>0</v>
      </c>
      <c r="T1082" s="5">
        <v>0</v>
      </c>
      <c r="U1082" s="5">
        <v>0</v>
      </c>
      <c r="V1082" s="6">
        <f t="shared" si="610"/>
        <v>6600</v>
      </c>
    </row>
    <row r="1083" spans="1:258" ht="21.95" customHeight="1" x14ac:dyDescent="0.25">
      <c r="A1083" s="37" t="s">
        <v>1182</v>
      </c>
      <c r="B1083" s="8" t="s">
        <v>749</v>
      </c>
      <c r="C1083" s="2">
        <f t="shared" si="597"/>
        <v>2389860</v>
      </c>
      <c r="D1083" s="3">
        <f t="shared" si="596"/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4">
        <v>0</v>
      </c>
      <c r="L1083" s="3">
        <v>0</v>
      </c>
      <c r="M1083" s="5">
        <v>362.1</v>
      </c>
      <c r="N1083" s="3">
        <f t="shared" si="605"/>
        <v>2389860</v>
      </c>
      <c r="O1083" s="3">
        <v>0</v>
      </c>
      <c r="P1083" s="3">
        <v>0</v>
      </c>
      <c r="Q1083" s="3">
        <v>0</v>
      </c>
      <c r="R1083" s="3">
        <f t="shared" si="590"/>
        <v>0</v>
      </c>
      <c r="S1083" s="3">
        <v>0</v>
      </c>
      <c r="T1083" s="5">
        <v>0</v>
      </c>
      <c r="U1083" s="3">
        <v>0</v>
      </c>
      <c r="V1083" s="6">
        <f t="shared" si="595"/>
        <v>6600</v>
      </c>
      <c r="W1083" s="30"/>
      <c r="X1083" s="30"/>
      <c r="Y1083" s="30"/>
      <c r="Z1083" s="30"/>
      <c r="AA1083" s="30"/>
      <c r="AB1083" s="30"/>
      <c r="AC1083" s="30"/>
      <c r="AD1083" s="30"/>
      <c r="AE1083" s="30"/>
      <c r="AF1083" s="30"/>
      <c r="AG1083" s="30"/>
      <c r="AH1083" s="30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  <c r="AS1083" s="30"/>
      <c r="AT1083" s="30"/>
      <c r="AU1083" s="30"/>
      <c r="AV1083" s="30"/>
      <c r="AW1083" s="30"/>
      <c r="AX1083" s="30"/>
      <c r="AY1083" s="30"/>
      <c r="AZ1083" s="30"/>
      <c r="BA1083" s="30"/>
      <c r="BB1083" s="30"/>
      <c r="BC1083" s="30"/>
      <c r="BD1083" s="30"/>
      <c r="BE1083" s="30"/>
      <c r="BF1083" s="30"/>
      <c r="BG1083" s="30"/>
      <c r="BH1083" s="30"/>
      <c r="BI1083" s="30"/>
      <c r="BJ1083" s="30"/>
      <c r="BK1083" s="30"/>
      <c r="BL1083" s="30"/>
      <c r="BM1083" s="30"/>
      <c r="BN1083" s="30"/>
      <c r="BO1083" s="30"/>
      <c r="BP1083" s="30"/>
      <c r="BQ1083" s="30"/>
      <c r="BR1083" s="30"/>
      <c r="BS1083" s="30"/>
      <c r="BT1083" s="30"/>
      <c r="BU1083" s="30"/>
      <c r="BV1083" s="30"/>
      <c r="BW1083" s="30"/>
      <c r="BX1083" s="30"/>
      <c r="BY1083" s="30"/>
      <c r="BZ1083" s="30"/>
      <c r="CA1083" s="30"/>
      <c r="CB1083" s="30"/>
      <c r="CC1083" s="30"/>
      <c r="CD1083" s="30"/>
      <c r="CE1083" s="30"/>
      <c r="CF1083" s="30"/>
      <c r="CG1083" s="30"/>
      <c r="CH1083" s="30"/>
      <c r="CI1083" s="30"/>
      <c r="CJ1083" s="30"/>
      <c r="CK1083" s="30"/>
      <c r="CL1083" s="30"/>
      <c r="CM1083" s="30"/>
      <c r="CN1083" s="30"/>
      <c r="CO1083" s="30"/>
      <c r="CP1083" s="30"/>
      <c r="CQ1083" s="30"/>
      <c r="CR1083" s="30"/>
      <c r="CS1083" s="30"/>
      <c r="CT1083" s="30"/>
      <c r="CU1083" s="30"/>
      <c r="CV1083" s="30"/>
      <c r="CW1083" s="30"/>
      <c r="CX1083" s="30"/>
      <c r="CY1083" s="30"/>
      <c r="CZ1083" s="30"/>
      <c r="DA1083" s="30"/>
      <c r="DB1083" s="30"/>
      <c r="DC1083" s="30"/>
      <c r="DD1083" s="30"/>
      <c r="DE1083" s="30"/>
      <c r="DF1083" s="30"/>
      <c r="DG1083" s="30"/>
      <c r="DH1083" s="30"/>
      <c r="DI1083" s="30"/>
      <c r="DJ1083" s="30"/>
      <c r="DK1083" s="30"/>
      <c r="DL1083" s="30"/>
      <c r="DM1083" s="30"/>
      <c r="DN1083" s="30"/>
      <c r="DO1083" s="30"/>
      <c r="DP1083" s="30"/>
      <c r="DQ1083" s="30"/>
      <c r="DR1083" s="30"/>
      <c r="DS1083" s="30"/>
      <c r="DT1083" s="30"/>
      <c r="DU1083" s="30"/>
      <c r="DV1083" s="30"/>
      <c r="DW1083" s="30"/>
      <c r="DX1083" s="30"/>
      <c r="DY1083" s="30"/>
      <c r="DZ1083" s="30"/>
      <c r="EA1083" s="30"/>
      <c r="EB1083" s="30"/>
      <c r="EC1083" s="30"/>
      <c r="ED1083" s="30"/>
      <c r="EE1083" s="30"/>
      <c r="EF1083" s="30"/>
      <c r="EG1083" s="30"/>
      <c r="EH1083" s="30"/>
      <c r="EI1083" s="30"/>
      <c r="EJ1083" s="30"/>
      <c r="EK1083" s="30"/>
      <c r="EL1083" s="30"/>
      <c r="EM1083" s="30"/>
      <c r="EN1083" s="30"/>
      <c r="EO1083" s="30"/>
      <c r="EP1083" s="30"/>
      <c r="EQ1083" s="30"/>
      <c r="ER1083" s="30"/>
      <c r="ES1083" s="30"/>
      <c r="ET1083" s="30"/>
      <c r="EU1083" s="30"/>
      <c r="EV1083" s="30"/>
      <c r="EW1083" s="30"/>
      <c r="EX1083" s="30"/>
      <c r="EY1083" s="30"/>
      <c r="EZ1083" s="30"/>
      <c r="FA1083" s="30"/>
      <c r="FB1083" s="30"/>
      <c r="FC1083" s="30"/>
      <c r="FD1083" s="30"/>
      <c r="FE1083" s="30"/>
      <c r="FF1083" s="30"/>
      <c r="FG1083" s="30"/>
      <c r="FH1083" s="30"/>
      <c r="FI1083" s="30"/>
      <c r="FJ1083" s="30"/>
      <c r="FK1083" s="30"/>
      <c r="FL1083" s="30"/>
      <c r="FM1083" s="30"/>
      <c r="FN1083" s="30"/>
      <c r="FO1083" s="30"/>
      <c r="FP1083" s="30"/>
      <c r="FQ1083" s="30"/>
      <c r="FR1083" s="30"/>
      <c r="FS1083" s="30"/>
      <c r="FT1083" s="30"/>
      <c r="FU1083" s="30"/>
      <c r="FV1083" s="30"/>
      <c r="FW1083" s="30"/>
      <c r="FX1083" s="30"/>
      <c r="FY1083" s="30"/>
      <c r="FZ1083" s="30"/>
      <c r="GA1083" s="30"/>
      <c r="GB1083" s="30"/>
      <c r="GC1083" s="30"/>
      <c r="GD1083" s="30"/>
      <c r="GE1083" s="30"/>
      <c r="GF1083" s="30"/>
      <c r="GG1083" s="30"/>
      <c r="GH1083" s="30"/>
      <c r="GI1083" s="30"/>
      <c r="GJ1083" s="30"/>
      <c r="GK1083" s="30"/>
      <c r="GL1083" s="30"/>
      <c r="GM1083" s="30"/>
      <c r="GN1083" s="30"/>
      <c r="GO1083" s="30"/>
      <c r="GP1083" s="30"/>
      <c r="GQ1083" s="30"/>
      <c r="GR1083" s="30"/>
      <c r="GS1083" s="30"/>
      <c r="GT1083" s="30"/>
      <c r="GU1083" s="30"/>
      <c r="GV1083" s="30"/>
      <c r="GW1083" s="30"/>
      <c r="GX1083" s="30"/>
      <c r="GY1083" s="30"/>
      <c r="GZ1083" s="30"/>
      <c r="HA1083" s="30"/>
      <c r="HB1083" s="30"/>
      <c r="HC1083" s="30"/>
      <c r="HD1083" s="30"/>
      <c r="HE1083" s="30"/>
      <c r="HF1083" s="30"/>
      <c r="HG1083" s="30"/>
      <c r="HH1083" s="30"/>
      <c r="HI1083" s="30"/>
      <c r="HJ1083" s="30"/>
      <c r="HK1083" s="30"/>
      <c r="HL1083" s="30"/>
      <c r="HM1083" s="30"/>
      <c r="HN1083" s="30"/>
      <c r="HO1083" s="30"/>
      <c r="HP1083" s="30"/>
      <c r="HQ1083" s="30"/>
      <c r="HR1083" s="30"/>
      <c r="HS1083" s="30"/>
      <c r="HT1083" s="30"/>
      <c r="HU1083" s="30"/>
      <c r="HV1083" s="30"/>
      <c r="HW1083" s="30"/>
      <c r="HX1083" s="30"/>
      <c r="HY1083" s="30"/>
      <c r="HZ1083" s="30"/>
      <c r="IA1083" s="30"/>
      <c r="IB1083" s="30"/>
      <c r="IC1083" s="30"/>
      <c r="ID1083" s="30"/>
      <c r="IE1083" s="30"/>
      <c r="IF1083" s="30"/>
      <c r="IG1083" s="30"/>
      <c r="IH1083" s="30"/>
      <c r="II1083" s="30"/>
      <c r="IJ1083" s="30"/>
      <c r="IK1083" s="30"/>
      <c r="IL1083" s="30"/>
      <c r="IM1083" s="30"/>
      <c r="IN1083" s="30"/>
      <c r="IO1083" s="30"/>
      <c r="IP1083" s="30"/>
      <c r="IQ1083" s="30"/>
      <c r="IR1083" s="30"/>
      <c r="IS1083" s="30"/>
      <c r="IT1083" s="30"/>
      <c r="IU1083" s="30"/>
      <c r="IV1083" s="30"/>
      <c r="IW1083" s="30"/>
      <c r="IX1083" s="30"/>
    </row>
    <row r="1084" spans="1:258" ht="21.95" customHeight="1" x14ac:dyDescent="0.25">
      <c r="A1084" s="37" t="s">
        <v>1183</v>
      </c>
      <c r="B1084" s="8" t="s">
        <v>750</v>
      </c>
      <c r="C1084" s="2">
        <f t="shared" si="597"/>
        <v>1626900</v>
      </c>
      <c r="D1084" s="3">
        <f t="shared" si="596"/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4">
        <v>0</v>
      </c>
      <c r="L1084" s="3">
        <v>0</v>
      </c>
      <c r="M1084" s="5">
        <v>246.5</v>
      </c>
      <c r="N1084" s="3">
        <f t="shared" si="605"/>
        <v>1626900</v>
      </c>
      <c r="O1084" s="3">
        <v>0</v>
      </c>
      <c r="P1084" s="3">
        <v>0</v>
      </c>
      <c r="Q1084" s="3">
        <v>0</v>
      </c>
      <c r="R1084" s="3">
        <f t="shared" si="590"/>
        <v>0</v>
      </c>
      <c r="S1084" s="3">
        <v>0</v>
      </c>
      <c r="T1084" s="5">
        <v>0</v>
      </c>
      <c r="U1084" s="3">
        <v>0</v>
      </c>
      <c r="V1084" s="6">
        <f t="shared" si="595"/>
        <v>6600</v>
      </c>
      <c r="W1084" s="30"/>
      <c r="X1084" s="30"/>
      <c r="Y1084" s="30"/>
      <c r="Z1084" s="30"/>
      <c r="AA1084" s="30"/>
      <c r="AB1084" s="30"/>
      <c r="AC1084" s="30"/>
      <c r="AD1084" s="30"/>
      <c r="AE1084" s="30"/>
      <c r="AF1084" s="30"/>
      <c r="AG1084" s="30"/>
      <c r="AH1084" s="30"/>
      <c r="AI1084" s="30"/>
      <c r="AJ1084" s="30"/>
      <c r="AK1084" s="30"/>
      <c r="AL1084" s="30"/>
      <c r="AM1084" s="30"/>
      <c r="AN1084" s="30"/>
      <c r="AO1084" s="30"/>
      <c r="AP1084" s="30"/>
      <c r="AQ1084" s="30"/>
      <c r="AR1084" s="30"/>
      <c r="AS1084" s="30"/>
      <c r="AT1084" s="30"/>
      <c r="AU1084" s="30"/>
      <c r="AV1084" s="30"/>
      <c r="AW1084" s="30"/>
      <c r="AX1084" s="30"/>
      <c r="AY1084" s="30"/>
      <c r="AZ1084" s="30"/>
      <c r="BA1084" s="30"/>
      <c r="BB1084" s="30"/>
      <c r="BC1084" s="30"/>
      <c r="BD1084" s="30"/>
      <c r="BE1084" s="30"/>
      <c r="BF1084" s="30"/>
      <c r="BG1084" s="30"/>
      <c r="BH1084" s="30"/>
      <c r="BI1084" s="30"/>
      <c r="BJ1084" s="30"/>
      <c r="BK1084" s="30"/>
      <c r="BL1084" s="30"/>
      <c r="BM1084" s="30"/>
      <c r="BN1084" s="30"/>
      <c r="BO1084" s="30"/>
      <c r="BP1084" s="30"/>
      <c r="BQ1084" s="30"/>
      <c r="BR1084" s="30"/>
      <c r="BS1084" s="30"/>
      <c r="BT1084" s="30"/>
      <c r="BU1084" s="30"/>
      <c r="BV1084" s="30"/>
      <c r="BW1084" s="30"/>
      <c r="BX1084" s="30"/>
      <c r="BY1084" s="30"/>
      <c r="BZ1084" s="30"/>
      <c r="CA1084" s="30"/>
      <c r="CB1084" s="30"/>
      <c r="CC1084" s="30"/>
      <c r="CD1084" s="30"/>
      <c r="CE1084" s="30"/>
      <c r="CF1084" s="30"/>
      <c r="CG1084" s="30"/>
      <c r="CH1084" s="30"/>
      <c r="CI1084" s="30"/>
      <c r="CJ1084" s="30"/>
      <c r="CK1084" s="30"/>
      <c r="CL1084" s="30"/>
      <c r="CM1084" s="30"/>
      <c r="CN1084" s="30"/>
      <c r="CO1084" s="30"/>
      <c r="CP1084" s="30"/>
      <c r="CQ1084" s="30"/>
      <c r="CR1084" s="30"/>
      <c r="CS1084" s="30"/>
      <c r="CT1084" s="30"/>
      <c r="CU1084" s="30"/>
      <c r="CV1084" s="30"/>
      <c r="CW1084" s="30"/>
      <c r="CX1084" s="30"/>
      <c r="CY1084" s="30"/>
      <c r="CZ1084" s="30"/>
      <c r="DA1084" s="30"/>
      <c r="DB1084" s="30"/>
      <c r="DC1084" s="30"/>
      <c r="DD1084" s="30"/>
      <c r="DE1084" s="30"/>
      <c r="DF1084" s="30"/>
      <c r="DG1084" s="30"/>
      <c r="DH1084" s="30"/>
      <c r="DI1084" s="30"/>
      <c r="DJ1084" s="30"/>
      <c r="DK1084" s="30"/>
      <c r="DL1084" s="30"/>
      <c r="DM1084" s="30"/>
      <c r="DN1084" s="30"/>
      <c r="DO1084" s="30"/>
      <c r="DP1084" s="30"/>
      <c r="DQ1084" s="30"/>
      <c r="DR1084" s="30"/>
      <c r="DS1084" s="30"/>
      <c r="DT1084" s="30"/>
      <c r="DU1084" s="30"/>
      <c r="DV1084" s="30"/>
      <c r="DW1084" s="30"/>
      <c r="DX1084" s="30"/>
      <c r="DY1084" s="30"/>
      <c r="DZ1084" s="30"/>
      <c r="EA1084" s="30"/>
      <c r="EB1084" s="30"/>
      <c r="EC1084" s="30"/>
      <c r="ED1084" s="30"/>
      <c r="EE1084" s="30"/>
      <c r="EF1084" s="30"/>
      <c r="EG1084" s="30"/>
      <c r="EH1084" s="30"/>
      <c r="EI1084" s="30"/>
      <c r="EJ1084" s="30"/>
      <c r="EK1084" s="30"/>
      <c r="EL1084" s="30"/>
      <c r="EM1084" s="30"/>
      <c r="EN1084" s="30"/>
      <c r="EO1084" s="30"/>
      <c r="EP1084" s="30"/>
      <c r="EQ1084" s="30"/>
      <c r="ER1084" s="30"/>
      <c r="ES1084" s="30"/>
      <c r="ET1084" s="30"/>
      <c r="EU1084" s="30"/>
      <c r="EV1084" s="30"/>
      <c r="EW1084" s="30"/>
      <c r="EX1084" s="30"/>
      <c r="EY1084" s="30"/>
      <c r="EZ1084" s="30"/>
      <c r="FA1084" s="30"/>
      <c r="FB1084" s="30"/>
      <c r="FC1084" s="30"/>
      <c r="FD1084" s="30"/>
      <c r="FE1084" s="30"/>
      <c r="FF1084" s="30"/>
      <c r="FG1084" s="30"/>
      <c r="FH1084" s="30"/>
      <c r="FI1084" s="30"/>
      <c r="FJ1084" s="30"/>
      <c r="FK1084" s="30"/>
      <c r="FL1084" s="30"/>
      <c r="FM1084" s="30"/>
      <c r="FN1084" s="30"/>
      <c r="FO1084" s="30"/>
      <c r="FP1084" s="30"/>
      <c r="FQ1084" s="30"/>
      <c r="FR1084" s="30"/>
      <c r="FS1084" s="30"/>
      <c r="FT1084" s="30"/>
      <c r="FU1084" s="30"/>
      <c r="FV1084" s="30"/>
      <c r="FW1084" s="30"/>
      <c r="FX1084" s="30"/>
      <c r="FY1084" s="30"/>
      <c r="FZ1084" s="30"/>
      <c r="GA1084" s="30"/>
      <c r="GB1084" s="30"/>
      <c r="GC1084" s="30"/>
      <c r="GD1084" s="30"/>
      <c r="GE1084" s="30"/>
      <c r="GF1084" s="30"/>
      <c r="GG1084" s="30"/>
      <c r="GH1084" s="30"/>
      <c r="GI1084" s="30"/>
      <c r="GJ1084" s="30"/>
      <c r="GK1084" s="30"/>
      <c r="GL1084" s="30"/>
      <c r="GM1084" s="30"/>
      <c r="GN1084" s="30"/>
      <c r="GO1084" s="30"/>
      <c r="GP1084" s="30"/>
      <c r="GQ1084" s="30"/>
      <c r="GR1084" s="30"/>
      <c r="GS1084" s="30"/>
      <c r="GT1084" s="30"/>
      <c r="GU1084" s="30"/>
      <c r="GV1084" s="30"/>
      <c r="GW1084" s="30"/>
      <c r="GX1084" s="30"/>
      <c r="GY1084" s="30"/>
      <c r="GZ1084" s="30"/>
      <c r="HA1084" s="30"/>
      <c r="HB1084" s="30"/>
      <c r="HC1084" s="30"/>
      <c r="HD1084" s="30"/>
      <c r="HE1084" s="30"/>
      <c r="HF1084" s="30"/>
      <c r="HG1084" s="30"/>
      <c r="HH1084" s="30"/>
      <c r="HI1084" s="30"/>
      <c r="HJ1084" s="30"/>
      <c r="HK1084" s="30"/>
      <c r="HL1084" s="30"/>
      <c r="HM1084" s="30"/>
      <c r="HN1084" s="30"/>
      <c r="HO1084" s="30"/>
      <c r="HP1084" s="30"/>
      <c r="HQ1084" s="30"/>
      <c r="HR1084" s="30"/>
      <c r="HS1084" s="30"/>
      <c r="HT1084" s="30"/>
      <c r="HU1084" s="30"/>
      <c r="HV1084" s="30"/>
      <c r="HW1084" s="30"/>
      <c r="HX1084" s="30"/>
      <c r="HY1084" s="30"/>
      <c r="HZ1084" s="30"/>
      <c r="IA1084" s="30"/>
      <c r="IB1084" s="30"/>
      <c r="IC1084" s="30"/>
      <c r="ID1084" s="30"/>
      <c r="IE1084" s="30"/>
      <c r="IF1084" s="30"/>
      <c r="IG1084" s="30"/>
      <c r="IH1084" s="30"/>
      <c r="II1084" s="30"/>
      <c r="IJ1084" s="30"/>
      <c r="IK1084" s="30"/>
      <c r="IL1084" s="30"/>
      <c r="IM1084" s="30"/>
      <c r="IN1084" s="30"/>
      <c r="IO1084" s="30"/>
      <c r="IP1084" s="30"/>
      <c r="IQ1084" s="30"/>
      <c r="IR1084" s="30"/>
      <c r="IS1084" s="30"/>
      <c r="IT1084" s="30"/>
      <c r="IU1084" s="30"/>
      <c r="IV1084" s="30"/>
      <c r="IW1084" s="30"/>
      <c r="IX1084" s="30"/>
    </row>
    <row r="1085" spans="1:258" ht="21.95" customHeight="1" x14ac:dyDescent="0.25">
      <c r="A1085" s="37" t="s">
        <v>1292</v>
      </c>
      <c r="B1085" s="8" t="s">
        <v>657</v>
      </c>
      <c r="C1085" s="2">
        <f t="shared" si="597"/>
        <v>1609080</v>
      </c>
      <c r="D1085" s="3">
        <f t="shared" si="596"/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4">
        <v>0</v>
      </c>
      <c r="L1085" s="3">
        <v>0</v>
      </c>
      <c r="M1085" s="5">
        <v>243.8</v>
      </c>
      <c r="N1085" s="3">
        <f t="shared" si="605"/>
        <v>1609080</v>
      </c>
      <c r="O1085" s="3">
        <v>0</v>
      </c>
      <c r="P1085" s="3">
        <v>0</v>
      </c>
      <c r="Q1085" s="3">
        <v>0</v>
      </c>
      <c r="R1085" s="3">
        <f t="shared" si="590"/>
        <v>0</v>
      </c>
      <c r="S1085" s="3">
        <v>0</v>
      </c>
      <c r="T1085" s="5">
        <v>0</v>
      </c>
      <c r="U1085" s="3">
        <v>0</v>
      </c>
      <c r="V1085" s="6">
        <f t="shared" si="595"/>
        <v>6600</v>
      </c>
    </row>
    <row r="1086" spans="1:258" ht="21.95" customHeight="1" x14ac:dyDescent="0.25">
      <c r="A1086" s="37" t="s">
        <v>1293</v>
      </c>
      <c r="B1086" s="8" t="s">
        <v>658</v>
      </c>
      <c r="C1086" s="2">
        <f t="shared" si="597"/>
        <v>1622940</v>
      </c>
      <c r="D1086" s="3">
        <f t="shared" si="596"/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4">
        <v>0</v>
      </c>
      <c r="L1086" s="3">
        <v>0</v>
      </c>
      <c r="M1086" s="3">
        <v>245.9</v>
      </c>
      <c r="N1086" s="3">
        <f t="shared" si="605"/>
        <v>1622940</v>
      </c>
      <c r="O1086" s="3">
        <v>0</v>
      </c>
      <c r="P1086" s="3">
        <v>0</v>
      </c>
      <c r="Q1086" s="3">
        <v>0</v>
      </c>
      <c r="R1086" s="3">
        <f t="shared" si="590"/>
        <v>0</v>
      </c>
      <c r="S1086" s="3">
        <v>0</v>
      </c>
      <c r="T1086" s="5">
        <v>0</v>
      </c>
      <c r="U1086" s="3">
        <v>0</v>
      </c>
      <c r="V1086" s="6">
        <f t="shared" si="595"/>
        <v>6600</v>
      </c>
      <c r="W1086" s="27"/>
      <c r="X1086" s="27"/>
      <c r="Y1086" s="27"/>
      <c r="Z1086" s="27"/>
      <c r="AA1086" s="27"/>
      <c r="AB1086" s="27"/>
      <c r="AC1086" s="27"/>
      <c r="AD1086" s="27"/>
      <c r="AE1086" s="27"/>
      <c r="AF1086" s="27"/>
      <c r="AG1086" s="27"/>
      <c r="AH1086" s="27"/>
      <c r="AI1086" s="27"/>
      <c r="AJ1086" s="27"/>
      <c r="AK1086" s="27"/>
      <c r="AL1086" s="27"/>
      <c r="AM1086" s="27"/>
      <c r="AN1086" s="27"/>
      <c r="AO1086" s="27"/>
      <c r="AP1086" s="27"/>
      <c r="AQ1086" s="27"/>
      <c r="AR1086" s="27"/>
      <c r="AS1086" s="27"/>
      <c r="AT1086" s="27"/>
      <c r="AU1086" s="27"/>
      <c r="AV1086" s="27"/>
      <c r="AW1086" s="27"/>
      <c r="AX1086" s="27"/>
      <c r="AY1086" s="27"/>
      <c r="AZ1086" s="27"/>
      <c r="BA1086" s="27"/>
      <c r="BB1086" s="27"/>
      <c r="BC1086" s="27"/>
      <c r="BD1086" s="27"/>
      <c r="BE1086" s="27"/>
      <c r="BF1086" s="27"/>
      <c r="BG1086" s="27"/>
      <c r="BH1086" s="27"/>
      <c r="BI1086" s="27"/>
      <c r="BJ1086" s="27"/>
      <c r="BK1086" s="27"/>
      <c r="BL1086" s="27"/>
      <c r="BM1086" s="27"/>
      <c r="BN1086" s="27"/>
      <c r="BO1086" s="27"/>
      <c r="BP1086" s="27"/>
      <c r="BQ1086" s="27"/>
      <c r="BR1086" s="27"/>
      <c r="BS1086" s="27"/>
      <c r="BT1086" s="27"/>
      <c r="BU1086" s="27"/>
      <c r="BV1086" s="27"/>
      <c r="BW1086" s="27"/>
      <c r="BX1086" s="27"/>
      <c r="BY1086" s="27"/>
      <c r="BZ1086" s="27"/>
      <c r="CA1086" s="27"/>
      <c r="CB1086" s="27"/>
      <c r="CC1086" s="27"/>
      <c r="CD1086" s="27"/>
      <c r="CE1086" s="27"/>
      <c r="CF1086" s="27"/>
      <c r="CG1086" s="27"/>
      <c r="CH1086" s="27"/>
      <c r="CI1086" s="27"/>
      <c r="CJ1086" s="27"/>
      <c r="CK1086" s="27"/>
      <c r="CL1086" s="27"/>
      <c r="CM1086" s="27"/>
      <c r="CN1086" s="27"/>
      <c r="CO1086" s="27"/>
      <c r="CP1086" s="27"/>
      <c r="CQ1086" s="27"/>
      <c r="CR1086" s="27"/>
      <c r="CS1086" s="27"/>
      <c r="CT1086" s="27"/>
      <c r="CU1086" s="27"/>
      <c r="CV1086" s="27"/>
      <c r="CW1086" s="27"/>
      <c r="CX1086" s="27"/>
      <c r="CY1086" s="27"/>
      <c r="CZ1086" s="27"/>
      <c r="DA1086" s="27"/>
      <c r="DB1086" s="27"/>
      <c r="DC1086" s="27"/>
      <c r="DD1086" s="27"/>
      <c r="DE1086" s="27"/>
      <c r="DF1086" s="27"/>
      <c r="DG1086" s="27"/>
      <c r="DH1086" s="27"/>
      <c r="DI1086" s="27"/>
      <c r="DJ1086" s="27"/>
      <c r="DK1086" s="27"/>
      <c r="DL1086" s="27"/>
      <c r="DM1086" s="27"/>
      <c r="DN1086" s="27"/>
      <c r="DO1086" s="27"/>
      <c r="DP1086" s="27"/>
      <c r="DQ1086" s="27"/>
      <c r="DR1086" s="27"/>
      <c r="DS1086" s="27"/>
      <c r="DT1086" s="27"/>
      <c r="DU1086" s="27"/>
      <c r="DV1086" s="27"/>
      <c r="DW1086" s="27"/>
      <c r="DX1086" s="27"/>
      <c r="DY1086" s="27"/>
      <c r="DZ1086" s="27"/>
      <c r="EA1086" s="27"/>
      <c r="EB1086" s="27"/>
      <c r="EC1086" s="27"/>
      <c r="ED1086" s="27"/>
      <c r="EE1086" s="27"/>
      <c r="EF1086" s="27"/>
      <c r="EG1086" s="27"/>
      <c r="EH1086" s="27"/>
      <c r="EI1086" s="27"/>
      <c r="EJ1086" s="27"/>
      <c r="EK1086" s="27"/>
      <c r="EL1086" s="27"/>
      <c r="EM1086" s="27"/>
      <c r="EN1086" s="27"/>
      <c r="EO1086" s="27"/>
      <c r="EP1086" s="27"/>
      <c r="EQ1086" s="27"/>
      <c r="ER1086" s="27"/>
      <c r="ES1086" s="27"/>
      <c r="ET1086" s="27"/>
      <c r="EU1086" s="27"/>
      <c r="EV1086" s="27"/>
      <c r="EW1086" s="27"/>
      <c r="EX1086" s="27"/>
      <c r="EY1086" s="27"/>
      <c r="EZ1086" s="27"/>
      <c r="FA1086" s="27"/>
      <c r="FB1086" s="27"/>
      <c r="FC1086" s="27"/>
      <c r="FD1086" s="27"/>
      <c r="FE1086" s="27"/>
      <c r="FF1086" s="27"/>
      <c r="FG1086" s="27"/>
      <c r="FH1086" s="27"/>
      <c r="FI1086" s="27"/>
      <c r="FJ1086" s="27"/>
      <c r="FK1086" s="27"/>
      <c r="FL1086" s="27"/>
      <c r="FM1086" s="27"/>
      <c r="FN1086" s="27"/>
      <c r="FO1086" s="27"/>
      <c r="FP1086" s="27"/>
      <c r="FQ1086" s="27"/>
      <c r="FR1086" s="27"/>
      <c r="FS1086" s="27"/>
      <c r="FT1086" s="27"/>
      <c r="FU1086" s="27"/>
      <c r="FV1086" s="27"/>
      <c r="FW1086" s="27"/>
      <c r="FX1086" s="27"/>
      <c r="FY1086" s="27"/>
      <c r="FZ1086" s="27"/>
      <c r="GA1086" s="27"/>
      <c r="GB1086" s="27"/>
      <c r="GC1086" s="27"/>
      <c r="GD1086" s="27"/>
      <c r="GE1086" s="27"/>
      <c r="GF1086" s="27"/>
      <c r="GG1086" s="27"/>
      <c r="GH1086" s="27"/>
      <c r="GI1086" s="27"/>
      <c r="GJ1086" s="27"/>
      <c r="GK1086" s="27"/>
      <c r="GL1086" s="27"/>
      <c r="GM1086" s="27"/>
      <c r="GN1086" s="27"/>
      <c r="GO1086" s="27"/>
      <c r="GP1086" s="27"/>
      <c r="GQ1086" s="27"/>
      <c r="GR1086" s="27"/>
      <c r="GS1086" s="27"/>
      <c r="GT1086" s="27"/>
      <c r="GU1086" s="27"/>
      <c r="GV1086" s="27"/>
      <c r="GW1086" s="27"/>
      <c r="GX1086" s="27"/>
      <c r="GY1086" s="27"/>
      <c r="GZ1086" s="27"/>
      <c r="HA1086" s="27"/>
      <c r="HB1086" s="27"/>
      <c r="HC1086" s="27"/>
      <c r="HD1086" s="27"/>
      <c r="HE1086" s="27"/>
      <c r="HF1086" s="27"/>
      <c r="HG1086" s="27"/>
      <c r="HH1086" s="27"/>
      <c r="HI1086" s="27"/>
      <c r="HJ1086" s="27"/>
      <c r="HK1086" s="27"/>
      <c r="HL1086" s="27"/>
      <c r="HM1086" s="27"/>
      <c r="HN1086" s="27"/>
      <c r="HO1086" s="27"/>
      <c r="HP1086" s="27"/>
      <c r="HQ1086" s="27"/>
      <c r="HR1086" s="27"/>
      <c r="HS1086" s="27"/>
      <c r="HT1086" s="27"/>
      <c r="HU1086" s="27"/>
      <c r="HV1086" s="27"/>
      <c r="HW1086" s="27"/>
      <c r="HX1086" s="27"/>
      <c r="HY1086" s="27"/>
      <c r="HZ1086" s="27"/>
      <c r="IA1086" s="27"/>
      <c r="IB1086" s="27"/>
      <c r="IC1086" s="27"/>
      <c r="ID1086" s="27"/>
      <c r="IE1086" s="27"/>
      <c r="IF1086" s="27"/>
      <c r="IG1086" s="27"/>
      <c r="IH1086" s="27"/>
      <c r="II1086" s="27"/>
      <c r="IJ1086" s="27"/>
      <c r="IK1086" s="27"/>
      <c r="IL1086" s="27"/>
      <c r="IM1086" s="27"/>
      <c r="IN1086" s="27"/>
      <c r="IO1086" s="27"/>
      <c r="IP1086" s="27"/>
      <c r="IQ1086" s="27"/>
      <c r="IR1086" s="27"/>
      <c r="IS1086" s="27"/>
      <c r="IT1086" s="27"/>
      <c r="IU1086" s="27"/>
      <c r="IV1086" s="27"/>
      <c r="IW1086" s="27"/>
      <c r="IX1086" s="27"/>
    </row>
    <row r="1087" spans="1:258" ht="21.95" customHeight="1" x14ac:dyDescent="0.25">
      <c r="A1087" s="37" t="s">
        <v>1294</v>
      </c>
      <c r="B1087" s="8" t="s">
        <v>659</v>
      </c>
      <c r="C1087" s="2">
        <f t="shared" si="597"/>
        <v>1611060</v>
      </c>
      <c r="D1087" s="3">
        <f t="shared" si="596"/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4">
        <v>0</v>
      </c>
      <c r="L1087" s="3">
        <v>0</v>
      </c>
      <c r="M1087" s="3">
        <v>244.1</v>
      </c>
      <c r="N1087" s="3">
        <f t="shared" si="605"/>
        <v>1611060</v>
      </c>
      <c r="O1087" s="3">
        <v>0</v>
      </c>
      <c r="P1087" s="3">
        <v>0</v>
      </c>
      <c r="Q1087" s="3">
        <v>0</v>
      </c>
      <c r="R1087" s="3">
        <f t="shared" si="590"/>
        <v>0</v>
      </c>
      <c r="S1087" s="3">
        <v>0</v>
      </c>
      <c r="T1087" s="5">
        <v>0</v>
      </c>
      <c r="U1087" s="3">
        <v>0</v>
      </c>
      <c r="V1087" s="6">
        <f t="shared" si="595"/>
        <v>6600</v>
      </c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7"/>
      <c r="AV1087" s="17"/>
      <c r="AW1087" s="17"/>
      <c r="AX1087" s="17"/>
      <c r="AY1087" s="17"/>
      <c r="AZ1087" s="17"/>
      <c r="BA1087" s="17"/>
      <c r="BB1087" s="17"/>
      <c r="BC1087" s="17"/>
      <c r="BD1087" s="17"/>
      <c r="BE1087" s="17"/>
      <c r="BF1087" s="17"/>
      <c r="BG1087" s="17"/>
      <c r="BH1087" s="17"/>
      <c r="BI1087" s="17"/>
      <c r="BJ1087" s="17"/>
      <c r="BK1087" s="17"/>
      <c r="BL1087" s="17"/>
      <c r="BM1087" s="17"/>
      <c r="BN1087" s="17"/>
      <c r="BO1087" s="17"/>
      <c r="BP1087" s="17"/>
      <c r="BQ1087" s="17"/>
      <c r="BR1087" s="17"/>
      <c r="BS1087" s="17"/>
      <c r="BT1087" s="17"/>
      <c r="BU1087" s="17"/>
      <c r="BV1087" s="17"/>
      <c r="BW1087" s="17"/>
      <c r="BX1087" s="17"/>
      <c r="BY1087" s="17"/>
      <c r="BZ1087" s="17"/>
      <c r="CA1087" s="17"/>
      <c r="CB1087" s="17"/>
      <c r="CC1087" s="17"/>
      <c r="CD1087" s="17"/>
      <c r="CE1087" s="17"/>
      <c r="CF1087" s="17"/>
      <c r="CG1087" s="17"/>
      <c r="CH1087" s="17"/>
      <c r="CI1087" s="17"/>
      <c r="CJ1087" s="17"/>
      <c r="CK1087" s="17"/>
      <c r="CL1087" s="17"/>
      <c r="CM1087" s="17"/>
      <c r="CN1087" s="17"/>
      <c r="CO1087" s="17"/>
      <c r="CP1087" s="17"/>
      <c r="CQ1087" s="17"/>
      <c r="CR1087" s="17"/>
      <c r="CS1087" s="17"/>
      <c r="CT1087" s="17"/>
      <c r="CU1087" s="17"/>
      <c r="CV1087" s="17"/>
      <c r="CW1087" s="17"/>
      <c r="CX1087" s="17"/>
      <c r="CY1087" s="17"/>
      <c r="CZ1087" s="17"/>
      <c r="DA1087" s="17"/>
      <c r="DB1087" s="17"/>
      <c r="DC1087" s="17"/>
      <c r="DD1087" s="17"/>
      <c r="DE1087" s="17"/>
      <c r="DF1087" s="17"/>
      <c r="DG1087" s="17"/>
      <c r="DH1087" s="17"/>
      <c r="DI1087" s="17"/>
      <c r="DJ1087" s="17"/>
      <c r="DK1087" s="17"/>
      <c r="DL1087" s="17"/>
      <c r="DM1087" s="17"/>
      <c r="DN1087" s="17"/>
      <c r="DO1087" s="17"/>
      <c r="DP1087" s="17"/>
      <c r="DQ1087" s="17"/>
      <c r="DR1087" s="17"/>
      <c r="DS1087" s="17"/>
      <c r="DT1087" s="17"/>
      <c r="DU1087" s="17"/>
      <c r="DV1087" s="17"/>
      <c r="DW1087" s="17"/>
      <c r="DX1087" s="17"/>
      <c r="DY1087" s="17"/>
      <c r="DZ1087" s="17"/>
      <c r="EA1087" s="17"/>
      <c r="EB1087" s="17"/>
      <c r="EC1087" s="17"/>
      <c r="ED1087" s="17"/>
      <c r="EE1087" s="17"/>
      <c r="EF1087" s="17"/>
      <c r="EG1087" s="17"/>
      <c r="EH1087" s="17"/>
      <c r="EI1087" s="17"/>
      <c r="EJ1087" s="17"/>
      <c r="EK1087" s="17"/>
      <c r="EL1087" s="17"/>
      <c r="EM1087" s="17"/>
      <c r="EN1087" s="17"/>
      <c r="EO1087" s="17"/>
      <c r="EP1087" s="17"/>
      <c r="EQ1087" s="17"/>
      <c r="ER1087" s="17"/>
      <c r="ES1087" s="17"/>
      <c r="ET1087" s="17"/>
      <c r="EU1087" s="17"/>
      <c r="EV1087" s="17"/>
      <c r="EW1087" s="17"/>
      <c r="EX1087" s="17"/>
      <c r="EY1087" s="17"/>
      <c r="EZ1087" s="17"/>
      <c r="FA1087" s="17"/>
      <c r="FB1087" s="17"/>
      <c r="FC1087" s="17"/>
      <c r="FD1087" s="17"/>
      <c r="FE1087" s="17"/>
      <c r="FF1087" s="17"/>
      <c r="FG1087" s="17"/>
      <c r="FH1087" s="17"/>
      <c r="FI1087" s="17"/>
      <c r="FJ1087" s="17"/>
      <c r="FK1087" s="17"/>
      <c r="FL1087" s="17"/>
      <c r="FM1087" s="17"/>
      <c r="FN1087" s="17"/>
      <c r="FO1087" s="17"/>
      <c r="FP1087" s="17"/>
      <c r="FQ1087" s="17"/>
      <c r="FR1087" s="17"/>
      <c r="FS1087" s="17"/>
      <c r="FT1087" s="17"/>
      <c r="FU1087" s="17"/>
      <c r="FV1087" s="17"/>
      <c r="FW1087" s="17"/>
      <c r="FX1087" s="17"/>
      <c r="FY1087" s="17"/>
      <c r="FZ1087" s="17"/>
      <c r="GA1087" s="17"/>
      <c r="GB1087" s="17"/>
      <c r="GC1087" s="17"/>
      <c r="GD1087" s="17"/>
      <c r="GE1087" s="17"/>
      <c r="GF1087" s="17"/>
      <c r="GG1087" s="17"/>
      <c r="GH1087" s="17"/>
      <c r="GI1087" s="17"/>
      <c r="GJ1087" s="17"/>
      <c r="GK1087" s="17"/>
      <c r="GL1087" s="17"/>
      <c r="GM1087" s="17"/>
      <c r="GN1087" s="17"/>
      <c r="GO1087" s="17"/>
      <c r="GP1087" s="17"/>
      <c r="GQ1087" s="17"/>
      <c r="GR1087" s="17"/>
      <c r="GS1087" s="17"/>
      <c r="GT1087" s="17"/>
      <c r="GU1087" s="17"/>
      <c r="GV1087" s="17"/>
      <c r="GW1087" s="17"/>
      <c r="GX1087" s="17"/>
      <c r="GY1087" s="17"/>
      <c r="GZ1087" s="17"/>
      <c r="HA1087" s="17"/>
      <c r="HB1087" s="17"/>
      <c r="HC1087" s="17"/>
      <c r="HD1087" s="17"/>
      <c r="HE1087" s="17"/>
      <c r="HF1087" s="17"/>
      <c r="HG1087" s="17"/>
      <c r="HH1087" s="17"/>
      <c r="HI1087" s="17"/>
      <c r="HJ1087" s="17"/>
      <c r="HK1087" s="17"/>
      <c r="HL1087" s="17"/>
      <c r="HM1087" s="17"/>
      <c r="HN1087" s="17"/>
      <c r="HO1087" s="17"/>
      <c r="HP1087" s="17"/>
      <c r="HQ1087" s="17"/>
      <c r="HR1087" s="17"/>
      <c r="HS1087" s="17"/>
      <c r="HT1087" s="17"/>
      <c r="HU1087" s="17"/>
      <c r="HV1087" s="17"/>
      <c r="HW1087" s="17"/>
      <c r="HX1087" s="17"/>
      <c r="HY1087" s="17"/>
      <c r="HZ1087" s="17"/>
      <c r="IA1087" s="17"/>
      <c r="IB1087" s="17"/>
      <c r="IC1087" s="17"/>
      <c r="ID1087" s="17"/>
      <c r="IE1087" s="17"/>
      <c r="IF1087" s="17"/>
      <c r="IG1087" s="17"/>
      <c r="IH1087" s="17"/>
      <c r="II1087" s="17"/>
      <c r="IJ1087" s="17"/>
      <c r="IK1087" s="17"/>
      <c r="IL1087" s="17"/>
      <c r="IM1087" s="17"/>
      <c r="IN1087" s="17"/>
      <c r="IO1087" s="17"/>
      <c r="IP1087" s="17"/>
      <c r="IQ1087" s="17"/>
      <c r="IR1087" s="17"/>
      <c r="IS1087" s="17"/>
      <c r="IT1087" s="17"/>
      <c r="IU1087" s="17"/>
      <c r="IV1087" s="17"/>
      <c r="IW1087" s="17"/>
      <c r="IX1087" s="17"/>
    </row>
    <row r="1088" spans="1:258" ht="21.95" customHeight="1" x14ac:dyDescent="0.25">
      <c r="A1088" s="37" t="s">
        <v>1295</v>
      </c>
      <c r="B1088" s="8" t="s">
        <v>751</v>
      </c>
      <c r="C1088" s="2">
        <f t="shared" si="597"/>
        <v>1615680</v>
      </c>
      <c r="D1088" s="3">
        <f t="shared" si="596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4">
        <v>0</v>
      </c>
      <c r="L1088" s="3">
        <v>0</v>
      </c>
      <c r="M1088" s="5">
        <v>244.8</v>
      </c>
      <c r="N1088" s="3">
        <f t="shared" si="605"/>
        <v>1615680</v>
      </c>
      <c r="O1088" s="3">
        <v>0</v>
      </c>
      <c r="P1088" s="3">
        <v>0</v>
      </c>
      <c r="Q1088" s="3">
        <v>0</v>
      </c>
      <c r="R1088" s="3">
        <f t="shared" si="590"/>
        <v>0</v>
      </c>
      <c r="S1088" s="3">
        <v>0</v>
      </c>
      <c r="T1088" s="5">
        <v>0</v>
      </c>
      <c r="U1088" s="3">
        <v>0</v>
      </c>
      <c r="V1088" s="6">
        <f t="shared" si="595"/>
        <v>6600</v>
      </c>
    </row>
    <row r="1089" spans="1:258" ht="21.95" customHeight="1" x14ac:dyDescent="0.25">
      <c r="A1089" s="37" t="s">
        <v>1296</v>
      </c>
      <c r="B1089" s="8" t="s">
        <v>752</v>
      </c>
      <c r="C1089" s="2">
        <f t="shared" si="597"/>
        <v>1915680</v>
      </c>
      <c r="D1089" s="3">
        <f t="shared" si="596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0</v>
      </c>
      <c r="L1089" s="3">
        <v>0</v>
      </c>
      <c r="M1089" s="5">
        <v>244.8</v>
      </c>
      <c r="N1089" s="3">
        <f t="shared" si="605"/>
        <v>1615680</v>
      </c>
      <c r="O1089" s="3">
        <v>0</v>
      </c>
      <c r="P1089" s="3">
        <v>0</v>
      </c>
      <c r="Q1089" s="3">
        <v>0</v>
      </c>
      <c r="R1089" s="3">
        <f t="shared" si="590"/>
        <v>0</v>
      </c>
      <c r="S1089" s="3">
        <v>0</v>
      </c>
      <c r="T1089" s="5">
        <v>0</v>
      </c>
      <c r="U1089" s="3">
        <v>300000</v>
      </c>
      <c r="V1089" s="6">
        <f t="shared" si="595"/>
        <v>6600</v>
      </c>
    </row>
    <row r="1090" spans="1:258" ht="21.95" customHeight="1" x14ac:dyDescent="0.25">
      <c r="A1090" s="37" t="s">
        <v>1297</v>
      </c>
      <c r="B1090" s="8" t="s">
        <v>660</v>
      </c>
      <c r="C1090" s="2">
        <f t="shared" si="597"/>
        <v>1623600</v>
      </c>
      <c r="D1090" s="3">
        <f t="shared" si="596"/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4">
        <v>0</v>
      </c>
      <c r="L1090" s="3">
        <v>0</v>
      </c>
      <c r="M1090" s="5">
        <v>246</v>
      </c>
      <c r="N1090" s="3">
        <f t="shared" si="605"/>
        <v>1623600</v>
      </c>
      <c r="O1090" s="3">
        <v>0</v>
      </c>
      <c r="P1090" s="3">
        <v>0</v>
      </c>
      <c r="Q1090" s="3">
        <v>0</v>
      </c>
      <c r="R1090" s="3">
        <f t="shared" si="590"/>
        <v>0</v>
      </c>
      <c r="S1090" s="3">
        <v>0</v>
      </c>
      <c r="T1090" s="5">
        <v>0</v>
      </c>
      <c r="U1090" s="3">
        <v>0</v>
      </c>
      <c r="V1090" s="6">
        <f t="shared" si="595"/>
        <v>6600</v>
      </c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7"/>
      <c r="AV1090" s="17"/>
      <c r="AW1090" s="17"/>
      <c r="AX1090" s="17"/>
      <c r="AY1090" s="17"/>
      <c r="AZ1090" s="17"/>
      <c r="BA1090" s="17"/>
      <c r="BB1090" s="17"/>
      <c r="BC1090" s="17"/>
      <c r="BD1090" s="17"/>
      <c r="BE1090" s="17"/>
      <c r="BF1090" s="17"/>
      <c r="BG1090" s="17"/>
      <c r="BH1090" s="17"/>
      <c r="BI1090" s="17"/>
      <c r="BJ1090" s="17"/>
      <c r="BK1090" s="17"/>
      <c r="BL1090" s="17"/>
      <c r="BM1090" s="17"/>
      <c r="BN1090" s="17"/>
      <c r="BO1090" s="17"/>
      <c r="BP1090" s="17"/>
      <c r="BQ1090" s="17"/>
      <c r="BR1090" s="17"/>
      <c r="BS1090" s="17"/>
      <c r="BT1090" s="17"/>
      <c r="BU1090" s="17"/>
      <c r="BV1090" s="17"/>
      <c r="BW1090" s="17"/>
      <c r="BX1090" s="17"/>
      <c r="BY1090" s="17"/>
      <c r="BZ1090" s="17"/>
      <c r="CA1090" s="17"/>
      <c r="CB1090" s="17"/>
      <c r="CC1090" s="17"/>
      <c r="CD1090" s="17"/>
      <c r="CE1090" s="17"/>
      <c r="CF1090" s="17"/>
      <c r="CG1090" s="17"/>
      <c r="CH1090" s="17"/>
      <c r="CI1090" s="17"/>
      <c r="CJ1090" s="17"/>
      <c r="CK1090" s="17"/>
      <c r="CL1090" s="17"/>
      <c r="CM1090" s="17"/>
      <c r="CN1090" s="17"/>
      <c r="CO1090" s="17"/>
      <c r="CP1090" s="17"/>
      <c r="CQ1090" s="17"/>
      <c r="CR1090" s="17"/>
      <c r="CS1090" s="17"/>
      <c r="CT1090" s="17"/>
      <c r="CU1090" s="17"/>
      <c r="CV1090" s="17"/>
      <c r="CW1090" s="17"/>
      <c r="CX1090" s="17"/>
      <c r="CY1090" s="17"/>
      <c r="CZ1090" s="17"/>
      <c r="DA1090" s="17"/>
      <c r="DB1090" s="17"/>
      <c r="DC1090" s="17"/>
      <c r="DD1090" s="17"/>
      <c r="DE1090" s="17"/>
      <c r="DF1090" s="17"/>
      <c r="DG1090" s="17"/>
      <c r="DH1090" s="17"/>
      <c r="DI1090" s="17"/>
      <c r="DJ1090" s="17"/>
      <c r="DK1090" s="17"/>
      <c r="DL1090" s="17"/>
      <c r="DM1090" s="17"/>
      <c r="DN1090" s="17"/>
      <c r="DO1090" s="17"/>
      <c r="DP1090" s="17"/>
      <c r="DQ1090" s="17"/>
      <c r="DR1090" s="17"/>
      <c r="DS1090" s="17"/>
      <c r="DT1090" s="17"/>
      <c r="DU1090" s="17"/>
      <c r="DV1090" s="17"/>
      <c r="DW1090" s="17"/>
      <c r="DX1090" s="17"/>
      <c r="DY1090" s="17"/>
      <c r="DZ1090" s="17"/>
      <c r="EA1090" s="17"/>
      <c r="EB1090" s="17"/>
      <c r="EC1090" s="17"/>
      <c r="ED1090" s="17"/>
      <c r="EE1090" s="17"/>
      <c r="EF1090" s="17"/>
      <c r="EG1090" s="17"/>
      <c r="EH1090" s="17"/>
      <c r="EI1090" s="17"/>
      <c r="EJ1090" s="17"/>
      <c r="EK1090" s="17"/>
      <c r="EL1090" s="17"/>
      <c r="EM1090" s="17"/>
      <c r="EN1090" s="17"/>
      <c r="EO1090" s="17"/>
      <c r="EP1090" s="17"/>
      <c r="EQ1090" s="17"/>
      <c r="ER1090" s="17"/>
      <c r="ES1090" s="17"/>
      <c r="ET1090" s="17"/>
      <c r="EU1090" s="17"/>
      <c r="EV1090" s="17"/>
      <c r="EW1090" s="17"/>
      <c r="EX1090" s="17"/>
      <c r="EY1090" s="17"/>
      <c r="EZ1090" s="17"/>
      <c r="FA1090" s="17"/>
      <c r="FB1090" s="17"/>
      <c r="FC1090" s="17"/>
      <c r="FD1090" s="17"/>
      <c r="FE1090" s="17"/>
      <c r="FF1090" s="17"/>
      <c r="FG1090" s="17"/>
      <c r="FH1090" s="17"/>
      <c r="FI1090" s="17"/>
      <c r="FJ1090" s="17"/>
      <c r="FK1090" s="17"/>
      <c r="FL1090" s="17"/>
      <c r="FM1090" s="17"/>
      <c r="FN1090" s="17"/>
      <c r="FO1090" s="17"/>
      <c r="FP1090" s="17"/>
      <c r="FQ1090" s="17"/>
      <c r="FR1090" s="17"/>
      <c r="FS1090" s="17"/>
      <c r="FT1090" s="17"/>
      <c r="FU1090" s="17"/>
      <c r="FV1090" s="17"/>
      <c r="FW1090" s="17"/>
      <c r="FX1090" s="17"/>
      <c r="FY1090" s="17"/>
      <c r="FZ1090" s="17"/>
      <c r="GA1090" s="17"/>
      <c r="GB1090" s="17"/>
      <c r="GC1090" s="17"/>
      <c r="GD1090" s="17"/>
      <c r="GE1090" s="17"/>
      <c r="GF1090" s="17"/>
      <c r="GG1090" s="17"/>
      <c r="GH1090" s="17"/>
      <c r="GI1090" s="17"/>
      <c r="GJ1090" s="17"/>
      <c r="GK1090" s="17"/>
      <c r="GL1090" s="17"/>
      <c r="GM1090" s="17"/>
      <c r="GN1090" s="17"/>
      <c r="GO1090" s="17"/>
      <c r="GP1090" s="17"/>
      <c r="GQ1090" s="17"/>
      <c r="GR1090" s="17"/>
      <c r="GS1090" s="17"/>
      <c r="GT1090" s="17"/>
      <c r="GU1090" s="17"/>
      <c r="GV1090" s="17"/>
      <c r="GW1090" s="17"/>
      <c r="GX1090" s="17"/>
      <c r="GY1090" s="17"/>
      <c r="GZ1090" s="17"/>
      <c r="HA1090" s="17"/>
      <c r="HB1090" s="17"/>
      <c r="HC1090" s="17"/>
      <c r="HD1090" s="17"/>
      <c r="HE1090" s="17"/>
      <c r="HF1090" s="17"/>
      <c r="HG1090" s="17"/>
      <c r="HH1090" s="17"/>
      <c r="HI1090" s="17"/>
      <c r="HJ1090" s="17"/>
      <c r="HK1090" s="17"/>
      <c r="HL1090" s="17"/>
      <c r="HM1090" s="17"/>
      <c r="HN1090" s="17"/>
      <c r="HO1090" s="17"/>
      <c r="HP1090" s="17"/>
      <c r="HQ1090" s="17"/>
      <c r="HR1090" s="17"/>
      <c r="HS1090" s="17"/>
      <c r="HT1090" s="17"/>
      <c r="HU1090" s="17"/>
      <c r="HV1090" s="17"/>
      <c r="HW1090" s="17"/>
      <c r="HX1090" s="17"/>
      <c r="HY1090" s="17"/>
      <c r="HZ1090" s="17"/>
      <c r="IA1090" s="17"/>
      <c r="IB1090" s="17"/>
      <c r="IC1090" s="17"/>
      <c r="ID1090" s="17"/>
      <c r="IE1090" s="17"/>
      <c r="IF1090" s="17"/>
      <c r="IG1090" s="17"/>
      <c r="IH1090" s="17"/>
      <c r="II1090" s="17"/>
      <c r="IJ1090" s="17"/>
      <c r="IK1090" s="17"/>
      <c r="IL1090" s="17"/>
      <c r="IM1090" s="17"/>
      <c r="IN1090" s="17"/>
      <c r="IO1090" s="17"/>
      <c r="IP1090" s="17"/>
      <c r="IQ1090" s="17"/>
      <c r="IR1090" s="17"/>
      <c r="IS1090" s="17"/>
      <c r="IT1090" s="17"/>
      <c r="IU1090" s="17"/>
      <c r="IV1090" s="17"/>
      <c r="IW1090" s="17"/>
      <c r="IX1090" s="17"/>
    </row>
    <row r="1091" spans="1:258" ht="21.95" customHeight="1" x14ac:dyDescent="0.25">
      <c r="A1091" s="37" t="s">
        <v>1298</v>
      </c>
      <c r="B1091" s="8" t="s">
        <v>661</v>
      </c>
      <c r="C1091" s="2">
        <f t="shared" si="597"/>
        <v>1644720</v>
      </c>
      <c r="D1091" s="3">
        <f t="shared" si="596"/>
        <v>0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4">
        <v>0</v>
      </c>
      <c r="L1091" s="3">
        <v>0</v>
      </c>
      <c r="M1091" s="3">
        <v>249.2</v>
      </c>
      <c r="N1091" s="3">
        <f t="shared" si="605"/>
        <v>1644720</v>
      </c>
      <c r="O1091" s="3">
        <v>0</v>
      </c>
      <c r="P1091" s="3">
        <v>0</v>
      </c>
      <c r="Q1091" s="3">
        <v>0</v>
      </c>
      <c r="R1091" s="3">
        <f t="shared" si="590"/>
        <v>0</v>
      </c>
      <c r="S1091" s="3">
        <v>0</v>
      </c>
      <c r="T1091" s="5">
        <v>0</v>
      </c>
      <c r="U1091" s="3">
        <v>0</v>
      </c>
      <c r="V1091" s="6">
        <f t="shared" si="595"/>
        <v>6600</v>
      </c>
    </row>
    <row r="1092" spans="1:258" ht="21.95" customHeight="1" x14ac:dyDescent="0.25">
      <c r="A1092" s="37" t="s">
        <v>1299</v>
      </c>
      <c r="B1092" s="8" t="s">
        <v>662</v>
      </c>
      <c r="C1092" s="2">
        <f t="shared" si="597"/>
        <v>1747680</v>
      </c>
      <c r="D1092" s="3">
        <f t="shared" si="596"/>
        <v>0</v>
      </c>
      <c r="E1092" s="3">
        <v>0</v>
      </c>
      <c r="F1092" s="3">
        <v>0</v>
      </c>
      <c r="G1092" s="3">
        <v>0</v>
      </c>
      <c r="H1092" s="3">
        <v>0</v>
      </c>
      <c r="I1092" s="3">
        <v>0</v>
      </c>
      <c r="J1092" s="3">
        <v>0</v>
      </c>
      <c r="K1092" s="4">
        <v>0</v>
      </c>
      <c r="L1092" s="3">
        <v>0</v>
      </c>
      <c r="M1092" s="3">
        <v>264.8</v>
      </c>
      <c r="N1092" s="3">
        <f t="shared" si="605"/>
        <v>1747680</v>
      </c>
      <c r="O1092" s="3">
        <v>0</v>
      </c>
      <c r="P1092" s="3">
        <v>0</v>
      </c>
      <c r="Q1092" s="3">
        <v>0</v>
      </c>
      <c r="R1092" s="3">
        <f t="shared" si="590"/>
        <v>0</v>
      </c>
      <c r="S1092" s="3">
        <v>0</v>
      </c>
      <c r="T1092" s="5">
        <v>0</v>
      </c>
      <c r="U1092" s="3">
        <v>0</v>
      </c>
      <c r="V1092" s="6">
        <f t="shared" si="595"/>
        <v>6600</v>
      </c>
    </row>
    <row r="1093" spans="1:258" ht="21.95" customHeight="1" x14ac:dyDescent="0.25">
      <c r="A1093" s="37" t="s">
        <v>1300</v>
      </c>
      <c r="B1093" s="8" t="s">
        <v>564</v>
      </c>
      <c r="C1093" s="2">
        <f t="shared" si="597"/>
        <v>3366000</v>
      </c>
      <c r="D1093" s="3">
        <f t="shared" ref="D1093" si="612">SUM(E1093:J1093)</f>
        <v>0</v>
      </c>
      <c r="E1093" s="3">
        <v>0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11">
        <v>0</v>
      </c>
      <c r="L1093" s="5">
        <v>0</v>
      </c>
      <c r="M1093" s="5">
        <v>510</v>
      </c>
      <c r="N1093" s="3">
        <f t="shared" si="605"/>
        <v>3366000</v>
      </c>
      <c r="O1093" s="5">
        <v>0</v>
      </c>
      <c r="P1093" s="5">
        <v>0</v>
      </c>
      <c r="Q1093" s="5">
        <v>0</v>
      </c>
      <c r="R1093" s="3">
        <f t="shared" si="590"/>
        <v>0</v>
      </c>
      <c r="S1093" s="5">
        <v>0</v>
      </c>
      <c r="T1093" s="5">
        <v>0</v>
      </c>
      <c r="U1093" s="5">
        <v>0</v>
      </c>
      <c r="V1093" s="6">
        <f t="shared" si="595"/>
        <v>6600</v>
      </c>
    </row>
    <row r="1094" spans="1:258" ht="21.95" customHeight="1" x14ac:dyDescent="0.25">
      <c r="A1094" s="37" t="s">
        <v>1301</v>
      </c>
      <c r="B1094" s="8" t="s">
        <v>993</v>
      </c>
      <c r="C1094" s="2">
        <f t="shared" si="597"/>
        <v>8300000</v>
      </c>
      <c r="D1094" s="3">
        <f t="shared" si="596"/>
        <v>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4">
        <v>3</v>
      </c>
      <c r="L1094" s="3">
        <f>K1094*2700000</f>
        <v>8100000</v>
      </c>
      <c r="M1094" s="3">
        <v>0</v>
      </c>
      <c r="N1094" s="3">
        <v>0</v>
      </c>
      <c r="O1094" s="3">
        <v>0</v>
      </c>
      <c r="P1094" s="3">
        <v>0</v>
      </c>
      <c r="Q1094" s="3">
        <v>0</v>
      </c>
      <c r="R1094" s="3">
        <f t="shared" si="590"/>
        <v>0</v>
      </c>
      <c r="S1094" s="3">
        <v>0</v>
      </c>
      <c r="T1094" s="5">
        <v>0</v>
      </c>
      <c r="U1094" s="3">
        <v>200000</v>
      </c>
      <c r="V1094" s="6" t="e">
        <f t="shared" si="595"/>
        <v>#DIV/0!</v>
      </c>
    </row>
    <row r="1095" spans="1:258" ht="21.95" customHeight="1" x14ac:dyDescent="0.25">
      <c r="A1095" s="37" t="s">
        <v>1325</v>
      </c>
      <c r="B1095" s="8" t="s">
        <v>1282</v>
      </c>
      <c r="C1095" s="2">
        <f t="shared" si="597"/>
        <v>2800000</v>
      </c>
      <c r="D1095" s="3">
        <f t="shared" si="596"/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4">
        <v>1</v>
      </c>
      <c r="L1095" s="3">
        <v>2700000</v>
      </c>
      <c r="M1095" s="3">
        <v>0</v>
      </c>
      <c r="N1095" s="3">
        <v>0</v>
      </c>
      <c r="O1095" s="3">
        <v>0</v>
      </c>
      <c r="P1095" s="3">
        <v>0</v>
      </c>
      <c r="Q1095" s="3">
        <v>0</v>
      </c>
      <c r="R1095" s="3">
        <f t="shared" si="590"/>
        <v>0</v>
      </c>
      <c r="S1095" s="3">
        <v>0</v>
      </c>
      <c r="T1095" s="5">
        <v>0</v>
      </c>
      <c r="U1095" s="3">
        <v>100000</v>
      </c>
      <c r="V1095" s="6" t="e">
        <f t="shared" si="595"/>
        <v>#DIV/0!</v>
      </c>
    </row>
    <row r="1096" spans="1:258" ht="21.95" customHeight="1" x14ac:dyDescent="0.25">
      <c r="A1096" s="37" t="s">
        <v>1324</v>
      </c>
      <c r="B1096" s="8" t="s">
        <v>753</v>
      </c>
      <c r="C1096" s="2">
        <f t="shared" si="597"/>
        <v>4240850</v>
      </c>
      <c r="D1096" s="3">
        <f t="shared" si="596"/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4">
        <v>0</v>
      </c>
      <c r="L1096" s="3">
        <v>0</v>
      </c>
      <c r="M1096" s="5">
        <v>953</v>
      </c>
      <c r="N1096" s="3">
        <f>M1096*4450</f>
        <v>4240850</v>
      </c>
      <c r="O1096" s="3">
        <v>0</v>
      </c>
      <c r="P1096" s="3">
        <v>0</v>
      </c>
      <c r="Q1096" s="3">
        <v>0</v>
      </c>
      <c r="R1096" s="3">
        <f t="shared" ref="R1096:R1107" si="613">Q1096*3200</f>
        <v>0</v>
      </c>
      <c r="S1096" s="3">
        <v>0</v>
      </c>
      <c r="T1096" s="5">
        <v>0</v>
      </c>
      <c r="U1096" s="3">
        <v>0</v>
      </c>
      <c r="V1096" s="6">
        <f t="shared" si="595"/>
        <v>4450</v>
      </c>
    </row>
    <row r="1097" spans="1:258" ht="21.95" customHeight="1" x14ac:dyDescent="0.25">
      <c r="A1097" s="37" t="s">
        <v>1323</v>
      </c>
      <c r="B1097" s="8" t="s">
        <v>812</v>
      </c>
      <c r="C1097" s="2">
        <f t="shared" si="597"/>
        <v>19551810</v>
      </c>
      <c r="D1097" s="3">
        <f t="shared" si="596"/>
        <v>7716810</v>
      </c>
      <c r="E1097" s="3">
        <f>700*2572.27</f>
        <v>1800589</v>
      </c>
      <c r="F1097" s="3">
        <f>1300*2572.27</f>
        <v>3343951</v>
      </c>
      <c r="G1097" s="3">
        <f>300*2572.27</f>
        <v>771681</v>
      </c>
      <c r="H1097" s="3">
        <f>400*2572.27</f>
        <v>1028908</v>
      </c>
      <c r="I1097" s="3">
        <f>300*2572.27</f>
        <v>771681</v>
      </c>
      <c r="J1097" s="3">
        <v>0</v>
      </c>
      <c r="K1097" s="4">
        <v>0</v>
      </c>
      <c r="L1097" s="3">
        <v>0</v>
      </c>
      <c r="M1097" s="5">
        <v>940</v>
      </c>
      <c r="N1097" s="3">
        <f>M1097*4450</f>
        <v>4183000</v>
      </c>
      <c r="O1097" s="3">
        <v>0</v>
      </c>
      <c r="P1097" s="3">
        <v>0</v>
      </c>
      <c r="Q1097" s="5">
        <v>2360</v>
      </c>
      <c r="R1097" s="3">
        <f t="shared" si="613"/>
        <v>7552000</v>
      </c>
      <c r="S1097" s="5">
        <v>0</v>
      </c>
      <c r="T1097" s="5">
        <v>0</v>
      </c>
      <c r="U1097" s="3">
        <v>100000</v>
      </c>
      <c r="V1097" s="6">
        <f t="shared" si="595"/>
        <v>4450</v>
      </c>
    </row>
    <row r="1098" spans="1:258" ht="21.95" customHeight="1" x14ac:dyDescent="0.25">
      <c r="A1098" s="37" t="s">
        <v>1322</v>
      </c>
      <c r="B1098" s="8" t="s">
        <v>813</v>
      </c>
      <c r="C1098" s="2">
        <f t="shared" si="597"/>
        <v>24930420</v>
      </c>
      <c r="D1098" s="3">
        <f t="shared" si="596"/>
        <v>11145120</v>
      </c>
      <c r="E1098" s="3">
        <f>700*3715.04</f>
        <v>2600528</v>
      </c>
      <c r="F1098" s="3">
        <f>1300*3715.04</f>
        <v>4829552</v>
      </c>
      <c r="G1098" s="3">
        <f>300*3715.04</f>
        <v>1114512</v>
      </c>
      <c r="H1098" s="3">
        <f>400*3715.04</f>
        <v>1486016</v>
      </c>
      <c r="I1098" s="3">
        <f>300*3715.04</f>
        <v>1114512</v>
      </c>
      <c r="J1098" s="3">
        <v>0</v>
      </c>
      <c r="K1098" s="4">
        <v>0</v>
      </c>
      <c r="L1098" s="3">
        <v>0</v>
      </c>
      <c r="M1098" s="5">
        <v>954</v>
      </c>
      <c r="N1098" s="3">
        <f>M1098*4450</f>
        <v>4245300</v>
      </c>
      <c r="O1098" s="3">
        <v>0</v>
      </c>
      <c r="P1098" s="3">
        <v>0</v>
      </c>
      <c r="Q1098" s="3">
        <v>2950</v>
      </c>
      <c r="R1098" s="3">
        <f t="shared" si="613"/>
        <v>9440000</v>
      </c>
      <c r="S1098" s="3">
        <v>0</v>
      </c>
      <c r="T1098" s="5">
        <v>0</v>
      </c>
      <c r="U1098" s="3">
        <v>100000</v>
      </c>
      <c r="V1098" s="6">
        <f t="shared" si="595"/>
        <v>4450</v>
      </c>
    </row>
    <row r="1099" spans="1:258" ht="21.95" customHeight="1" x14ac:dyDescent="0.25">
      <c r="A1099" s="37" t="s">
        <v>1321</v>
      </c>
      <c r="B1099" s="8" t="s">
        <v>814</v>
      </c>
      <c r="C1099" s="2">
        <f t="shared" si="597"/>
        <v>19497410</v>
      </c>
      <c r="D1099" s="3">
        <f t="shared" si="596"/>
        <v>7640159.9999999991</v>
      </c>
      <c r="E1099" s="3">
        <f>700*2546.72</f>
        <v>1782703.9999999998</v>
      </c>
      <c r="F1099" s="3">
        <f>1300*2546.72</f>
        <v>3310735.9999999995</v>
      </c>
      <c r="G1099" s="3">
        <f>300*2546.72</f>
        <v>764015.99999999988</v>
      </c>
      <c r="H1099" s="3">
        <f>400*2546.72</f>
        <v>1018687.9999999999</v>
      </c>
      <c r="I1099" s="3">
        <f>300*2546.72</f>
        <v>764015.99999999988</v>
      </c>
      <c r="J1099" s="3">
        <v>0</v>
      </c>
      <c r="K1099" s="4">
        <v>0</v>
      </c>
      <c r="L1099" s="3">
        <v>0</v>
      </c>
      <c r="M1099" s="5">
        <v>945</v>
      </c>
      <c r="N1099" s="3">
        <f>M1099*4450</f>
        <v>4205250</v>
      </c>
      <c r="O1099" s="3">
        <v>0</v>
      </c>
      <c r="P1099" s="3">
        <v>0</v>
      </c>
      <c r="Q1099" s="5">
        <v>2360</v>
      </c>
      <c r="R1099" s="3">
        <f t="shared" si="613"/>
        <v>7552000</v>
      </c>
      <c r="S1099" s="3">
        <v>0</v>
      </c>
      <c r="T1099" s="5">
        <v>0</v>
      </c>
      <c r="U1099" s="5">
        <v>100000</v>
      </c>
      <c r="V1099" s="6">
        <f t="shared" si="595"/>
        <v>4450</v>
      </c>
    </row>
    <row r="1100" spans="1:258" ht="21.95" customHeight="1" x14ac:dyDescent="0.25">
      <c r="A1100" s="37" t="s">
        <v>1320</v>
      </c>
      <c r="B1100" s="8" t="s">
        <v>663</v>
      </c>
      <c r="C1100" s="2">
        <f t="shared" si="597"/>
        <v>5152420</v>
      </c>
      <c r="D1100" s="3">
        <f t="shared" si="596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11">
        <v>0</v>
      </c>
      <c r="L1100" s="5">
        <v>0</v>
      </c>
      <c r="M1100" s="5">
        <v>427.7</v>
      </c>
      <c r="N1100" s="3">
        <f t="shared" ref="N1100:N1107" si="614">M1100*6600</f>
        <v>2822820</v>
      </c>
      <c r="O1100" s="5">
        <v>0</v>
      </c>
      <c r="P1100" s="5">
        <v>0</v>
      </c>
      <c r="Q1100" s="5">
        <v>728</v>
      </c>
      <c r="R1100" s="3">
        <f t="shared" si="613"/>
        <v>2329600</v>
      </c>
      <c r="S1100" s="5">
        <v>0</v>
      </c>
      <c r="T1100" s="5">
        <v>0</v>
      </c>
      <c r="U1100" s="5">
        <v>0</v>
      </c>
      <c r="V1100" s="6">
        <f t="shared" si="595"/>
        <v>6600</v>
      </c>
    </row>
    <row r="1101" spans="1:258" ht="21.95" customHeight="1" x14ac:dyDescent="0.25">
      <c r="A1101" s="37" t="s">
        <v>1319</v>
      </c>
      <c r="B1101" s="8" t="s">
        <v>664</v>
      </c>
      <c r="C1101" s="2">
        <f t="shared" si="597"/>
        <v>3168560</v>
      </c>
      <c r="D1101" s="3">
        <f t="shared" si="596"/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11">
        <v>0</v>
      </c>
      <c r="L1101" s="5">
        <v>0</v>
      </c>
      <c r="M1101" s="3">
        <v>303.60000000000002</v>
      </c>
      <c r="N1101" s="3">
        <f t="shared" si="614"/>
        <v>2003760.0000000002</v>
      </c>
      <c r="O1101" s="3">
        <v>0</v>
      </c>
      <c r="P1101" s="3">
        <v>0</v>
      </c>
      <c r="Q1101" s="3">
        <v>364</v>
      </c>
      <c r="R1101" s="3">
        <f t="shared" si="613"/>
        <v>1164800</v>
      </c>
      <c r="S1101" s="5">
        <v>0</v>
      </c>
      <c r="T1101" s="5">
        <v>0</v>
      </c>
      <c r="U1101" s="5">
        <v>0</v>
      </c>
      <c r="V1101" s="6">
        <f t="shared" si="595"/>
        <v>6600</v>
      </c>
    </row>
    <row r="1102" spans="1:258" ht="21.95" customHeight="1" x14ac:dyDescent="0.25">
      <c r="A1102" s="37" t="s">
        <v>1318</v>
      </c>
      <c r="B1102" s="8" t="s">
        <v>665</v>
      </c>
      <c r="C1102" s="2">
        <f t="shared" si="597"/>
        <v>3144800</v>
      </c>
      <c r="D1102" s="3">
        <f t="shared" si="596"/>
        <v>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11">
        <v>0</v>
      </c>
      <c r="L1102" s="5">
        <v>0</v>
      </c>
      <c r="M1102" s="3">
        <v>300</v>
      </c>
      <c r="N1102" s="3">
        <f t="shared" si="614"/>
        <v>1980000</v>
      </c>
      <c r="O1102" s="3">
        <v>0</v>
      </c>
      <c r="P1102" s="3">
        <v>0</v>
      </c>
      <c r="Q1102" s="3">
        <v>364</v>
      </c>
      <c r="R1102" s="3">
        <f t="shared" si="613"/>
        <v>1164800</v>
      </c>
      <c r="S1102" s="3">
        <v>0</v>
      </c>
      <c r="T1102" s="5">
        <v>0</v>
      </c>
      <c r="U1102" s="5">
        <v>0</v>
      </c>
      <c r="V1102" s="6">
        <f t="shared" si="595"/>
        <v>6600</v>
      </c>
    </row>
    <row r="1103" spans="1:258" ht="21.95" customHeight="1" x14ac:dyDescent="0.25">
      <c r="A1103" s="37" t="s">
        <v>1317</v>
      </c>
      <c r="B1103" s="8" t="s">
        <v>666</v>
      </c>
      <c r="C1103" s="2">
        <f t="shared" si="597"/>
        <v>3177140</v>
      </c>
      <c r="D1103" s="3">
        <f t="shared" si="596"/>
        <v>0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11">
        <v>0</v>
      </c>
      <c r="L1103" s="5">
        <v>0</v>
      </c>
      <c r="M1103" s="3">
        <v>304.89999999999998</v>
      </c>
      <c r="N1103" s="3">
        <f t="shared" si="614"/>
        <v>2012339.9999999998</v>
      </c>
      <c r="O1103" s="3">
        <v>0</v>
      </c>
      <c r="P1103" s="3">
        <v>0</v>
      </c>
      <c r="Q1103" s="3">
        <v>364</v>
      </c>
      <c r="R1103" s="3">
        <f t="shared" si="613"/>
        <v>1164800</v>
      </c>
      <c r="S1103" s="3">
        <v>0</v>
      </c>
      <c r="T1103" s="5">
        <v>0</v>
      </c>
      <c r="U1103" s="5">
        <v>0</v>
      </c>
      <c r="V1103" s="6">
        <f t="shared" si="595"/>
        <v>6600</v>
      </c>
    </row>
    <row r="1104" spans="1:258" ht="21.95" customHeight="1" x14ac:dyDescent="0.25">
      <c r="A1104" s="37" t="s">
        <v>1316</v>
      </c>
      <c r="B1104" s="8" t="s">
        <v>754</v>
      </c>
      <c r="C1104" s="2">
        <f t="shared" si="597"/>
        <v>4593600</v>
      </c>
      <c r="D1104" s="3">
        <f t="shared" si="596"/>
        <v>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4">
        <v>0</v>
      </c>
      <c r="L1104" s="3">
        <v>0</v>
      </c>
      <c r="M1104" s="5">
        <v>696</v>
      </c>
      <c r="N1104" s="3">
        <f t="shared" si="614"/>
        <v>4593600</v>
      </c>
      <c r="O1104" s="3">
        <v>0</v>
      </c>
      <c r="P1104" s="3">
        <v>0</v>
      </c>
      <c r="Q1104" s="3">
        <v>0</v>
      </c>
      <c r="R1104" s="3">
        <f t="shared" si="613"/>
        <v>0</v>
      </c>
      <c r="S1104" s="3">
        <v>0</v>
      </c>
      <c r="T1104" s="5">
        <v>0</v>
      </c>
      <c r="U1104" s="3">
        <v>0</v>
      </c>
      <c r="V1104" s="6">
        <f t="shared" si="595"/>
        <v>6600</v>
      </c>
    </row>
    <row r="1105" spans="1:22" ht="21.95" customHeight="1" x14ac:dyDescent="0.25">
      <c r="A1105" s="37" t="s">
        <v>1315</v>
      </c>
      <c r="B1105" s="8" t="s">
        <v>418</v>
      </c>
      <c r="C1105" s="2">
        <f t="shared" si="597"/>
        <v>4899180</v>
      </c>
      <c r="D1105" s="3">
        <f t="shared" si="596"/>
        <v>0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4">
        <v>0</v>
      </c>
      <c r="L1105" s="3">
        <v>0</v>
      </c>
      <c r="M1105" s="3">
        <v>742.3</v>
      </c>
      <c r="N1105" s="3">
        <f t="shared" si="614"/>
        <v>4899180</v>
      </c>
      <c r="O1105" s="3">
        <v>0</v>
      </c>
      <c r="P1105" s="3">
        <v>0</v>
      </c>
      <c r="Q1105" s="3">
        <v>0</v>
      </c>
      <c r="R1105" s="3">
        <f t="shared" si="613"/>
        <v>0</v>
      </c>
      <c r="S1105" s="3">
        <v>0</v>
      </c>
      <c r="T1105" s="5">
        <v>0</v>
      </c>
      <c r="U1105" s="3">
        <v>0</v>
      </c>
      <c r="V1105" s="6">
        <f t="shared" si="595"/>
        <v>6600</v>
      </c>
    </row>
    <row r="1106" spans="1:22" ht="21.95" customHeight="1" x14ac:dyDescent="0.25">
      <c r="A1106" s="37" t="s">
        <v>1314</v>
      </c>
      <c r="B1106" s="8" t="s">
        <v>419</v>
      </c>
      <c r="C1106" s="2">
        <f t="shared" si="597"/>
        <v>300000</v>
      </c>
      <c r="D1106" s="3">
        <f t="shared" si="596"/>
        <v>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4">
        <v>0</v>
      </c>
      <c r="L1106" s="3">
        <v>0</v>
      </c>
      <c r="M1106" s="3">
        <v>0</v>
      </c>
      <c r="N1106" s="3">
        <f t="shared" si="614"/>
        <v>0</v>
      </c>
      <c r="O1106" s="3">
        <v>0</v>
      </c>
      <c r="P1106" s="3">
        <v>0</v>
      </c>
      <c r="Q1106" s="3">
        <v>0</v>
      </c>
      <c r="R1106" s="3">
        <f t="shared" si="613"/>
        <v>0</v>
      </c>
      <c r="S1106" s="3">
        <v>0</v>
      </c>
      <c r="T1106" s="5">
        <v>0</v>
      </c>
      <c r="U1106" s="3">
        <v>300000</v>
      </c>
      <c r="V1106" s="6" t="e">
        <f t="shared" si="595"/>
        <v>#DIV/0!</v>
      </c>
    </row>
    <row r="1107" spans="1:22" ht="21.95" customHeight="1" x14ac:dyDescent="0.25">
      <c r="A1107" s="37" t="s">
        <v>1313</v>
      </c>
      <c r="B1107" s="8" t="s">
        <v>667</v>
      </c>
      <c r="C1107" s="2">
        <f t="shared" si="597"/>
        <v>3597000</v>
      </c>
      <c r="D1107" s="3">
        <f t="shared" si="596"/>
        <v>0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4">
        <v>0</v>
      </c>
      <c r="L1107" s="3">
        <v>0</v>
      </c>
      <c r="M1107" s="3">
        <v>545</v>
      </c>
      <c r="N1107" s="3">
        <f t="shared" si="614"/>
        <v>3597000</v>
      </c>
      <c r="O1107" s="3">
        <v>0</v>
      </c>
      <c r="P1107" s="3">
        <v>0</v>
      </c>
      <c r="Q1107" s="3">
        <v>0</v>
      </c>
      <c r="R1107" s="3">
        <f t="shared" si="613"/>
        <v>0</v>
      </c>
      <c r="S1107" s="3">
        <v>0</v>
      </c>
      <c r="T1107" s="5">
        <v>0</v>
      </c>
      <c r="U1107" s="3">
        <v>0</v>
      </c>
      <c r="V1107" s="6">
        <f t="shared" si="595"/>
        <v>6600</v>
      </c>
    </row>
    <row r="1108" spans="1:22" ht="42.95" customHeight="1" x14ac:dyDescent="0.25">
      <c r="A1108" s="54" t="s">
        <v>303</v>
      </c>
      <c r="B1108" s="54"/>
      <c r="C1108" s="2">
        <f>SUM(C1109)</f>
        <v>10092956</v>
      </c>
      <c r="D1108" s="2">
        <f t="shared" ref="D1108:U1108" si="615">SUM(D1109)</f>
        <v>5571900</v>
      </c>
      <c r="E1108" s="2">
        <f t="shared" si="615"/>
        <v>1300110</v>
      </c>
      <c r="F1108" s="2">
        <f t="shared" si="615"/>
        <v>2414490</v>
      </c>
      <c r="G1108" s="2">
        <f t="shared" si="615"/>
        <v>557190</v>
      </c>
      <c r="H1108" s="2">
        <f t="shared" si="615"/>
        <v>742920</v>
      </c>
      <c r="I1108" s="2">
        <f t="shared" si="615"/>
        <v>557190</v>
      </c>
      <c r="J1108" s="2">
        <f t="shared" si="615"/>
        <v>0</v>
      </c>
      <c r="K1108" s="14">
        <f t="shared" si="615"/>
        <v>0</v>
      </c>
      <c r="L1108" s="2">
        <f t="shared" si="615"/>
        <v>0</v>
      </c>
      <c r="M1108" s="2">
        <f t="shared" si="615"/>
        <v>0</v>
      </c>
      <c r="N1108" s="2">
        <f t="shared" si="615"/>
        <v>0</v>
      </c>
      <c r="O1108" s="2">
        <f t="shared" si="615"/>
        <v>0</v>
      </c>
      <c r="P1108" s="2">
        <f t="shared" si="615"/>
        <v>0</v>
      </c>
      <c r="Q1108" s="2">
        <f t="shared" si="615"/>
        <v>1381.58</v>
      </c>
      <c r="R1108" s="2">
        <f t="shared" si="615"/>
        <v>4421056</v>
      </c>
      <c r="S1108" s="2">
        <f t="shared" si="615"/>
        <v>0</v>
      </c>
      <c r="T1108" s="2">
        <f t="shared" si="615"/>
        <v>0</v>
      </c>
      <c r="U1108" s="2">
        <f t="shared" si="615"/>
        <v>100000</v>
      </c>
    </row>
    <row r="1109" spans="1:22" ht="23.1" customHeight="1" x14ac:dyDescent="0.25">
      <c r="A1109" s="36" t="s">
        <v>1312</v>
      </c>
      <c r="B1109" s="8" t="s">
        <v>304</v>
      </c>
      <c r="C1109" s="2">
        <f t="shared" si="597"/>
        <v>10092956</v>
      </c>
      <c r="D1109" s="3">
        <f t="shared" ref="D1109" si="616">SUM(E1109:J1109)</f>
        <v>5571900</v>
      </c>
      <c r="E1109" s="5">
        <f>700*1857.3</f>
        <v>1300110</v>
      </c>
      <c r="F1109" s="5">
        <f>1300*1857.3</f>
        <v>2414490</v>
      </c>
      <c r="G1109" s="5">
        <f>300*1857.3</f>
        <v>557190</v>
      </c>
      <c r="H1109" s="5">
        <f>400*1857.3</f>
        <v>742920</v>
      </c>
      <c r="I1109" s="5">
        <f>300*1857.3</f>
        <v>557190</v>
      </c>
      <c r="J1109" s="5">
        <f>350*0</f>
        <v>0</v>
      </c>
      <c r="K1109" s="11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1381.58</v>
      </c>
      <c r="R1109" s="3">
        <f>Q1109*3200</f>
        <v>4421056</v>
      </c>
      <c r="S1109" s="5">
        <v>0</v>
      </c>
      <c r="T1109" s="5">
        <v>0</v>
      </c>
      <c r="U1109" s="5">
        <v>100000</v>
      </c>
      <c r="V1109" s="6" t="e">
        <f t="shared" ref="V1109" si="617">N1109/M1109</f>
        <v>#DIV/0!</v>
      </c>
    </row>
    <row r="1110" spans="1:22" ht="42.95" customHeight="1" x14ac:dyDescent="0.25">
      <c r="A1110" s="54" t="s">
        <v>279</v>
      </c>
      <c r="B1110" s="54"/>
      <c r="C1110" s="2">
        <f>SUM(C1111)</f>
        <v>5270560</v>
      </c>
      <c r="D1110" s="2">
        <f t="shared" ref="D1110:U1110" si="618">SUM(D1111)</f>
        <v>1085760</v>
      </c>
      <c r="E1110" s="2">
        <f t="shared" si="618"/>
        <v>292320</v>
      </c>
      <c r="F1110" s="2">
        <f t="shared" si="618"/>
        <v>542880</v>
      </c>
      <c r="G1110" s="2">
        <f t="shared" si="618"/>
        <v>125280</v>
      </c>
      <c r="H1110" s="2">
        <f t="shared" si="618"/>
        <v>0</v>
      </c>
      <c r="I1110" s="2">
        <f t="shared" si="618"/>
        <v>125280</v>
      </c>
      <c r="J1110" s="2">
        <f t="shared" si="618"/>
        <v>0</v>
      </c>
      <c r="K1110" s="14">
        <f t="shared" si="618"/>
        <v>0</v>
      </c>
      <c r="L1110" s="2">
        <f t="shared" si="618"/>
        <v>0</v>
      </c>
      <c r="M1110" s="2">
        <f t="shared" si="618"/>
        <v>432</v>
      </c>
      <c r="N1110" s="2">
        <f t="shared" si="618"/>
        <v>2851200</v>
      </c>
      <c r="O1110" s="2">
        <f t="shared" si="618"/>
        <v>0</v>
      </c>
      <c r="P1110" s="2">
        <f t="shared" si="618"/>
        <v>0</v>
      </c>
      <c r="Q1110" s="2">
        <f t="shared" si="618"/>
        <v>385.5</v>
      </c>
      <c r="R1110" s="2">
        <f t="shared" si="618"/>
        <v>1233600</v>
      </c>
      <c r="S1110" s="2">
        <f t="shared" si="618"/>
        <v>0</v>
      </c>
      <c r="T1110" s="2">
        <f t="shared" si="618"/>
        <v>0</v>
      </c>
      <c r="U1110" s="2">
        <f t="shared" si="618"/>
        <v>100000</v>
      </c>
    </row>
    <row r="1111" spans="1:22" ht="23.1" customHeight="1" x14ac:dyDescent="0.25">
      <c r="A1111" s="37" t="s">
        <v>1311</v>
      </c>
      <c r="B1111" s="8" t="s">
        <v>302</v>
      </c>
      <c r="C1111" s="2">
        <f t="shared" si="597"/>
        <v>5270560</v>
      </c>
      <c r="D1111" s="3">
        <f t="shared" ref="D1111" si="619">SUM(E1111:J1111)</f>
        <v>1085760</v>
      </c>
      <c r="E1111" s="3">
        <f>700*417.6</f>
        <v>292320</v>
      </c>
      <c r="F1111" s="3">
        <f>1300*417.6</f>
        <v>542880</v>
      </c>
      <c r="G1111" s="3">
        <f>300*417.6</f>
        <v>125280</v>
      </c>
      <c r="H1111" s="3">
        <v>0</v>
      </c>
      <c r="I1111" s="3">
        <f>300*417.6</f>
        <v>125280</v>
      </c>
      <c r="J1111" s="3">
        <f>350*0</f>
        <v>0</v>
      </c>
      <c r="K1111" s="4">
        <v>0</v>
      </c>
      <c r="L1111" s="3">
        <v>0</v>
      </c>
      <c r="M1111" s="3">
        <v>432</v>
      </c>
      <c r="N1111" s="3">
        <f>M1111*6600</f>
        <v>2851200</v>
      </c>
      <c r="O1111" s="3">
        <v>0</v>
      </c>
      <c r="P1111" s="3">
        <v>0</v>
      </c>
      <c r="Q1111" s="3">
        <v>385.5</v>
      </c>
      <c r="R1111" s="3">
        <f>Q1111*3200</f>
        <v>1233600</v>
      </c>
      <c r="S1111" s="3">
        <v>0</v>
      </c>
      <c r="T1111" s="3">
        <v>0</v>
      </c>
      <c r="U1111" s="3">
        <v>100000</v>
      </c>
      <c r="V1111" s="6">
        <f t="shared" ref="V1111" si="620">N1111/M1111</f>
        <v>6600</v>
      </c>
    </row>
    <row r="1112" spans="1:22" ht="42.95" customHeight="1" x14ac:dyDescent="0.25">
      <c r="A1112" s="54" t="s">
        <v>1207</v>
      </c>
      <c r="B1112" s="54"/>
      <c r="C1112" s="2">
        <f>SUM(C1113)</f>
        <v>8496840</v>
      </c>
      <c r="D1112" s="2">
        <f t="shared" ref="D1112:U1112" si="621">SUM(D1113)</f>
        <v>8396840</v>
      </c>
      <c r="E1112" s="2">
        <f t="shared" si="621"/>
        <v>0</v>
      </c>
      <c r="F1112" s="2">
        <f t="shared" si="621"/>
        <v>4746040</v>
      </c>
      <c r="G1112" s="2">
        <f t="shared" si="621"/>
        <v>1095240</v>
      </c>
      <c r="H1112" s="2">
        <f t="shared" si="621"/>
        <v>1460320</v>
      </c>
      <c r="I1112" s="2">
        <f t="shared" si="621"/>
        <v>1095240</v>
      </c>
      <c r="J1112" s="2">
        <f t="shared" si="621"/>
        <v>0</v>
      </c>
      <c r="K1112" s="14">
        <f t="shared" si="621"/>
        <v>0</v>
      </c>
      <c r="L1112" s="2">
        <f t="shared" si="621"/>
        <v>0</v>
      </c>
      <c r="M1112" s="2">
        <f t="shared" si="621"/>
        <v>0</v>
      </c>
      <c r="N1112" s="2">
        <f t="shared" si="621"/>
        <v>0</v>
      </c>
      <c r="O1112" s="2">
        <f t="shared" si="621"/>
        <v>0</v>
      </c>
      <c r="P1112" s="2">
        <f t="shared" si="621"/>
        <v>0</v>
      </c>
      <c r="Q1112" s="2">
        <f t="shared" si="621"/>
        <v>0</v>
      </c>
      <c r="R1112" s="2">
        <f t="shared" si="621"/>
        <v>0</v>
      </c>
      <c r="S1112" s="2">
        <f t="shared" si="621"/>
        <v>0</v>
      </c>
      <c r="T1112" s="2">
        <f t="shared" si="621"/>
        <v>0</v>
      </c>
      <c r="U1112" s="2">
        <f t="shared" si="621"/>
        <v>100000</v>
      </c>
    </row>
    <row r="1113" spans="1:22" ht="23.1" customHeight="1" x14ac:dyDescent="0.25">
      <c r="A1113" s="37" t="s">
        <v>1310</v>
      </c>
      <c r="B1113" s="8" t="s">
        <v>1208</v>
      </c>
      <c r="C1113" s="2">
        <f t="shared" si="597"/>
        <v>8496840</v>
      </c>
      <c r="D1113" s="3">
        <f t="shared" ref="D1113" si="622">SUM(E1113:J1113)</f>
        <v>8396840</v>
      </c>
      <c r="E1113" s="3">
        <f>700*0</f>
        <v>0</v>
      </c>
      <c r="F1113" s="3">
        <f>1300*3650.8</f>
        <v>4746040</v>
      </c>
      <c r="G1113" s="3">
        <f>300*3650.8</f>
        <v>1095240</v>
      </c>
      <c r="H1113" s="3">
        <f>400*3650.8</f>
        <v>1460320</v>
      </c>
      <c r="I1113" s="3">
        <f>300*3650.8</f>
        <v>1095240</v>
      </c>
      <c r="J1113" s="3">
        <v>0</v>
      </c>
      <c r="K1113" s="4">
        <v>0</v>
      </c>
      <c r="L1113" s="3">
        <v>0</v>
      </c>
      <c r="M1113" s="3">
        <v>0</v>
      </c>
      <c r="N1113" s="3">
        <v>0</v>
      </c>
      <c r="O1113" s="3">
        <v>0</v>
      </c>
      <c r="P1113" s="3">
        <v>0</v>
      </c>
      <c r="Q1113" s="3">
        <v>0</v>
      </c>
      <c r="R1113" s="3">
        <f>Q1113*3200</f>
        <v>0</v>
      </c>
      <c r="S1113" s="3">
        <v>0</v>
      </c>
      <c r="T1113" s="3">
        <v>0</v>
      </c>
      <c r="U1113" s="3">
        <v>100000</v>
      </c>
      <c r="V1113" s="6" t="e">
        <f t="shared" ref="V1113" si="623">N1113/M1113</f>
        <v>#DIV/0!</v>
      </c>
    </row>
    <row r="1114" spans="1:22" ht="42.95" customHeight="1" x14ac:dyDescent="0.25">
      <c r="A1114" s="54" t="s">
        <v>282</v>
      </c>
      <c r="B1114" s="54"/>
      <c r="C1114" s="2">
        <f>SUM(C1115)</f>
        <v>4677280</v>
      </c>
      <c r="D1114" s="2">
        <f t="shared" ref="D1114:U1114" si="624">SUM(D1115)</f>
        <v>1133400</v>
      </c>
      <c r="E1114" s="2">
        <f t="shared" si="624"/>
        <v>264460</v>
      </c>
      <c r="F1114" s="2">
        <f t="shared" si="624"/>
        <v>491140</v>
      </c>
      <c r="G1114" s="2">
        <f t="shared" si="624"/>
        <v>113340</v>
      </c>
      <c r="H1114" s="2">
        <f t="shared" si="624"/>
        <v>151120</v>
      </c>
      <c r="I1114" s="2">
        <f t="shared" si="624"/>
        <v>113340</v>
      </c>
      <c r="J1114" s="2">
        <f t="shared" si="624"/>
        <v>0</v>
      </c>
      <c r="K1114" s="14">
        <f t="shared" si="624"/>
        <v>0</v>
      </c>
      <c r="L1114" s="2">
        <f t="shared" si="624"/>
        <v>0</v>
      </c>
      <c r="M1114" s="2">
        <f t="shared" si="624"/>
        <v>377.8</v>
      </c>
      <c r="N1114" s="2">
        <f t="shared" si="624"/>
        <v>2493480</v>
      </c>
      <c r="O1114" s="2">
        <f t="shared" si="624"/>
        <v>0</v>
      </c>
      <c r="P1114" s="2">
        <f t="shared" si="624"/>
        <v>0</v>
      </c>
      <c r="Q1114" s="2">
        <f t="shared" si="624"/>
        <v>297</v>
      </c>
      <c r="R1114" s="2">
        <f t="shared" si="624"/>
        <v>950400</v>
      </c>
      <c r="S1114" s="2">
        <f t="shared" si="624"/>
        <v>0</v>
      </c>
      <c r="T1114" s="2">
        <f t="shared" si="624"/>
        <v>0</v>
      </c>
      <c r="U1114" s="2">
        <f t="shared" si="624"/>
        <v>100000</v>
      </c>
      <c r="V1114" s="18">
        <f>C1114</f>
        <v>4677280</v>
      </c>
    </row>
    <row r="1115" spans="1:22" ht="23.1" customHeight="1" x14ac:dyDescent="0.25">
      <c r="A1115" s="37" t="s">
        <v>1309</v>
      </c>
      <c r="B1115" s="8" t="s">
        <v>283</v>
      </c>
      <c r="C1115" s="2">
        <f t="shared" si="597"/>
        <v>4677280</v>
      </c>
      <c r="D1115" s="3">
        <f t="shared" ref="D1115" si="625">SUM(E1115:J1115)</f>
        <v>1133400</v>
      </c>
      <c r="E1115" s="3">
        <f>700*377.8</f>
        <v>264460</v>
      </c>
      <c r="F1115" s="3">
        <f>1300*377.8</f>
        <v>491140</v>
      </c>
      <c r="G1115" s="3">
        <f>300*377.8</f>
        <v>113340</v>
      </c>
      <c r="H1115" s="3">
        <f>400*377.8</f>
        <v>151120</v>
      </c>
      <c r="I1115" s="3">
        <f>300*377.8</f>
        <v>113340</v>
      </c>
      <c r="J1115" s="3">
        <v>0</v>
      </c>
      <c r="K1115" s="4">
        <v>0</v>
      </c>
      <c r="L1115" s="3">
        <v>0</v>
      </c>
      <c r="M1115" s="3">
        <v>377.8</v>
      </c>
      <c r="N1115" s="3">
        <f>M1115*6600</f>
        <v>2493480</v>
      </c>
      <c r="O1115" s="3">
        <v>0</v>
      </c>
      <c r="P1115" s="3">
        <v>0</v>
      </c>
      <c r="Q1115" s="3">
        <v>297</v>
      </c>
      <c r="R1115" s="3">
        <f>Q1115*3200</f>
        <v>950400</v>
      </c>
      <c r="S1115" s="3">
        <v>0</v>
      </c>
      <c r="T1115" s="3">
        <v>0</v>
      </c>
      <c r="U1115" s="3">
        <v>100000</v>
      </c>
      <c r="V1115" s="6">
        <f t="shared" ref="V1115" si="626">N1115/M1115</f>
        <v>6600</v>
      </c>
    </row>
    <row r="1116" spans="1:22" ht="42.95" customHeight="1" x14ac:dyDescent="0.25">
      <c r="A1116" s="54" t="s">
        <v>1999</v>
      </c>
      <c r="B1116" s="54"/>
      <c r="C1116" s="2">
        <f>SUM(C1117)</f>
        <v>4917250</v>
      </c>
      <c r="D1116" s="2">
        <f>SUM(D1117)</f>
        <v>0</v>
      </c>
      <c r="E1116" s="2">
        <f t="shared" ref="E1116:U1116" si="627">SUM(E1117)</f>
        <v>0</v>
      </c>
      <c r="F1116" s="2">
        <f t="shared" si="627"/>
        <v>0</v>
      </c>
      <c r="G1116" s="2">
        <f t="shared" si="627"/>
        <v>0</v>
      </c>
      <c r="H1116" s="2">
        <f t="shared" si="627"/>
        <v>0</v>
      </c>
      <c r="I1116" s="2">
        <f t="shared" si="627"/>
        <v>0</v>
      </c>
      <c r="J1116" s="2">
        <f t="shared" si="627"/>
        <v>0</v>
      </c>
      <c r="K1116" s="2">
        <f t="shared" si="627"/>
        <v>0</v>
      </c>
      <c r="L1116" s="2">
        <f t="shared" si="627"/>
        <v>0</v>
      </c>
      <c r="M1116" s="2">
        <f t="shared" si="627"/>
        <v>1105</v>
      </c>
      <c r="N1116" s="2">
        <f t="shared" si="627"/>
        <v>4917250</v>
      </c>
      <c r="O1116" s="2">
        <f t="shared" si="627"/>
        <v>0</v>
      </c>
      <c r="P1116" s="2">
        <f t="shared" si="627"/>
        <v>0</v>
      </c>
      <c r="Q1116" s="2">
        <f t="shared" si="627"/>
        <v>0</v>
      </c>
      <c r="R1116" s="2">
        <f t="shared" si="627"/>
        <v>0</v>
      </c>
      <c r="S1116" s="2">
        <f t="shared" si="627"/>
        <v>0</v>
      </c>
      <c r="T1116" s="2">
        <f t="shared" si="627"/>
        <v>0</v>
      </c>
      <c r="U1116" s="2">
        <f t="shared" si="627"/>
        <v>0</v>
      </c>
    </row>
    <row r="1117" spans="1:22" ht="23.1" customHeight="1" x14ac:dyDescent="0.25">
      <c r="A1117" s="37" t="s">
        <v>1308</v>
      </c>
      <c r="B1117" s="8" t="s">
        <v>1985</v>
      </c>
      <c r="C1117" s="2">
        <f t="shared" ref="C1117" si="628">D1117+L1117+N1117+P1117+R1117+S1117+T1117+U1117</f>
        <v>4917250</v>
      </c>
      <c r="D1117" s="3">
        <f t="shared" ref="D1117" si="629">SUM(E1117:J1117)</f>
        <v>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4">
        <v>0</v>
      </c>
      <c r="L1117" s="3">
        <v>0</v>
      </c>
      <c r="M1117" s="3">
        <v>1105</v>
      </c>
      <c r="N1117" s="3">
        <f>M1117*4450</f>
        <v>4917250</v>
      </c>
      <c r="O1117" s="3">
        <v>0</v>
      </c>
      <c r="P1117" s="3">
        <v>0</v>
      </c>
      <c r="Q1117" s="3">
        <v>0</v>
      </c>
      <c r="R1117" s="3">
        <f>Q1117*3200</f>
        <v>0</v>
      </c>
      <c r="S1117" s="3">
        <v>0</v>
      </c>
      <c r="T1117" s="3">
        <v>0</v>
      </c>
      <c r="U1117" s="3">
        <v>0</v>
      </c>
      <c r="V1117" s="6">
        <f t="shared" ref="V1117" si="630">N1117/M1117</f>
        <v>4450</v>
      </c>
    </row>
    <row r="1118" spans="1:22" ht="42.95" customHeight="1" x14ac:dyDescent="0.25">
      <c r="A1118" s="54" t="s">
        <v>284</v>
      </c>
      <c r="B1118" s="54"/>
      <c r="C1118" s="2">
        <f>SUM(C1119:C1121)</f>
        <v>8268420</v>
      </c>
      <c r="D1118" s="2">
        <f t="shared" ref="D1118:U1118" si="631">SUM(D1119:D1121)</f>
        <v>1267500</v>
      </c>
      <c r="E1118" s="2">
        <f t="shared" si="631"/>
        <v>295750</v>
      </c>
      <c r="F1118" s="2">
        <f t="shared" si="631"/>
        <v>549250</v>
      </c>
      <c r="G1118" s="2">
        <f t="shared" si="631"/>
        <v>126750</v>
      </c>
      <c r="H1118" s="2">
        <f t="shared" si="631"/>
        <v>169000</v>
      </c>
      <c r="I1118" s="2">
        <f t="shared" si="631"/>
        <v>126750</v>
      </c>
      <c r="J1118" s="2">
        <f t="shared" si="631"/>
        <v>0</v>
      </c>
      <c r="K1118" s="14">
        <f t="shared" si="631"/>
        <v>0</v>
      </c>
      <c r="L1118" s="2">
        <f t="shared" si="631"/>
        <v>0</v>
      </c>
      <c r="M1118" s="2">
        <f t="shared" si="631"/>
        <v>866.2</v>
      </c>
      <c r="N1118" s="2">
        <f t="shared" si="631"/>
        <v>5716920</v>
      </c>
      <c r="O1118" s="2">
        <f t="shared" si="631"/>
        <v>0</v>
      </c>
      <c r="P1118" s="2">
        <f t="shared" si="631"/>
        <v>0</v>
      </c>
      <c r="Q1118" s="2">
        <f t="shared" si="631"/>
        <v>370</v>
      </c>
      <c r="R1118" s="2">
        <f t="shared" si="631"/>
        <v>1184000</v>
      </c>
      <c r="S1118" s="2">
        <f t="shared" si="631"/>
        <v>0</v>
      </c>
      <c r="T1118" s="2">
        <f t="shared" si="631"/>
        <v>0</v>
      </c>
      <c r="U1118" s="2">
        <f t="shared" si="631"/>
        <v>100000</v>
      </c>
    </row>
    <row r="1119" spans="1:22" ht="23.1" customHeight="1" x14ac:dyDescent="0.25">
      <c r="A1119" s="37" t="s">
        <v>1307</v>
      </c>
      <c r="B1119" s="8" t="s">
        <v>306</v>
      </c>
      <c r="C1119" s="2">
        <f t="shared" si="597"/>
        <v>1888920</v>
      </c>
      <c r="D1119" s="3">
        <f t="shared" ref="D1119:D1121" si="632">SUM(E1119:J1119)</f>
        <v>0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4">
        <v>0</v>
      </c>
      <c r="L1119" s="3">
        <v>0</v>
      </c>
      <c r="M1119" s="3">
        <v>286.2</v>
      </c>
      <c r="N1119" s="3">
        <f>M1119*6600</f>
        <v>1888920</v>
      </c>
      <c r="O1119" s="3">
        <v>0</v>
      </c>
      <c r="P1119" s="3">
        <v>0</v>
      </c>
      <c r="Q1119" s="3">
        <v>0</v>
      </c>
      <c r="R1119" s="3">
        <f t="shared" ref="R1119:R1121" si="633">Q1119*3200</f>
        <v>0</v>
      </c>
      <c r="S1119" s="3">
        <v>0</v>
      </c>
      <c r="T1119" s="3">
        <v>0</v>
      </c>
      <c r="U1119" s="3">
        <v>0</v>
      </c>
      <c r="V1119" s="6">
        <f t="shared" ref="V1119:V1121" si="634">N1119/M1119</f>
        <v>6600</v>
      </c>
    </row>
    <row r="1120" spans="1:22" ht="23.1" customHeight="1" x14ac:dyDescent="0.25">
      <c r="A1120" s="37" t="s">
        <v>1306</v>
      </c>
      <c r="B1120" s="8" t="s">
        <v>822</v>
      </c>
      <c r="C1120" s="2">
        <f t="shared" si="597"/>
        <v>4465500</v>
      </c>
      <c r="D1120" s="3">
        <f t="shared" si="632"/>
        <v>1267500</v>
      </c>
      <c r="E1120" s="3">
        <f>700*422.5</f>
        <v>295750</v>
      </c>
      <c r="F1120" s="3">
        <f>1300*422.5</f>
        <v>549250</v>
      </c>
      <c r="G1120" s="3">
        <f>300*422.5</f>
        <v>126750</v>
      </c>
      <c r="H1120" s="3">
        <f>400*422.5</f>
        <v>169000</v>
      </c>
      <c r="I1120" s="3">
        <f>300*422.5</f>
        <v>126750</v>
      </c>
      <c r="J1120" s="3">
        <v>0</v>
      </c>
      <c r="K1120" s="4">
        <v>0</v>
      </c>
      <c r="L1120" s="3">
        <v>0</v>
      </c>
      <c r="M1120" s="3">
        <v>290</v>
      </c>
      <c r="N1120" s="3">
        <f>M1120*6600</f>
        <v>1914000</v>
      </c>
      <c r="O1120" s="3">
        <v>0</v>
      </c>
      <c r="P1120" s="3">
        <v>0</v>
      </c>
      <c r="Q1120" s="3">
        <v>370</v>
      </c>
      <c r="R1120" s="3">
        <f t="shared" si="633"/>
        <v>1184000</v>
      </c>
      <c r="S1120" s="3">
        <v>0</v>
      </c>
      <c r="T1120" s="3">
        <v>0</v>
      </c>
      <c r="U1120" s="3">
        <v>100000</v>
      </c>
      <c r="V1120" s="6">
        <f t="shared" si="634"/>
        <v>6600</v>
      </c>
    </row>
    <row r="1121" spans="1:22" ht="23.1" customHeight="1" x14ac:dyDescent="0.25">
      <c r="A1121" s="37" t="s">
        <v>1305</v>
      </c>
      <c r="B1121" s="8" t="s">
        <v>823</v>
      </c>
      <c r="C1121" s="2">
        <f t="shared" si="597"/>
        <v>1914000</v>
      </c>
      <c r="D1121" s="3">
        <f t="shared" si="632"/>
        <v>0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4">
        <v>0</v>
      </c>
      <c r="L1121" s="3">
        <v>0</v>
      </c>
      <c r="M1121" s="3">
        <v>290</v>
      </c>
      <c r="N1121" s="3">
        <f>M1121*6600</f>
        <v>1914000</v>
      </c>
      <c r="O1121" s="3">
        <v>0</v>
      </c>
      <c r="P1121" s="3">
        <v>0</v>
      </c>
      <c r="Q1121" s="3">
        <v>0</v>
      </c>
      <c r="R1121" s="3">
        <f t="shared" si="633"/>
        <v>0</v>
      </c>
      <c r="S1121" s="3">
        <v>0</v>
      </c>
      <c r="T1121" s="3">
        <v>0</v>
      </c>
      <c r="U1121" s="3">
        <v>0</v>
      </c>
      <c r="V1121" s="6">
        <f t="shared" si="634"/>
        <v>6600</v>
      </c>
    </row>
    <row r="1122" spans="1:22" ht="42.95" customHeight="1" x14ac:dyDescent="0.25">
      <c r="A1122" s="54" t="s">
        <v>289</v>
      </c>
      <c r="B1122" s="54"/>
      <c r="C1122" s="2">
        <f>SUM(C1123:C1124)</f>
        <v>10659900</v>
      </c>
      <c r="D1122" s="2">
        <f t="shared" ref="D1122:U1122" si="635">SUM(D1123:D1124)</f>
        <v>1267500</v>
      </c>
      <c r="E1122" s="2">
        <f t="shared" si="635"/>
        <v>295750</v>
      </c>
      <c r="F1122" s="2">
        <f t="shared" si="635"/>
        <v>549250</v>
      </c>
      <c r="G1122" s="2">
        <f t="shared" si="635"/>
        <v>126750</v>
      </c>
      <c r="H1122" s="2">
        <f t="shared" si="635"/>
        <v>169000</v>
      </c>
      <c r="I1122" s="2">
        <f t="shared" si="635"/>
        <v>126750</v>
      </c>
      <c r="J1122" s="2">
        <f t="shared" si="635"/>
        <v>0</v>
      </c>
      <c r="K1122" s="14">
        <f t="shared" si="635"/>
        <v>0</v>
      </c>
      <c r="L1122" s="2">
        <f t="shared" si="635"/>
        <v>0</v>
      </c>
      <c r="M1122" s="2">
        <f t="shared" si="635"/>
        <v>622</v>
      </c>
      <c r="N1122" s="2">
        <f t="shared" si="635"/>
        <v>4105200</v>
      </c>
      <c r="O1122" s="2">
        <f t="shared" si="635"/>
        <v>0</v>
      </c>
      <c r="P1122" s="2">
        <f t="shared" si="635"/>
        <v>0</v>
      </c>
      <c r="Q1122" s="2">
        <f t="shared" si="635"/>
        <v>1621</v>
      </c>
      <c r="R1122" s="2">
        <f t="shared" si="635"/>
        <v>5187200</v>
      </c>
      <c r="S1122" s="2">
        <f t="shared" si="635"/>
        <v>0</v>
      </c>
      <c r="T1122" s="2">
        <f t="shared" si="635"/>
        <v>0</v>
      </c>
      <c r="U1122" s="2">
        <f t="shared" si="635"/>
        <v>100000</v>
      </c>
    </row>
    <row r="1123" spans="1:22" ht="24.95" customHeight="1" x14ac:dyDescent="0.25">
      <c r="A1123" s="37" t="s">
        <v>1304</v>
      </c>
      <c r="B1123" s="8" t="s">
        <v>292</v>
      </c>
      <c r="C1123" s="2">
        <f t="shared" si="597"/>
        <v>4607200</v>
      </c>
      <c r="D1123" s="3">
        <f t="shared" ref="D1123:D1124" si="636">SUM(E1123:J1123)</f>
        <v>0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4">
        <v>0</v>
      </c>
      <c r="L1123" s="3">
        <v>0</v>
      </c>
      <c r="M1123" s="3">
        <v>300</v>
      </c>
      <c r="N1123" s="3">
        <f>M1123*6600</f>
        <v>1980000</v>
      </c>
      <c r="O1123" s="3">
        <v>0</v>
      </c>
      <c r="P1123" s="3">
        <v>0</v>
      </c>
      <c r="Q1123" s="3">
        <v>821</v>
      </c>
      <c r="R1123" s="3">
        <f t="shared" ref="R1123:R1124" si="637">Q1123*3200</f>
        <v>2627200</v>
      </c>
      <c r="S1123" s="3">
        <v>0</v>
      </c>
      <c r="T1123" s="3">
        <v>0</v>
      </c>
      <c r="U1123" s="3">
        <v>0</v>
      </c>
      <c r="V1123" s="6">
        <f t="shared" ref="V1123:V1124" si="638">N1123/M1123</f>
        <v>6600</v>
      </c>
    </row>
    <row r="1124" spans="1:22" ht="24.95" customHeight="1" x14ac:dyDescent="0.25">
      <c r="A1124" s="37" t="s">
        <v>1303</v>
      </c>
      <c r="B1124" s="8" t="s">
        <v>293</v>
      </c>
      <c r="C1124" s="2">
        <f t="shared" si="597"/>
        <v>6052700</v>
      </c>
      <c r="D1124" s="3">
        <f t="shared" si="636"/>
        <v>1267500</v>
      </c>
      <c r="E1124" s="3">
        <f>700*422.5</f>
        <v>295750</v>
      </c>
      <c r="F1124" s="3">
        <f>1300*422.5</f>
        <v>549250</v>
      </c>
      <c r="G1124" s="3">
        <f>300*422.5</f>
        <v>126750</v>
      </c>
      <c r="H1124" s="3">
        <f>400*422.5</f>
        <v>169000</v>
      </c>
      <c r="I1124" s="3">
        <f>300*422.5</f>
        <v>126750</v>
      </c>
      <c r="J1124" s="3">
        <v>0</v>
      </c>
      <c r="K1124" s="4">
        <v>0</v>
      </c>
      <c r="L1124" s="3">
        <v>0</v>
      </c>
      <c r="M1124" s="3">
        <v>322</v>
      </c>
      <c r="N1124" s="3">
        <f>M1124*6600</f>
        <v>2125200</v>
      </c>
      <c r="O1124" s="3">
        <v>0</v>
      </c>
      <c r="P1124" s="3">
        <v>0</v>
      </c>
      <c r="Q1124" s="3">
        <v>800</v>
      </c>
      <c r="R1124" s="3">
        <f t="shared" si="637"/>
        <v>2560000</v>
      </c>
      <c r="S1124" s="3">
        <v>0</v>
      </c>
      <c r="T1124" s="3">
        <v>0</v>
      </c>
      <c r="U1124" s="3">
        <v>100000</v>
      </c>
      <c r="V1124" s="6">
        <f t="shared" si="638"/>
        <v>6600</v>
      </c>
    </row>
    <row r="1125" spans="1:22" ht="45" customHeight="1" x14ac:dyDescent="0.25">
      <c r="A1125" s="54" t="s">
        <v>307</v>
      </c>
      <c r="B1125" s="54"/>
      <c r="C1125" s="2">
        <f>SUM(C1126)</f>
        <v>4233508</v>
      </c>
      <c r="D1125" s="2">
        <f t="shared" ref="D1125:U1125" si="639">SUM(D1126)</f>
        <v>368368</v>
      </c>
      <c r="E1125" s="2">
        <f t="shared" si="639"/>
        <v>368368</v>
      </c>
      <c r="F1125" s="2">
        <f t="shared" si="639"/>
        <v>0</v>
      </c>
      <c r="G1125" s="2">
        <f t="shared" si="639"/>
        <v>0</v>
      </c>
      <c r="H1125" s="2">
        <f t="shared" si="639"/>
        <v>0</v>
      </c>
      <c r="I1125" s="2">
        <f t="shared" si="639"/>
        <v>0</v>
      </c>
      <c r="J1125" s="2">
        <f t="shared" si="639"/>
        <v>0</v>
      </c>
      <c r="K1125" s="14">
        <f t="shared" si="639"/>
        <v>0</v>
      </c>
      <c r="L1125" s="2">
        <f t="shared" si="639"/>
        <v>0</v>
      </c>
      <c r="M1125" s="2">
        <f t="shared" si="639"/>
        <v>355.2</v>
      </c>
      <c r="N1125" s="2">
        <f t="shared" si="639"/>
        <v>2344320</v>
      </c>
      <c r="O1125" s="2">
        <f t="shared" si="639"/>
        <v>0</v>
      </c>
      <c r="P1125" s="2">
        <f t="shared" si="639"/>
        <v>0</v>
      </c>
      <c r="Q1125" s="2">
        <f t="shared" si="639"/>
        <v>428.4</v>
      </c>
      <c r="R1125" s="2">
        <f t="shared" si="639"/>
        <v>1370880</v>
      </c>
      <c r="S1125" s="2">
        <f t="shared" si="639"/>
        <v>149940</v>
      </c>
      <c r="T1125" s="2">
        <f t="shared" si="639"/>
        <v>0</v>
      </c>
      <c r="U1125" s="2">
        <f t="shared" si="639"/>
        <v>0</v>
      </c>
    </row>
    <row r="1126" spans="1:22" ht="21.95" customHeight="1" x14ac:dyDescent="0.25">
      <c r="A1126" s="36" t="s">
        <v>1508</v>
      </c>
      <c r="B1126" s="8" t="s">
        <v>311</v>
      </c>
      <c r="C1126" s="2">
        <f t="shared" ref="C1126" si="640">D1126+L1126+N1126+P1126+R1126+S1126+T1126+U1126</f>
        <v>4233508</v>
      </c>
      <c r="D1126" s="3">
        <f t="shared" ref="D1126" si="641">SUM(E1126:J1126)</f>
        <v>368368</v>
      </c>
      <c r="E1126" s="5">
        <f>526.24*700</f>
        <v>368368</v>
      </c>
      <c r="F1126" s="5">
        <v>0</v>
      </c>
      <c r="G1126" s="5">
        <v>0</v>
      </c>
      <c r="H1126" s="5">
        <v>0</v>
      </c>
      <c r="I1126" s="5">
        <v>0</v>
      </c>
      <c r="J1126" s="5">
        <v>0</v>
      </c>
      <c r="K1126" s="11">
        <v>0</v>
      </c>
      <c r="L1126" s="5">
        <v>0</v>
      </c>
      <c r="M1126" s="5">
        <v>355.2</v>
      </c>
      <c r="N1126" s="3">
        <f>M1126*6600</f>
        <v>2344320</v>
      </c>
      <c r="O1126" s="5">
        <v>0</v>
      </c>
      <c r="P1126" s="5">
        <v>0</v>
      </c>
      <c r="Q1126" s="5">
        <v>428.4</v>
      </c>
      <c r="R1126" s="3">
        <f>Q1126*3200</f>
        <v>1370880</v>
      </c>
      <c r="S1126" s="5">
        <v>149940</v>
      </c>
      <c r="T1126" s="5">
        <v>0</v>
      </c>
      <c r="U1126" s="5">
        <v>0</v>
      </c>
      <c r="V1126" s="6">
        <f t="shared" ref="V1126" si="642">N1126/M1126</f>
        <v>6600</v>
      </c>
    </row>
    <row r="1127" spans="1:22" ht="42.95" customHeight="1" x14ac:dyDescent="0.25">
      <c r="A1127" s="54" t="s">
        <v>312</v>
      </c>
      <c r="B1127" s="54"/>
      <c r="C1127" s="2">
        <f>SUM(C1128:C1129)</f>
        <v>7794700</v>
      </c>
      <c r="D1127" s="2">
        <f t="shared" ref="D1127:U1127" si="643">SUM(D1128:D1129)</f>
        <v>534800</v>
      </c>
      <c r="E1127" s="2">
        <f t="shared" si="643"/>
        <v>534800</v>
      </c>
      <c r="F1127" s="2">
        <f t="shared" si="643"/>
        <v>0</v>
      </c>
      <c r="G1127" s="2">
        <f t="shared" si="643"/>
        <v>0</v>
      </c>
      <c r="H1127" s="2">
        <f t="shared" si="643"/>
        <v>0</v>
      </c>
      <c r="I1127" s="2">
        <f t="shared" si="643"/>
        <v>0</v>
      </c>
      <c r="J1127" s="2">
        <f t="shared" si="643"/>
        <v>0</v>
      </c>
      <c r="K1127" s="14">
        <f t="shared" si="643"/>
        <v>0</v>
      </c>
      <c r="L1127" s="2">
        <f t="shared" si="643"/>
        <v>0</v>
      </c>
      <c r="M1127" s="2">
        <f t="shared" si="643"/>
        <v>608</v>
      </c>
      <c r="N1127" s="2">
        <f t="shared" si="643"/>
        <v>4012800</v>
      </c>
      <c r="O1127" s="2">
        <f t="shared" si="643"/>
        <v>0</v>
      </c>
      <c r="P1127" s="2">
        <f t="shared" si="643"/>
        <v>0</v>
      </c>
      <c r="Q1127" s="2">
        <f t="shared" si="643"/>
        <v>882</v>
      </c>
      <c r="R1127" s="2">
        <f t="shared" si="643"/>
        <v>2822400</v>
      </c>
      <c r="S1127" s="2">
        <f t="shared" si="643"/>
        <v>224700</v>
      </c>
      <c r="T1127" s="2">
        <f t="shared" si="643"/>
        <v>0</v>
      </c>
      <c r="U1127" s="2">
        <f t="shared" si="643"/>
        <v>200000</v>
      </c>
    </row>
    <row r="1128" spans="1:22" ht="24.95" customHeight="1" x14ac:dyDescent="0.25">
      <c r="A1128" s="36" t="s">
        <v>1509</v>
      </c>
      <c r="B1128" s="8" t="s">
        <v>315</v>
      </c>
      <c r="C1128" s="2">
        <f t="shared" si="597"/>
        <v>3658300</v>
      </c>
      <c r="D1128" s="3">
        <f t="shared" ref="D1128:D1129" si="644">SUM(E1128:J1128)</f>
        <v>215600</v>
      </c>
      <c r="E1128" s="5">
        <f>308*700</f>
        <v>215600</v>
      </c>
      <c r="F1128" s="5">
        <v>0</v>
      </c>
      <c r="G1128" s="5">
        <v>0</v>
      </c>
      <c r="H1128" s="5">
        <v>0</v>
      </c>
      <c r="I1128" s="5">
        <v>0</v>
      </c>
      <c r="J1128" s="5">
        <v>0</v>
      </c>
      <c r="K1128" s="11">
        <v>0</v>
      </c>
      <c r="L1128" s="5">
        <v>0</v>
      </c>
      <c r="M1128" s="5">
        <v>280</v>
      </c>
      <c r="N1128" s="3">
        <f>M1128*6600</f>
        <v>1848000</v>
      </c>
      <c r="O1128" s="5">
        <v>0</v>
      </c>
      <c r="P1128" s="5">
        <v>0</v>
      </c>
      <c r="Q1128" s="5">
        <v>431</v>
      </c>
      <c r="R1128" s="3">
        <f t="shared" ref="R1128:R1129" si="645">Q1128*3200</f>
        <v>1379200</v>
      </c>
      <c r="S1128" s="5">
        <v>115500</v>
      </c>
      <c r="T1128" s="5">
        <v>0</v>
      </c>
      <c r="U1128" s="5">
        <v>100000</v>
      </c>
      <c r="V1128" s="6">
        <f t="shared" ref="V1128" si="646">N1128/M1128</f>
        <v>6600</v>
      </c>
    </row>
    <row r="1129" spans="1:22" ht="24.95" customHeight="1" x14ac:dyDescent="0.25">
      <c r="A1129" s="36" t="s">
        <v>1510</v>
      </c>
      <c r="B1129" s="8" t="s">
        <v>317</v>
      </c>
      <c r="C1129" s="2">
        <f t="shared" si="597"/>
        <v>4136400</v>
      </c>
      <c r="D1129" s="3">
        <f t="shared" si="644"/>
        <v>319200</v>
      </c>
      <c r="E1129" s="5">
        <f>456*700</f>
        <v>319200</v>
      </c>
      <c r="F1129" s="5">
        <v>0</v>
      </c>
      <c r="G1129" s="5">
        <v>0</v>
      </c>
      <c r="H1129" s="5">
        <v>0</v>
      </c>
      <c r="I1129" s="5">
        <v>0</v>
      </c>
      <c r="J1129" s="5">
        <v>0</v>
      </c>
      <c r="K1129" s="11">
        <v>0</v>
      </c>
      <c r="L1129" s="5">
        <v>0</v>
      </c>
      <c r="M1129" s="5">
        <v>328</v>
      </c>
      <c r="N1129" s="3">
        <f>M1129*6600</f>
        <v>2164800</v>
      </c>
      <c r="O1129" s="5">
        <v>0</v>
      </c>
      <c r="P1129" s="5">
        <v>0</v>
      </c>
      <c r="Q1129" s="5">
        <v>451</v>
      </c>
      <c r="R1129" s="3">
        <f t="shared" si="645"/>
        <v>1443200</v>
      </c>
      <c r="S1129" s="5">
        <v>109200</v>
      </c>
      <c r="T1129" s="5">
        <v>0</v>
      </c>
      <c r="U1129" s="5">
        <v>100000</v>
      </c>
      <c r="V1129" s="6">
        <f>N1129/M1129</f>
        <v>6600</v>
      </c>
    </row>
    <row r="1130" spans="1:22" ht="42.95" customHeight="1" x14ac:dyDescent="0.25">
      <c r="A1130" s="54" t="s">
        <v>318</v>
      </c>
      <c r="B1130" s="54"/>
      <c r="C1130" s="2">
        <f>SUM(C1131)</f>
        <v>3116540</v>
      </c>
      <c r="D1130" s="2">
        <f t="shared" ref="D1130:U1130" si="647">SUM(D1131)</f>
        <v>0</v>
      </c>
      <c r="E1130" s="2">
        <f t="shared" si="647"/>
        <v>0</v>
      </c>
      <c r="F1130" s="2">
        <f t="shared" si="647"/>
        <v>0</v>
      </c>
      <c r="G1130" s="2">
        <f t="shared" si="647"/>
        <v>0</v>
      </c>
      <c r="H1130" s="2">
        <f t="shared" si="647"/>
        <v>0</v>
      </c>
      <c r="I1130" s="2">
        <f t="shared" si="647"/>
        <v>0</v>
      </c>
      <c r="J1130" s="2">
        <f t="shared" si="647"/>
        <v>0</v>
      </c>
      <c r="K1130" s="14">
        <f t="shared" si="647"/>
        <v>0</v>
      </c>
      <c r="L1130" s="2">
        <f t="shared" si="647"/>
        <v>0</v>
      </c>
      <c r="M1130" s="2">
        <f t="shared" si="647"/>
        <v>321.89999999999998</v>
      </c>
      <c r="N1130" s="2">
        <f t="shared" si="647"/>
        <v>2124540</v>
      </c>
      <c r="O1130" s="2">
        <f t="shared" si="647"/>
        <v>0</v>
      </c>
      <c r="P1130" s="2">
        <f t="shared" si="647"/>
        <v>0</v>
      </c>
      <c r="Q1130" s="2">
        <f t="shared" si="647"/>
        <v>310</v>
      </c>
      <c r="R1130" s="2">
        <f t="shared" si="647"/>
        <v>992000</v>
      </c>
      <c r="S1130" s="2">
        <f t="shared" si="647"/>
        <v>0</v>
      </c>
      <c r="T1130" s="2">
        <f t="shared" si="647"/>
        <v>0</v>
      </c>
      <c r="U1130" s="2">
        <f t="shared" si="647"/>
        <v>0</v>
      </c>
      <c r="V1130" s="18">
        <f>C1130</f>
        <v>3116540</v>
      </c>
    </row>
    <row r="1131" spans="1:22" ht="24.95" customHeight="1" x14ac:dyDescent="0.25">
      <c r="A1131" s="36" t="s">
        <v>1511</v>
      </c>
      <c r="B1131" s="8" t="s">
        <v>319</v>
      </c>
      <c r="C1131" s="2">
        <f t="shared" si="597"/>
        <v>3116540</v>
      </c>
      <c r="D1131" s="3">
        <f t="shared" ref="D1131" si="648">SUM(E1131:J1131)</f>
        <v>0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4">
        <v>0</v>
      </c>
      <c r="L1131" s="3">
        <v>0</v>
      </c>
      <c r="M1131" s="3">
        <v>321.89999999999998</v>
      </c>
      <c r="N1131" s="3">
        <f>M1131*6600</f>
        <v>2124540</v>
      </c>
      <c r="O1131" s="3">
        <v>0</v>
      </c>
      <c r="P1131" s="3">
        <v>0</v>
      </c>
      <c r="Q1131" s="39">
        <v>310</v>
      </c>
      <c r="R1131" s="3">
        <f>Q1131*3200</f>
        <v>992000</v>
      </c>
      <c r="S1131" s="3">
        <v>0</v>
      </c>
      <c r="T1131" s="3">
        <v>0</v>
      </c>
      <c r="U1131" s="3">
        <v>0</v>
      </c>
      <c r="V1131" s="6">
        <f t="shared" ref="V1131" si="649">N1131/M1131</f>
        <v>6600.0000000000009</v>
      </c>
    </row>
    <row r="1132" spans="1:22" ht="42.95" customHeight="1" x14ac:dyDescent="0.25">
      <c r="A1132" s="54" t="s">
        <v>971</v>
      </c>
      <c r="B1132" s="54"/>
      <c r="C1132" s="2">
        <f>SUM(C1133)</f>
        <v>5032200</v>
      </c>
      <c r="D1132" s="2">
        <f t="shared" ref="D1132:U1132" si="650">SUM(D1133)</f>
        <v>4932200</v>
      </c>
      <c r="E1132" s="2">
        <f t="shared" si="650"/>
        <v>1327900</v>
      </c>
      <c r="F1132" s="2">
        <f t="shared" si="650"/>
        <v>2466100</v>
      </c>
      <c r="G1132" s="2">
        <f t="shared" si="650"/>
        <v>569100</v>
      </c>
      <c r="H1132" s="2">
        <f t="shared" si="650"/>
        <v>0</v>
      </c>
      <c r="I1132" s="2">
        <f t="shared" si="650"/>
        <v>569100</v>
      </c>
      <c r="J1132" s="2">
        <f t="shared" si="650"/>
        <v>0</v>
      </c>
      <c r="K1132" s="14">
        <f t="shared" si="650"/>
        <v>0</v>
      </c>
      <c r="L1132" s="2">
        <f t="shared" si="650"/>
        <v>0</v>
      </c>
      <c r="M1132" s="2">
        <f t="shared" si="650"/>
        <v>0</v>
      </c>
      <c r="N1132" s="2">
        <f t="shared" si="650"/>
        <v>0</v>
      </c>
      <c r="O1132" s="2">
        <f t="shared" si="650"/>
        <v>0</v>
      </c>
      <c r="P1132" s="2">
        <f t="shared" si="650"/>
        <v>0</v>
      </c>
      <c r="Q1132" s="2">
        <f t="shared" si="650"/>
        <v>0</v>
      </c>
      <c r="R1132" s="2">
        <f t="shared" si="650"/>
        <v>0</v>
      </c>
      <c r="S1132" s="2">
        <f t="shared" si="650"/>
        <v>0</v>
      </c>
      <c r="T1132" s="2">
        <f t="shared" si="650"/>
        <v>0</v>
      </c>
      <c r="U1132" s="2">
        <f t="shared" si="650"/>
        <v>100000</v>
      </c>
      <c r="V1132" s="18">
        <f>C1132</f>
        <v>5032200</v>
      </c>
    </row>
    <row r="1133" spans="1:22" ht="24.95" customHeight="1" x14ac:dyDescent="0.25">
      <c r="A1133" s="37" t="s">
        <v>1512</v>
      </c>
      <c r="B1133" s="8" t="s">
        <v>322</v>
      </c>
      <c r="C1133" s="2">
        <f t="shared" si="597"/>
        <v>5032200</v>
      </c>
      <c r="D1133" s="3">
        <f t="shared" ref="D1133" si="651">SUM(E1133:J1133)</f>
        <v>4932200</v>
      </c>
      <c r="E1133" s="3">
        <f>700*1897</f>
        <v>1327900</v>
      </c>
      <c r="F1133" s="3">
        <f>1300*1897</f>
        <v>2466100</v>
      </c>
      <c r="G1133" s="3">
        <f>300*1897</f>
        <v>569100</v>
      </c>
      <c r="H1133" s="3">
        <v>0</v>
      </c>
      <c r="I1133" s="3">
        <f>300*1897</f>
        <v>569100</v>
      </c>
      <c r="J1133" s="3">
        <v>0</v>
      </c>
      <c r="K1133" s="4">
        <v>0</v>
      </c>
      <c r="L1133" s="3">
        <v>0</v>
      </c>
      <c r="M1133" s="3">
        <v>0</v>
      </c>
      <c r="N1133" s="3">
        <v>0</v>
      </c>
      <c r="O1133" s="3">
        <v>0</v>
      </c>
      <c r="P1133" s="3">
        <v>0</v>
      </c>
      <c r="Q1133" s="3">
        <v>0</v>
      </c>
      <c r="R1133" s="3">
        <f>Q1133*3200</f>
        <v>0</v>
      </c>
      <c r="S1133" s="3">
        <v>0</v>
      </c>
      <c r="T1133" s="3">
        <v>0</v>
      </c>
      <c r="U1133" s="3">
        <v>100000</v>
      </c>
      <c r="V1133" s="6" t="e">
        <f t="shared" ref="V1133" si="652">N1133/M1133</f>
        <v>#DIV/0!</v>
      </c>
    </row>
    <row r="1134" spans="1:22" ht="42.95" customHeight="1" x14ac:dyDescent="0.25">
      <c r="A1134" s="54" t="s">
        <v>970</v>
      </c>
      <c r="B1134" s="54"/>
      <c r="C1134" s="2">
        <f>SUM(C1135:C1136)</f>
        <v>3132540</v>
      </c>
      <c r="D1134" s="2">
        <f t="shared" ref="D1134:U1134" si="653">SUM(D1135)</f>
        <v>243179.99999999997</v>
      </c>
      <c r="E1134" s="2">
        <f t="shared" si="653"/>
        <v>243179.99999999997</v>
      </c>
      <c r="F1134" s="2">
        <f t="shared" si="653"/>
        <v>0</v>
      </c>
      <c r="G1134" s="2">
        <f t="shared" si="653"/>
        <v>0</v>
      </c>
      <c r="H1134" s="2">
        <f t="shared" si="653"/>
        <v>0</v>
      </c>
      <c r="I1134" s="2">
        <f t="shared" si="653"/>
        <v>0</v>
      </c>
      <c r="J1134" s="2">
        <f t="shared" si="653"/>
        <v>0</v>
      </c>
      <c r="K1134" s="14">
        <f t="shared" si="653"/>
        <v>0</v>
      </c>
      <c r="L1134" s="2">
        <f t="shared" si="653"/>
        <v>0</v>
      </c>
      <c r="M1134" s="2">
        <f t="shared" si="653"/>
        <v>235</v>
      </c>
      <c r="N1134" s="2">
        <f t="shared" si="653"/>
        <v>1551000</v>
      </c>
      <c r="O1134" s="2">
        <f t="shared" si="653"/>
        <v>0</v>
      </c>
      <c r="P1134" s="2">
        <f t="shared" si="653"/>
        <v>0</v>
      </c>
      <c r="Q1134" s="2">
        <f t="shared" si="653"/>
        <v>244.8</v>
      </c>
      <c r="R1134" s="2">
        <f t="shared" si="653"/>
        <v>783360</v>
      </c>
      <c r="S1134" s="2">
        <f t="shared" si="653"/>
        <v>0</v>
      </c>
      <c r="T1134" s="2">
        <f t="shared" si="653"/>
        <v>0</v>
      </c>
      <c r="U1134" s="2">
        <f t="shared" si="653"/>
        <v>100000</v>
      </c>
    </row>
    <row r="1135" spans="1:22" ht="24.95" customHeight="1" x14ac:dyDescent="0.25">
      <c r="A1135" s="37" t="s">
        <v>1513</v>
      </c>
      <c r="B1135" s="8" t="s">
        <v>320</v>
      </c>
      <c r="C1135" s="2">
        <f t="shared" ref="C1135:C1164" si="654">D1135+L1135+N1135+P1135+R1135+S1135+T1135+U1135</f>
        <v>2677540</v>
      </c>
      <c r="D1135" s="3">
        <f t="shared" ref="D1135" si="655">SUM(E1135:J1135)</f>
        <v>243179.99999999997</v>
      </c>
      <c r="E1135" s="3">
        <f>700*347.4</f>
        <v>243179.99999999997</v>
      </c>
      <c r="F1135" s="3">
        <v>0</v>
      </c>
      <c r="G1135" s="3">
        <v>0</v>
      </c>
      <c r="H1135" s="3">
        <v>0</v>
      </c>
      <c r="I1135" s="3">
        <v>0</v>
      </c>
      <c r="J1135" s="3">
        <v>0</v>
      </c>
      <c r="K1135" s="4">
        <v>0</v>
      </c>
      <c r="L1135" s="3">
        <v>0</v>
      </c>
      <c r="M1135" s="3">
        <v>235</v>
      </c>
      <c r="N1135" s="3">
        <f>M1135*6600</f>
        <v>1551000</v>
      </c>
      <c r="O1135" s="3">
        <v>0</v>
      </c>
      <c r="P1135" s="3">
        <v>0</v>
      </c>
      <c r="Q1135" s="3">
        <v>244.8</v>
      </c>
      <c r="R1135" s="3">
        <f t="shared" ref="R1135:R1136" si="656">Q1135*3200</f>
        <v>783360</v>
      </c>
      <c r="S1135" s="3">
        <v>0</v>
      </c>
      <c r="T1135" s="3">
        <v>0</v>
      </c>
      <c r="U1135" s="3">
        <v>100000</v>
      </c>
      <c r="V1135" s="6">
        <f t="shared" ref="V1135" si="657">N1135/M1135</f>
        <v>6600</v>
      </c>
    </row>
    <row r="1136" spans="1:22" ht="21.95" customHeight="1" x14ac:dyDescent="0.25">
      <c r="A1136" s="37" t="s">
        <v>1514</v>
      </c>
      <c r="B1136" s="8" t="s">
        <v>321</v>
      </c>
      <c r="C1136" s="2">
        <f t="shared" ref="C1136" si="658">D1136+L1136+N1136+P1136+R1136+S1136+T1136+U1136</f>
        <v>455000</v>
      </c>
      <c r="D1136" s="3">
        <f t="shared" ref="D1136" si="659">SUM(E1136:J1136)</f>
        <v>455000</v>
      </c>
      <c r="E1136" s="3">
        <v>0</v>
      </c>
      <c r="F1136" s="3">
        <f>1300*350</f>
        <v>455000</v>
      </c>
      <c r="G1136" s="3">
        <v>0</v>
      </c>
      <c r="H1136" s="3">
        <v>0</v>
      </c>
      <c r="I1136" s="3">
        <v>0</v>
      </c>
      <c r="J1136" s="3">
        <v>0</v>
      </c>
      <c r="K1136" s="4">
        <v>0</v>
      </c>
      <c r="L1136" s="3">
        <v>0</v>
      </c>
      <c r="M1136" s="3">
        <v>0</v>
      </c>
      <c r="N1136" s="3">
        <f>M1136*6600</f>
        <v>0</v>
      </c>
      <c r="O1136" s="3">
        <v>0</v>
      </c>
      <c r="P1136" s="3">
        <v>0</v>
      </c>
      <c r="Q1136" s="3">
        <v>0</v>
      </c>
      <c r="R1136" s="3">
        <f t="shared" si="656"/>
        <v>0</v>
      </c>
      <c r="S1136" s="3">
        <v>0</v>
      </c>
      <c r="T1136" s="3">
        <v>0</v>
      </c>
      <c r="U1136" s="3">
        <v>0</v>
      </c>
      <c r="V1136" s="6" t="e">
        <f t="shared" ref="V1136" si="660">N1136/M1136</f>
        <v>#DIV/0!</v>
      </c>
    </row>
    <row r="1137" spans="1:22" ht="42.95" customHeight="1" x14ac:dyDescent="0.25">
      <c r="A1137" s="54" t="s">
        <v>324</v>
      </c>
      <c r="B1137" s="54"/>
      <c r="C1137" s="2">
        <f>SUM(C1138:C1140)</f>
        <v>25330540</v>
      </c>
      <c r="D1137" s="2">
        <f t="shared" ref="D1137:U1137" si="661">SUM(D1139:D1140)</f>
        <v>0</v>
      </c>
      <c r="E1137" s="2">
        <f t="shared" si="661"/>
        <v>0</v>
      </c>
      <c r="F1137" s="2">
        <f t="shared" si="661"/>
        <v>0</v>
      </c>
      <c r="G1137" s="2">
        <f t="shared" si="661"/>
        <v>0</v>
      </c>
      <c r="H1137" s="2">
        <f t="shared" si="661"/>
        <v>0</v>
      </c>
      <c r="I1137" s="2">
        <f t="shared" si="661"/>
        <v>0</v>
      </c>
      <c r="J1137" s="2">
        <f t="shared" si="661"/>
        <v>0</v>
      </c>
      <c r="K1137" s="14">
        <f t="shared" si="661"/>
        <v>0</v>
      </c>
      <c r="L1137" s="2">
        <f t="shared" si="661"/>
        <v>0</v>
      </c>
      <c r="M1137" s="2">
        <f t="shared" si="661"/>
        <v>1175</v>
      </c>
      <c r="N1137" s="2">
        <f t="shared" si="661"/>
        <v>7755000</v>
      </c>
      <c r="O1137" s="2">
        <f t="shared" si="661"/>
        <v>0</v>
      </c>
      <c r="P1137" s="2">
        <f t="shared" si="661"/>
        <v>0</v>
      </c>
      <c r="Q1137" s="2">
        <f t="shared" si="661"/>
        <v>1060</v>
      </c>
      <c r="R1137" s="2">
        <f t="shared" si="661"/>
        <v>3392000</v>
      </c>
      <c r="S1137" s="2">
        <f t="shared" si="661"/>
        <v>0</v>
      </c>
      <c r="T1137" s="2">
        <f t="shared" si="661"/>
        <v>0</v>
      </c>
      <c r="U1137" s="2">
        <f t="shared" si="661"/>
        <v>0</v>
      </c>
    </row>
    <row r="1138" spans="1:22" ht="24.95" customHeight="1" x14ac:dyDescent="0.25">
      <c r="A1138" s="36" t="s">
        <v>1516</v>
      </c>
      <c r="B1138" s="8" t="s">
        <v>1515</v>
      </c>
      <c r="C1138" s="2">
        <f t="shared" ref="C1138" si="662">D1138+L1138+N1138+P1138+R1138+S1138+T1138+U1138</f>
        <v>14183540</v>
      </c>
      <c r="D1138" s="3">
        <f t="shared" ref="D1138" si="663">SUM(E1138:J1138)</f>
        <v>6286540</v>
      </c>
      <c r="E1138" s="3">
        <f>2417.9*700</f>
        <v>1692530</v>
      </c>
      <c r="F1138" s="3">
        <f>1300*2417.9</f>
        <v>3143270</v>
      </c>
      <c r="G1138" s="3">
        <f>300*2417.9</f>
        <v>725370</v>
      </c>
      <c r="H1138" s="3">
        <v>0</v>
      </c>
      <c r="I1138" s="3">
        <f>300*2417.9</f>
        <v>725370</v>
      </c>
      <c r="J1138" s="3">
        <v>0</v>
      </c>
      <c r="K1138" s="4">
        <v>0</v>
      </c>
      <c r="L1138" s="3">
        <v>0</v>
      </c>
      <c r="M1138" s="3">
        <v>900</v>
      </c>
      <c r="N1138" s="3">
        <f>M1138*4450</f>
        <v>4005000</v>
      </c>
      <c r="O1138" s="3">
        <v>0</v>
      </c>
      <c r="P1138" s="3">
        <v>0</v>
      </c>
      <c r="Q1138" s="3">
        <v>1060</v>
      </c>
      <c r="R1138" s="3">
        <f t="shared" ref="R1138:R1140" si="664">Q1138*3200</f>
        <v>3392000</v>
      </c>
      <c r="S1138" s="3">
        <v>300000</v>
      </c>
      <c r="T1138" s="3">
        <v>0</v>
      </c>
      <c r="U1138" s="3">
        <v>200000</v>
      </c>
    </row>
    <row r="1139" spans="1:22" ht="24.95" customHeight="1" x14ac:dyDescent="0.25">
      <c r="A1139" s="36" t="s">
        <v>1517</v>
      </c>
      <c r="B1139" s="8" t="s">
        <v>1011</v>
      </c>
      <c r="C1139" s="2">
        <f t="shared" si="654"/>
        <v>9332000</v>
      </c>
      <c r="D1139" s="3">
        <f t="shared" ref="D1139:D1140" si="665">SUM(E1139:J1139)</f>
        <v>0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11">
        <v>0</v>
      </c>
      <c r="L1139" s="5">
        <v>0</v>
      </c>
      <c r="M1139" s="5">
        <v>900</v>
      </c>
      <c r="N1139" s="3">
        <f>M1139*6600</f>
        <v>5940000</v>
      </c>
      <c r="O1139" s="5">
        <v>0</v>
      </c>
      <c r="P1139" s="5">
        <v>0</v>
      </c>
      <c r="Q1139" s="5">
        <v>1060</v>
      </c>
      <c r="R1139" s="3">
        <f t="shared" si="664"/>
        <v>3392000</v>
      </c>
      <c r="S1139" s="5">
        <v>0</v>
      </c>
      <c r="T1139" s="5">
        <v>0</v>
      </c>
      <c r="U1139" s="5">
        <v>0</v>
      </c>
      <c r="V1139" s="6">
        <f t="shared" ref="V1139:V1140" si="666">N1139/M1139</f>
        <v>6600</v>
      </c>
    </row>
    <row r="1140" spans="1:22" ht="24.95" customHeight="1" x14ac:dyDescent="0.25">
      <c r="A1140" s="36" t="s">
        <v>1518</v>
      </c>
      <c r="B1140" s="8" t="s">
        <v>327</v>
      </c>
      <c r="C1140" s="2">
        <f t="shared" si="654"/>
        <v>1815000</v>
      </c>
      <c r="D1140" s="3">
        <f t="shared" si="665"/>
        <v>0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0</v>
      </c>
      <c r="K1140" s="4">
        <v>0</v>
      </c>
      <c r="L1140" s="3">
        <v>0</v>
      </c>
      <c r="M1140" s="3">
        <v>275</v>
      </c>
      <c r="N1140" s="3">
        <f>M1140*6600</f>
        <v>1815000</v>
      </c>
      <c r="O1140" s="3">
        <v>0</v>
      </c>
      <c r="P1140" s="3">
        <v>0</v>
      </c>
      <c r="Q1140" s="3">
        <v>0</v>
      </c>
      <c r="R1140" s="3">
        <f t="shared" si="664"/>
        <v>0</v>
      </c>
      <c r="S1140" s="3">
        <v>0</v>
      </c>
      <c r="T1140" s="3">
        <v>0</v>
      </c>
      <c r="U1140" s="3">
        <v>0</v>
      </c>
      <c r="V1140" s="6">
        <f t="shared" si="666"/>
        <v>6600</v>
      </c>
    </row>
    <row r="1141" spans="1:22" ht="45" customHeight="1" x14ac:dyDescent="0.25">
      <c r="A1141" s="54" t="s">
        <v>328</v>
      </c>
      <c r="B1141" s="54"/>
      <c r="C1141" s="2">
        <f>SUM(C1142)</f>
        <v>4964000</v>
      </c>
      <c r="D1141" s="2">
        <f t="shared" ref="D1141:U1141" si="667">SUM(D1142)</f>
        <v>0</v>
      </c>
      <c r="E1141" s="2">
        <f t="shared" si="667"/>
        <v>0</v>
      </c>
      <c r="F1141" s="2">
        <f t="shared" si="667"/>
        <v>0</v>
      </c>
      <c r="G1141" s="2">
        <f t="shared" si="667"/>
        <v>0</v>
      </c>
      <c r="H1141" s="2">
        <f t="shared" si="667"/>
        <v>0</v>
      </c>
      <c r="I1141" s="2">
        <f t="shared" si="667"/>
        <v>0</v>
      </c>
      <c r="J1141" s="2">
        <f t="shared" si="667"/>
        <v>0</v>
      </c>
      <c r="K1141" s="14">
        <f t="shared" si="667"/>
        <v>0</v>
      </c>
      <c r="L1141" s="2">
        <f t="shared" si="667"/>
        <v>0</v>
      </c>
      <c r="M1141" s="2">
        <f t="shared" si="667"/>
        <v>500</v>
      </c>
      <c r="N1141" s="2">
        <f t="shared" si="667"/>
        <v>3300000</v>
      </c>
      <c r="O1141" s="2">
        <f t="shared" si="667"/>
        <v>0</v>
      </c>
      <c r="P1141" s="2">
        <f t="shared" si="667"/>
        <v>0</v>
      </c>
      <c r="Q1141" s="2">
        <f t="shared" si="667"/>
        <v>520</v>
      </c>
      <c r="R1141" s="2">
        <f t="shared" si="667"/>
        <v>1664000</v>
      </c>
      <c r="S1141" s="2">
        <f t="shared" si="667"/>
        <v>0</v>
      </c>
      <c r="T1141" s="2">
        <f t="shared" si="667"/>
        <v>0</v>
      </c>
      <c r="U1141" s="2">
        <f t="shared" si="667"/>
        <v>0</v>
      </c>
    </row>
    <row r="1142" spans="1:22" ht="21.95" customHeight="1" x14ac:dyDescent="0.25">
      <c r="A1142" s="37" t="s">
        <v>1519</v>
      </c>
      <c r="B1142" s="1" t="s">
        <v>329</v>
      </c>
      <c r="C1142" s="2">
        <f t="shared" ref="C1142" si="668">D1142+L1142+N1142+P1142+R1142+S1142+T1142+U1142</f>
        <v>4964000</v>
      </c>
      <c r="D1142" s="3">
        <f t="shared" ref="D1142" si="669">SUM(E1142:J1142)</f>
        <v>0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4">
        <v>0</v>
      </c>
      <c r="L1142" s="3">
        <v>0</v>
      </c>
      <c r="M1142" s="3">
        <v>500</v>
      </c>
      <c r="N1142" s="3">
        <f>M1142*6600</f>
        <v>3300000</v>
      </c>
      <c r="O1142" s="3">
        <v>0</v>
      </c>
      <c r="P1142" s="3">
        <v>0</v>
      </c>
      <c r="Q1142" s="3">
        <v>520</v>
      </c>
      <c r="R1142" s="3">
        <f>Q1142*3200</f>
        <v>1664000</v>
      </c>
      <c r="S1142" s="3">
        <v>0</v>
      </c>
      <c r="T1142" s="3">
        <v>0</v>
      </c>
      <c r="U1142" s="3">
        <v>0</v>
      </c>
      <c r="V1142" s="6">
        <f t="shared" ref="V1142" si="670">N1142/M1142</f>
        <v>6600</v>
      </c>
    </row>
    <row r="1143" spans="1:22" ht="42.95" customHeight="1" x14ac:dyDescent="0.25">
      <c r="A1143" s="54" t="s">
        <v>331</v>
      </c>
      <c r="B1143" s="54"/>
      <c r="C1143" s="2">
        <f>SUM(C1144)</f>
        <v>2689240</v>
      </c>
      <c r="D1143" s="2">
        <f t="shared" ref="D1143:U1143" si="671">SUM(D1144)</f>
        <v>669240</v>
      </c>
      <c r="E1143" s="2">
        <f t="shared" si="671"/>
        <v>360359.99999999994</v>
      </c>
      <c r="F1143" s="2">
        <f t="shared" si="671"/>
        <v>0</v>
      </c>
      <c r="G1143" s="2">
        <f t="shared" si="671"/>
        <v>154440</v>
      </c>
      <c r="H1143" s="2">
        <f t="shared" si="671"/>
        <v>0</v>
      </c>
      <c r="I1143" s="2">
        <f t="shared" si="671"/>
        <v>154440</v>
      </c>
      <c r="J1143" s="2">
        <f t="shared" si="671"/>
        <v>0</v>
      </c>
      <c r="K1143" s="14">
        <f t="shared" si="671"/>
        <v>0</v>
      </c>
      <c r="L1143" s="2">
        <f t="shared" si="671"/>
        <v>0</v>
      </c>
      <c r="M1143" s="2">
        <f t="shared" si="671"/>
        <v>0</v>
      </c>
      <c r="N1143" s="2">
        <f t="shared" si="671"/>
        <v>0</v>
      </c>
      <c r="O1143" s="2">
        <f t="shared" si="671"/>
        <v>0</v>
      </c>
      <c r="P1143" s="2">
        <f t="shared" si="671"/>
        <v>0</v>
      </c>
      <c r="Q1143" s="2">
        <f t="shared" si="671"/>
        <v>600</v>
      </c>
      <c r="R1143" s="2">
        <f t="shared" si="671"/>
        <v>1920000</v>
      </c>
      <c r="S1143" s="2">
        <f t="shared" si="671"/>
        <v>0</v>
      </c>
      <c r="T1143" s="2">
        <f t="shared" si="671"/>
        <v>0</v>
      </c>
      <c r="U1143" s="2">
        <f t="shared" si="671"/>
        <v>100000</v>
      </c>
    </row>
    <row r="1144" spans="1:22" ht="23.1" customHeight="1" x14ac:dyDescent="0.25">
      <c r="A1144" s="36" t="s">
        <v>1520</v>
      </c>
      <c r="B1144" s="8" t="s">
        <v>1210</v>
      </c>
      <c r="C1144" s="2">
        <f t="shared" si="654"/>
        <v>2689240</v>
      </c>
      <c r="D1144" s="3">
        <f t="shared" ref="D1144" si="672">SUM(E1144:J1144)</f>
        <v>669240</v>
      </c>
      <c r="E1144" s="3">
        <f>700*514.8</f>
        <v>360359.99999999994</v>
      </c>
      <c r="F1144" s="3">
        <v>0</v>
      </c>
      <c r="G1144" s="3">
        <f>300*514.8</f>
        <v>154440</v>
      </c>
      <c r="H1144" s="3">
        <v>0</v>
      </c>
      <c r="I1144" s="3">
        <f>300*514.8</f>
        <v>154440</v>
      </c>
      <c r="J1144" s="3">
        <v>0</v>
      </c>
      <c r="K1144" s="11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600</v>
      </c>
      <c r="R1144" s="3">
        <f>Q1144*3200</f>
        <v>1920000</v>
      </c>
      <c r="S1144" s="5">
        <v>0</v>
      </c>
      <c r="T1144" s="5">
        <v>0</v>
      </c>
      <c r="U1144" s="5">
        <v>100000</v>
      </c>
      <c r="V1144" s="6" t="e">
        <f t="shared" ref="V1144" si="673">N1144/M1144</f>
        <v>#DIV/0!</v>
      </c>
    </row>
    <row r="1145" spans="1:22" ht="45" customHeight="1" x14ac:dyDescent="0.25">
      <c r="A1145" s="54" t="s">
        <v>1281</v>
      </c>
      <c r="B1145" s="54"/>
      <c r="C1145" s="2">
        <f>SUM(C1146:C1158)</f>
        <v>147333960</v>
      </c>
      <c r="D1145" s="2">
        <f t="shared" ref="D1145:U1145" si="674">SUM(D1147:D1158)</f>
        <v>37461800</v>
      </c>
      <c r="E1145" s="2">
        <f t="shared" si="674"/>
        <v>10013360</v>
      </c>
      <c r="F1145" s="2">
        <f t="shared" si="674"/>
        <v>18596240</v>
      </c>
      <c r="G1145" s="2">
        <f t="shared" si="674"/>
        <v>4291440</v>
      </c>
      <c r="H1145" s="2">
        <f t="shared" si="674"/>
        <v>269320</v>
      </c>
      <c r="I1145" s="2">
        <f t="shared" si="674"/>
        <v>4291440</v>
      </c>
      <c r="J1145" s="2">
        <f t="shared" si="674"/>
        <v>0</v>
      </c>
      <c r="K1145" s="14">
        <f t="shared" si="674"/>
        <v>0</v>
      </c>
      <c r="L1145" s="2">
        <f>SUM(L1147:L1158)</f>
        <v>0</v>
      </c>
      <c r="M1145" s="2">
        <f t="shared" si="674"/>
        <v>7026.6</v>
      </c>
      <c r="N1145" s="2">
        <f t="shared" si="674"/>
        <v>46375560</v>
      </c>
      <c r="O1145" s="2">
        <f t="shared" si="674"/>
        <v>382</v>
      </c>
      <c r="P1145" s="2">
        <f t="shared" si="674"/>
        <v>458400</v>
      </c>
      <c r="Q1145" s="2">
        <f t="shared" si="674"/>
        <v>12292.7</v>
      </c>
      <c r="R1145" s="2">
        <f t="shared" si="674"/>
        <v>39336640</v>
      </c>
      <c r="S1145" s="2">
        <f t="shared" si="674"/>
        <v>0</v>
      </c>
      <c r="T1145" s="2">
        <f t="shared" si="674"/>
        <v>0</v>
      </c>
      <c r="U1145" s="2">
        <f t="shared" si="674"/>
        <v>1200000</v>
      </c>
    </row>
    <row r="1146" spans="1:22" ht="21.95" customHeight="1" x14ac:dyDescent="0.25">
      <c r="A1146" s="37" t="s">
        <v>1521</v>
      </c>
      <c r="B1146" s="8" t="s">
        <v>351</v>
      </c>
      <c r="C1146" s="2">
        <f t="shared" ref="C1146" si="675">D1146+L1146+N1146+P1146+R1146+S1146+T1146+U1146</f>
        <v>22501560</v>
      </c>
      <c r="D1146" s="3">
        <f t="shared" ref="D1146" si="676">SUM(E1146:J1146)</f>
        <v>0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4">
        <v>0</v>
      </c>
      <c r="L1146" s="3">
        <v>0</v>
      </c>
      <c r="M1146" s="3">
        <v>1706.2</v>
      </c>
      <c r="N1146" s="3">
        <f t="shared" ref="N1146:N1152" si="677">M1146*6600</f>
        <v>11260920</v>
      </c>
      <c r="O1146" s="3">
        <v>0</v>
      </c>
      <c r="P1146" s="3">
        <v>0</v>
      </c>
      <c r="Q1146" s="3">
        <v>3450.2</v>
      </c>
      <c r="R1146" s="3">
        <f t="shared" ref="R1146:R1158" si="678">Q1146*3200</f>
        <v>11040640</v>
      </c>
      <c r="S1146" s="3">
        <v>0</v>
      </c>
      <c r="T1146" s="3">
        <v>0</v>
      </c>
      <c r="U1146" s="3">
        <v>200000</v>
      </c>
      <c r="V1146" s="6">
        <f t="shared" ref="V1146" si="679">N1146/M1146</f>
        <v>6600</v>
      </c>
    </row>
    <row r="1147" spans="1:22" ht="21.95" customHeight="1" x14ac:dyDescent="0.25">
      <c r="A1147" s="37" t="s">
        <v>1522</v>
      </c>
      <c r="B1147" s="8" t="s">
        <v>362</v>
      </c>
      <c r="C1147" s="2">
        <f>D1147+L1147+N1147+P1147+R1147+S1147+T1147+U1147</f>
        <v>17011780</v>
      </c>
      <c r="D1147" s="3">
        <f>SUM(E1147:J1147)</f>
        <v>5708040</v>
      </c>
      <c r="E1147" s="3">
        <f>700*2195.4</f>
        <v>1536780</v>
      </c>
      <c r="F1147" s="3">
        <f>1300*2195.4</f>
        <v>2854020</v>
      </c>
      <c r="G1147" s="3">
        <f>300*2195.4</f>
        <v>658620</v>
      </c>
      <c r="H1147" s="3">
        <v>0</v>
      </c>
      <c r="I1147" s="3">
        <f>300*2195.4</f>
        <v>658620</v>
      </c>
      <c r="J1147" s="3">
        <v>0</v>
      </c>
      <c r="K1147" s="4">
        <v>0</v>
      </c>
      <c r="L1147" s="3">
        <v>0</v>
      </c>
      <c r="M1147" s="3">
        <v>901.9</v>
      </c>
      <c r="N1147" s="3">
        <f t="shared" si="677"/>
        <v>5952540</v>
      </c>
      <c r="O1147" s="3">
        <v>0</v>
      </c>
      <c r="P1147" s="3">
        <v>0</v>
      </c>
      <c r="Q1147" s="3">
        <v>1641</v>
      </c>
      <c r="R1147" s="3">
        <f t="shared" si="678"/>
        <v>5251200</v>
      </c>
      <c r="S1147" s="3">
        <v>0</v>
      </c>
      <c r="T1147" s="3">
        <v>0</v>
      </c>
      <c r="U1147" s="3">
        <v>100000</v>
      </c>
      <c r="V1147" s="6">
        <f>N1147/M1147</f>
        <v>6600</v>
      </c>
    </row>
    <row r="1148" spans="1:22" ht="21.95" customHeight="1" x14ac:dyDescent="0.25">
      <c r="A1148" s="37" t="s">
        <v>1523</v>
      </c>
      <c r="B1148" s="8" t="s">
        <v>363</v>
      </c>
      <c r="C1148" s="2">
        <f>D1148+L1148+N1148+P1148+R1148+S1148+T1148+U1148</f>
        <v>16793720</v>
      </c>
      <c r="D1148" s="3">
        <f>SUM(E1148:J1148)</f>
        <v>5553340</v>
      </c>
      <c r="E1148" s="3">
        <f>700*2135.9</f>
        <v>1495130</v>
      </c>
      <c r="F1148" s="3">
        <f>1300*2135.9</f>
        <v>2776670</v>
      </c>
      <c r="G1148" s="3">
        <f>300*2135.9</f>
        <v>640770</v>
      </c>
      <c r="H1148" s="3">
        <v>0</v>
      </c>
      <c r="I1148" s="3">
        <f>300*2135.9</f>
        <v>640770</v>
      </c>
      <c r="J1148" s="3">
        <v>0</v>
      </c>
      <c r="K1148" s="4">
        <v>0</v>
      </c>
      <c r="L1148" s="3">
        <v>0</v>
      </c>
      <c r="M1148" s="3">
        <v>892.3</v>
      </c>
      <c r="N1148" s="3">
        <f t="shared" si="677"/>
        <v>5889180</v>
      </c>
      <c r="O1148" s="3">
        <v>0</v>
      </c>
      <c r="P1148" s="3">
        <v>0</v>
      </c>
      <c r="Q1148" s="3">
        <v>1641</v>
      </c>
      <c r="R1148" s="3">
        <f t="shared" si="678"/>
        <v>5251200</v>
      </c>
      <c r="S1148" s="3">
        <v>0</v>
      </c>
      <c r="T1148" s="3">
        <v>0</v>
      </c>
      <c r="U1148" s="3">
        <v>100000</v>
      </c>
      <c r="V1148" s="6">
        <f>N1148/M1148</f>
        <v>6600</v>
      </c>
    </row>
    <row r="1149" spans="1:22" ht="21.95" customHeight="1" x14ac:dyDescent="0.25">
      <c r="A1149" s="37" t="s">
        <v>1524</v>
      </c>
      <c r="B1149" s="8" t="s">
        <v>364</v>
      </c>
      <c r="C1149" s="2">
        <f>D1149+L1149+N1149+P1149+R1149+S1149+T1149+U1149</f>
        <v>16275140</v>
      </c>
      <c r="D1149" s="3">
        <f>SUM(E1149:J1149)</f>
        <v>5568680.0000000009</v>
      </c>
      <c r="E1149" s="3">
        <f>700*2141.8</f>
        <v>1499260.0000000002</v>
      </c>
      <c r="F1149" s="3">
        <f>1300*2141.8</f>
        <v>2784340.0000000005</v>
      </c>
      <c r="G1149" s="3">
        <f>300*2141.8</f>
        <v>642540</v>
      </c>
      <c r="H1149" s="3">
        <v>0</v>
      </c>
      <c r="I1149" s="3">
        <f>300*2141.8</f>
        <v>642540</v>
      </c>
      <c r="J1149" s="3">
        <v>0</v>
      </c>
      <c r="K1149" s="4">
        <v>0</v>
      </c>
      <c r="L1149" s="3">
        <v>0</v>
      </c>
      <c r="M1149" s="3">
        <v>811.5</v>
      </c>
      <c r="N1149" s="3">
        <f t="shared" si="677"/>
        <v>5355900</v>
      </c>
      <c r="O1149" s="3">
        <v>0</v>
      </c>
      <c r="P1149" s="3">
        <v>0</v>
      </c>
      <c r="Q1149" s="3">
        <v>1640.8</v>
      </c>
      <c r="R1149" s="3">
        <f t="shared" si="678"/>
        <v>5250560</v>
      </c>
      <c r="S1149" s="3">
        <v>0</v>
      </c>
      <c r="T1149" s="3">
        <v>0</v>
      </c>
      <c r="U1149" s="3">
        <v>100000</v>
      </c>
      <c r="V1149" s="6">
        <f>N1149/M1149</f>
        <v>6600</v>
      </c>
    </row>
    <row r="1150" spans="1:22" ht="21.95" customHeight="1" x14ac:dyDescent="0.25">
      <c r="A1150" s="37" t="s">
        <v>1525</v>
      </c>
      <c r="B1150" s="8" t="s">
        <v>358</v>
      </c>
      <c r="C1150" s="2">
        <f t="shared" si="654"/>
        <v>6042660</v>
      </c>
      <c r="D1150" s="3">
        <f t="shared" ref="D1150:D1158" si="680">SUM(E1150:J1150)</f>
        <v>2019899.9999999998</v>
      </c>
      <c r="E1150" s="3">
        <f>700*673.3</f>
        <v>471309.99999999994</v>
      </c>
      <c r="F1150" s="3">
        <f>1300*673.3</f>
        <v>875289.99999999988</v>
      </c>
      <c r="G1150" s="3">
        <f>300*673.3</f>
        <v>201990</v>
      </c>
      <c r="H1150" s="3">
        <f>400*673.3</f>
        <v>269320</v>
      </c>
      <c r="I1150" s="3">
        <f>300*673.3</f>
        <v>201990</v>
      </c>
      <c r="J1150" s="3">
        <v>0</v>
      </c>
      <c r="K1150" s="4">
        <v>0</v>
      </c>
      <c r="L1150" s="3">
        <v>0</v>
      </c>
      <c r="M1150" s="3">
        <v>378.6</v>
      </c>
      <c r="N1150" s="3">
        <f t="shared" si="677"/>
        <v>2498760</v>
      </c>
      <c r="O1150" s="3">
        <v>0</v>
      </c>
      <c r="P1150" s="3">
        <v>0</v>
      </c>
      <c r="Q1150" s="3">
        <v>445</v>
      </c>
      <c r="R1150" s="3">
        <f t="shared" si="678"/>
        <v>1424000</v>
      </c>
      <c r="S1150" s="3">
        <v>0</v>
      </c>
      <c r="T1150" s="3">
        <v>0</v>
      </c>
      <c r="U1150" s="3">
        <v>100000</v>
      </c>
      <c r="V1150" s="6">
        <f t="shared" ref="V1150:V1158" si="681">N1150/M1150</f>
        <v>6600</v>
      </c>
    </row>
    <row r="1151" spans="1:22" ht="21.95" customHeight="1" x14ac:dyDescent="0.25">
      <c r="A1151" s="37" t="s">
        <v>1526</v>
      </c>
      <c r="B1151" s="8" t="s">
        <v>359</v>
      </c>
      <c r="C1151" s="2">
        <f t="shared" si="654"/>
        <v>13571160</v>
      </c>
      <c r="D1151" s="3">
        <f t="shared" si="680"/>
        <v>4856540</v>
      </c>
      <c r="E1151" s="3">
        <f>700*1867.9</f>
        <v>1307530</v>
      </c>
      <c r="F1151" s="3">
        <f>1300*1867.9</f>
        <v>2428270</v>
      </c>
      <c r="G1151" s="3">
        <f>300*1867.9</f>
        <v>560370</v>
      </c>
      <c r="H1151" s="3">
        <v>0</v>
      </c>
      <c r="I1151" s="3">
        <f>300*1867.9</f>
        <v>560370</v>
      </c>
      <c r="J1151" s="3">
        <v>0</v>
      </c>
      <c r="K1151" s="4">
        <v>0</v>
      </c>
      <c r="L1151" s="3">
        <v>0</v>
      </c>
      <c r="M1151" s="3">
        <v>794.7</v>
      </c>
      <c r="N1151" s="3">
        <f t="shared" si="677"/>
        <v>5245020</v>
      </c>
      <c r="O1151" s="3">
        <v>0</v>
      </c>
      <c r="P1151" s="3">
        <v>0</v>
      </c>
      <c r="Q1151" s="3">
        <v>1053</v>
      </c>
      <c r="R1151" s="3">
        <f t="shared" si="678"/>
        <v>3369600</v>
      </c>
      <c r="S1151" s="3">
        <v>0</v>
      </c>
      <c r="T1151" s="3">
        <v>0</v>
      </c>
      <c r="U1151" s="3">
        <v>100000</v>
      </c>
      <c r="V1151" s="6">
        <f t="shared" si="681"/>
        <v>6600</v>
      </c>
    </row>
    <row r="1152" spans="1:22" ht="21.95" customHeight="1" x14ac:dyDescent="0.25">
      <c r="A1152" s="37" t="s">
        <v>1527</v>
      </c>
      <c r="B1152" s="8" t="s">
        <v>360</v>
      </c>
      <c r="C1152" s="2">
        <f t="shared" si="654"/>
        <v>10020760</v>
      </c>
      <c r="D1152" s="3">
        <f t="shared" si="680"/>
        <v>2394080</v>
      </c>
      <c r="E1152" s="3">
        <f>700*920.8</f>
        <v>644560</v>
      </c>
      <c r="F1152" s="3">
        <f>1300*920.8</f>
        <v>1197040</v>
      </c>
      <c r="G1152" s="3">
        <f>300*920.8</f>
        <v>276240</v>
      </c>
      <c r="H1152" s="3">
        <v>0</v>
      </c>
      <c r="I1152" s="3">
        <f>300*920.8</f>
        <v>276240</v>
      </c>
      <c r="J1152" s="3">
        <v>0</v>
      </c>
      <c r="K1152" s="4">
        <v>0</v>
      </c>
      <c r="L1152" s="3">
        <v>0</v>
      </c>
      <c r="M1152" s="3">
        <v>759.8</v>
      </c>
      <c r="N1152" s="3">
        <f t="shared" si="677"/>
        <v>5014680</v>
      </c>
      <c r="O1152" s="3">
        <v>0</v>
      </c>
      <c r="P1152" s="3">
        <v>0</v>
      </c>
      <c r="Q1152" s="3">
        <v>785</v>
      </c>
      <c r="R1152" s="3">
        <f t="shared" si="678"/>
        <v>2512000</v>
      </c>
      <c r="S1152" s="3">
        <v>0</v>
      </c>
      <c r="T1152" s="3">
        <v>0</v>
      </c>
      <c r="U1152" s="3">
        <v>100000</v>
      </c>
      <c r="V1152" s="6">
        <f t="shared" si="681"/>
        <v>6600</v>
      </c>
    </row>
    <row r="1153" spans="1:22" ht="21.95" customHeight="1" x14ac:dyDescent="0.25">
      <c r="A1153" s="37" t="s">
        <v>1989</v>
      </c>
      <c r="B1153" s="8" t="s">
        <v>361</v>
      </c>
      <c r="C1153" s="2">
        <f t="shared" si="654"/>
        <v>6074640</v>
      </c>
      <c r="D1153" s="3">
        <f t="shared" si="680"/>
        <v>2476240</v>
      </c>
      <c r="E1153" s="3">
        <f>700*952.4</f>
        <v>666680</v>
      </c>
      <c r="F1153" s="3">
        <f>1300*952.4</f>
        <v>1238120</v>
      </c>
      <c r="G1153" s="3">
        <f>300*952.4</f>
        <v>285720</v>
      </c>
      <c r="H1153" s="3">
        <v>0</v>
      </c>
      <c r="I1153" s="3">
        <f>300*952.4</f>
        <v>285720</v>
      </c>
      <c r="J1153" s="3">
        <v>0</v>
      </c>
      <c r="K1153" s="4">
        <v>0</v>
      </c>
      <c r="L1153" s="3">
        <v>0</v>
      </c>
      <c r="M1153" s="3">
        <v>0</v>
      </c>
      <c r="N1153" s="3">
        <v>0</v>
      </c>
      <c r="O1153" s="3">
        <v>382</v>
      </c>
      <c r="P1153" s="3">
        <f>O1153*1200</f>
        <v>458400</v>
      </c>
      <c r="Q1153" s="3">
        <v>950</v>
      </c>
      <c r="R1153" s="3">
        <f t="shared" si="678"/>
        <v>3040000</v>
      </c>
      <c r="S1153" s="3">
        <v>0</v>
      </c>
      <c r="T1153" s="3">
        <v>0</v>
      </c>
      <c r="U1153" s="3">
        <v>100000</v>
      </c>
      <c r="V1153" s="6" t="e">
        <f t="shared" si="681"/>
        <v>#DIV/0!</v>
      </c>
    </row>
    <row r="1154" spans="1:22" ht="21.95" customHeight="1" x14ac:dyDescent="0.25">
      <c r="A1154" s="37" t="s">
        <v>1990</v>
      </c>
      <c r="B1154" s="8" t="s">
        <v>365</v>
      </c>
      <c r="C1154" s="2">
        <f t="shared" si="654"/>
        <v>9204460</v>
      </c>
      <c r="D1154" s="3">
        <f t="shared" si="680"/>
        <v>1719120.0000000002</v>
      </c>
      <c r="E1154" s="3">
        <f>700*661.2</f>
        <v>462840.00000000006</v>
      </c>
      <c r="F1154" s="3">
        <f>1300*661.2</f>
        <v>859560.00000000012</v>
      </c>
      <c r="G1154" s="3">
        <f>300*661.2</f>
        <v>198360</v>
      </c>
      <c r="H1154" s="3">
        <v>0</v>
      </c>
      <c r="I1154" s="3">
        <f>300*661.2</f>
        <v>198360</v>
      </c>
      <c r="J1154" s="3">
        <v>0</v>
      </c>
      <c r="K1154" s="4">
        <v>0</v>
      </c>
      <c r="L1154" s="3">
        <v>0</v>
      </c>
      <c r="M1154" s="3">
        <v>560.29999999999995</v>
      </c>
      <c r="N1154" s="3">
        <f>M1154*6600</f>
        <v>3697979.9999999995</v>
      </c>
      <c r="O1154" s="3">
        <v>0</v>
      </c>
      <c r="P1154" s="3">
        <v>0</v>
      </c>
      <c r="Q1154" s="3">
        <v>1152.3</v>
      </c>
      <c r="R1154" s="3">
        <f t="shared" si="678"/>
        <v>3687360</v>
      </c>
      <c r="S1154" s="3">
        <v>0</v>
      </c>
      <c r="T1154" s="3">
        <v>0</v>
      </c>
      <c r="U1154" s="3">
        <v>100000</v>
      </c>
      <c r="V1154" s="6">
        <f t="shared" si="681"/>
        <v>6600</v>
      </c>
    </row>
    <row r="1155" spans="1:22" ht="21.95" customHeight="1" x14ac:dyDescent="0.25">
      <c r="A1155" s="37" t="s">
        <v>1991</v>
      </c>
      <c r="B1155" s="8" t="s">
        <v>366</v>
      </c>
      <c r="C1155" s="2">
        <f t="shared" si="654"/>
        <v>9454040</v>
      </c>
      <c r="D1155" s="3">
        <f t="shared" si="680"/>
        <v>1916720.0000000002</v>
      </c>
      <c r="E1155" s="3">
        <f>700*737.2</f>
        <v>516040.00000000006</v>
      </c>
      <c r="F1155" s="3">
        <f>1300*737.2</f>
        <v>958360.00000000012</v>
      </c>
      <c r="G1155" s="3">
        <f>300*737.2</f>
        <v>221160</v>
      </c>
      <c r="H1155" s="3">
        <v>0</v>
      </c>
      <c r="I1155" s="3">
        <f>300*737.2</f>
        <v>221160</v>
      </c>
      <c r="J1155" s="3">
        <v>0</v>
      </c>
      <c r="K1155" s="4">
        <v>0</v>
      </c>
      <c r="L1155" s="3">
        <v>0</v>
      </c>
      <c r="M1155" s="3">
        <v>569</v>
      </c>
      <c r="N1155" s="3">
        <f>M1155*6600</f>
        <v>3755400</v>
      </c>
      <c r="O1155" s="3">
        <v>0</v>
      </c>
      <c r="P1155" s="3">
        <v>0</v>
      </c>
      <c r="Q1155" s="3">
        <v>1150.5999999999999</v>
      </c>
      <c r="R1155" s="3">
        <f t="shared" si="678"/>
        <v>3681919.9999999995</v>
      </c>
      <c r="S1155" s="3">
        <v>0</v>
      </c>
      <c r="T1155" s="3">
        <v>0</v>
      </c>
      <c r="U1155" s="3">
        <v>100000</v>
      </c>
      <c r="V1155" s="6">
        <f t="shared" si="681"/>
        <v>6600</v>
      </c>
    </row>
    <row r="1156" spans="1:22" ht="21.95" customHeight="1" x14ac:dyDescent="0.25">
      <c r="A1156" s="37" t="s">
        <v>1992</v>
      </c>
      <c r="B1156" s="8" t="s">
        <v>367</v>
      </c>
      <c r="C1156" s="2">
        <f t="shared" si="654"/>
        <v>7863800</v>
      </c>
      <c r="D1156" s="3">
        <f t="shared" si="680"/>
        <v>1902420.0000000002</v>
      </c>
      <c r="E1156" s="3">
        <f>700*731.7</f>
        <v>512190.00000000006</v>
      </c>
      <c r="F1156" s="3">
        <f>1300*731.7</f>
        <v>951210.00000000012</v>
      </c>
      <c r="G1156" s="3">
        <f>300*731.7</f>
        <v>219510</v>
      </c>
      <c r="H1156" s="3">
        <v>0</v>
      </c>
      <c r="I1156" s="3">
        <f>300*731.7</f>
        <v>219510</v>
      </c>
      <c r="J1156" s="3">
        <v>0</v>
      </c>
      <c r="K1156" s="4">
        <v>0</v>
      </c>
      <c r="L1156" s="3">
        <v>0</v>
      </c>
      <c r="M1156" s="3">
        <v>561.29999999999995</v>
      </c>
      <c r="N1156" s="3">
        <f>M1156*6600</f>
        <v>3704579.9999999995</v>
      </c>
      <c r="O1156" s="3">
        <v>0</v>
      </c>
      <c r="P1156" s="3">
        <v>0</v>
      </c>
      <c r="Q1156" s="3">
        <v>674</v>
      </c>
      <c r="R1156" s="3">
        <f t="shared" si="678"/>
        <v>2156800</v>
      </c>
      <c r="S1156" s="3">
        <v>0</v>
      </c>
      <c r="T1156" s="3">
        <v>0</v>
      </c>
      <c r="U1156" s="3">
        <v>100000</v>
      </c>
      <c r="V1156" s="6">
        <f t="shared" si="681"/>
        <v>6600</v>
      </c>
    </row>
    <row r="1157" spans="1:22" ht="21.95" customHeight="1" x14ac:dyDescent="0.25">
      <c r="A1157" s="37" t="s">
        <v>1993</v>
      </c>
      <c r="B1157" s="8" t="s">
        <v>368</v>
      </c>
      <c r="C1157" s="2">
        <f t="shared" si="654"/>
        <v>8215400</v>
      </c>
      <c r="D1157" s="3">
        <f t="shared" si="680"/>
        <v>2245880</v>
      </c>
      <c r="E1157" s="3">
        <f>700*863.8</f>
        <v>604660</v>
      </c>
      <c r="F1157" s="3">
        <f>1300*863.8</f>
        <v>1122940</v>
      </c>
      <c r="G1157" s="3">
        <f>300*863.8</f>
        <v>259140</v>
      </c>
      <c r="H1157" s="3">
        <v>0</v>
      </c>
      <c r="I1157" s="3">
        <f>300*863.8</f>
        <v>259140</v>
      </c>
      <c r="J1157" s="3">
        <v>0</v>
      </c>
      <c r="K1157" s="4">
        <v>0</v>
      </c>
      <c r="L1157" s="3">
        <v>0</v>
      </c>
      <c r="M1157" s="3">
        <v>557.20000000000005</v>
      </c>
      <c r="N1157" s="3">
        <f>M1157*6600</f>
        <v>3677520.0000000005</v>
      </c>
      <c r="O1157" s="3">
        <v>0</v>
      </c>
      <c r="P1157" s="3">
        <v>0</v>
      </c>
      <c r="Q1157" s="3">
        <v>685</v>
      </c>
      <c r="R1157" s="3">
        <f t="shared" si="678"/>
        <v>2192000</v>
      </c>
      <c r="S1157" s="3">
        <v>0</v>
      </c>
      <c r="T1157" s="3">
        <v>0</v>
      </c>
      <c r="U1157" s="3">
        <v>100000</v>
      </c>
      <c r="V1157" s="6">
        <f t="shared" si="681"/>
        <v>6600</v>
      </c>
    </row>
    <row r="1158" spans="1:22" ht="21.95" customHeight="1" x14ac:dyDescent="0.25">
      <c r="A1158" s="37" t="s">
        <v>1994</v>
      </c>
      <c r="B1158" s="8" t="s">
        <v>369</v>
      </c>
      <c r="C1158" s="2">
        <f t="shared" si="654"/>
        <v>4304840</v>
      </c>
      <c r="D1158" s="3">
        <f t="shared" si="680"/>
        <v>1100840</v>
      </c>
      <c r="E1158" s="3">
        <f>700*423.4</f>
        <v>296380</v>
      </c>
      <c r="F1158" s="3">
        <f>1300*423.4</f>
        <v>550420</v>
      </c>
      <c r="G1158" s="3">
        <f>300*423.4</f>
        <v>127020</v>
      </c>
      <c r="H1158" s="3">
        <v>0</v>
      </c>
      <c r="I1158" s="3">
        <f>300*423.4</f>
        <v>127020</v>
      </c>
      <c r="J1158" s="3">
        <v>0</v>
      </c>
      <c r="K1158" s="4">
        <v>0</v>
      </c>
      <c r="L1158" s="3">
        <v>0</v>
      </c>
      <c r="M1158" s="3">
        <v>240</v>
      </c>
      <c r="N1158" s="3">
        <f>M1158*6600</f>
        <v>1584000</v>
      </c>
      <c r="O1158" s="3">
        <v>0</v>
      </c>
      <c r="P1158" s="3">
        <v>0</v>
      </c>
      <c r="Q1158" s="3">
        <v>475</v>
      </c>
      <c r="R1158" s="3">
        <f t="shared" si="678"/>
        <v>1520000</v>
      </c>
      <c r="S1158" s="3">
        <v>0</v>
      </c>
      <c r="T1158" s="3">
        <v>0</v>
      </c>
      <c r="U1158" s="3">
        <v>100000</v>
      </c>
      <c r="V1158" s="6">
        <f t="shared" si="681"/>
        <v>6600</v>
      </c>
    </row>
    <row r="1159" spans="1:22" ht="45" customHeight="1" x14ac:dyDescent="0.25">
      <c r="A1159" s="54" t="s">
        <v>1225</v>
      </c>
      <c r="B1159" s="54"/>
      <c r="C1159" s="2">
        <f>SUM(C1160:C1162)</f>
        <v>5830000</v>
      </c>
      <c r="D1159" s="2">
        <f t="shared" ref="D1159:U1159" si="682">SUM(D1160:D1162)</f>
        <v>0</v>
      </c>
      <c r="E1159" s="2">
        <f t="shared" si="682"/>
        <v>0</v>
      </c>
      <c r="F1159" s="2">
        <f t="shared" si="682"/>
        <v>0</v>
      </c>
      <c r="G1159" s="2">
        <f t="shared" si="682"/>
        <v>0</v>
      </c>
      <c r="H1159" s="2">
        <f t="shared" si="682"/>
        <v>0</v>
      </c>
      <c r="I1159" s="2">
        <f t="shared" si="682"/>
        <v>0</v>
      </c>
      <c r="J1159" s="2">
        <f t="shared" si="682"/>
        <v>0</v>
      </c>
      <c r="K1159" s="14">
        <f t="shared" si="682"/>
        <v>0</v>
      </c>
      <c r="L1159" s="2">
        <f t="shared" si="682"/>
        <v>0</v>
      </c>
      <c r="M1159" s="2">
        <f t="shared" si="682"/>
        <v>600</v>
      </c>
      <c r="N1159" s="2">
        <f t="shared" si="682"/>
        <v>2670000</v>
      </c>
      <c r="O1159" s="2">
        <f t="shared" si="682"/>
        <v>0</v>
      </c>
      <c r="P1159" s="2">
        <f t="shared" si="682"/>
        <v>0</v>
      </c>
      <c r="Q1159" s="2">
        <f t="shared" si="682"/>
        <v>800</v>
      </c>
      <c r="R1159" s="2">
        <f t="shared" si="682"/>
        <v>2560000</v>
      </c>
      <c r="S1159" s="2">
        <f t="shared" si="682"/>
        <v>0</v>
      </c>
      <c r="T1159" s="2">
        <f t="shared" si="682"/>
        <v>0</v>
      </c>
      <c r="U1159" s="2">
        <f t="shared" si="682"/>
        <v>600000</v>
      </c>
      <c r="V1159" s="18">
        <f>C1159</f>
        <v>5830000</v>
      </c>
    </row>
    <row r="1160" spans="1:22" ht="23.25" customHeight="1" x14ac:dyDescent="0.25">
      <c r="A1160" s="36" t="s">
        <v>1995</v>
      </c>
      <c r="B1160" s="8" t="s">
        <v>1291</v>
      </c>
      <c r="C1160" s="2">
        <f t="shared" ref="C1160" si="683">D1160+L1160+N1160+P1160+R1160+S1160+T1160+U1160</f>
        <v>300000</v>
      </c>
      <c r="D1160" s="3">
        <f t="shared" ref="D1160" si="684">SUM(E1160:J1160)</f>
        <v>0</v>
      </c>
      <c r="E1160" s="3">
        <v>0</v>
      </c>
      <c r="F1160" s="3">
        <v>0</v>
      </c>
      <c r="G1160" s="3">
        <v>0</v>
      </c>
      <c r="H1160" s="3">
        <v>0</v>
      </c>
      <c r="I1160" s="3">
        <v>0</v>
      </c>
      <c r="J1160" s="3">
        <v>0</v>
      </c>
      <c r="K1160" s="4">
        <v>0</v>
      </c>
      <c r="L1160" s="3">
        <v>0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f t="shared" ref="R1160:R1162" si="685">Q1160*3200</f>
        <v>0</v>
      </c>
      <c r="S1160" s="3">
        <v>0</v>
      </c>
      <c r="T1160" s="3">
        <v>0</v>
      </c>
      <c r="U1160" s="3">
        <v>300000</v>
      </c>
      <c r="V1160" s="18"/>
    </row>
    <row r="1161" spans="1:22" ht="21.95" customHeight="1" x14ac:dyDescent="0.25">
      <c r="A1161" s="36" t="s">
        <v>1996</v>
      </c>
      <c r="B1161" s="8" t="s">
        <v>1226</v>
      </c>
      <c r="C1161" s="2">
        <f t="shared" ref="C1161" si="686">D1161+L1161+N1161+P1161+R1161+S1161+T1161+U1161</f>
        <v>5230000</v>
      </c>
      <c r="D1161" s="3">
        <f t="shared" ref="D1161" si="687">SUM(E1161:J1161)</f>
        <v>0</v>
      </c>
      <c r="E1161" s="3">
        <v>0</v>
      </c>
      <c r="F1161" s="3">
        <v>0</v>
      </c>
      <c r="G1161" s="3">
        <v>0</v>
      </c>
      <c r="H1161" s="3">
        <v>0</v>
      </c>
      <c r="I1161" s="3">
        <v>0</v>
      </c>
      <c r="J1161" s="3">
        <v>0</v>
      </c>
      <c r="K1161" s="4">
        <v>0</v>
      </c>
      <c r="L1161" s="3">
        <v>0</v>
      </c>
      <c r="M1161" s="3">
        <v>600</v>
      </c>
      <c r="N1161" s="3">
        <f>M1161*4450</f>
        <v>2670000</v>
      </c>
      <c r="O1161" s="3">
        <v>0</v>
      </c>
      <c r="P1161" s="3">
        <v>0</v>
      </c>
      <c r="Q1161" s="3">
        <v>800</v>
      </c>
      <c r="R1161" s="3">
        <f t="shared" si="685"/>
        <v>2560000</v>
      </c>
      <c r="S1161" s="3">
        <v>0</v>
      </c>
      <c r="T1161" s="3">
        <v>0</v>
      </c>
      <c r="U1161" s="3">
        <v>0</v>
      </c>
      <c r="V1161" s="6">
        <f t="shared" ref="V1161" si="688">N1161/M1161</f>
        <v>4450</v>
      </c>
    </row>
    <row r="1162" spans="1:22" ht="21.95" customHeight="1" x14ac:dyDescent="0.25">
      <c r="A1162" s="36" t="s">
        <v>1997</v>
      </c>
      <c r="B1162" s="8" t="s">
        <v>1290</v>
      </c>
      <c r="C1162" s="2">
        <f t="shared" ref="C1162" si="689">D1162+L1162+N1162+P1162+R1162+S1162+T1162+U1162</f>
        <v>300000</v>
      </c>
      <c r="D1162" s="3">
        <f t="shared" ref="D1162" si="690">SUM(E1162:J1162)</f>
        <v>0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4">
        <v>0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f t="shared" si="685"/>
        <v>0</v>
      </c>
      <c r="S1162" s="3">
        <v>0</v>
      </c>
      <c r="T1162" s="3">
        <v>0</v>
      </c>
      <c r="U1162" s="3">
        <v>300000</v>
      </c>
    </row>
    <row r="1163" spans="1:22" ht="45" customHeight="1" x14ac:dyDescent="0.25">
      <c r="A1163" s="54" t="s">
        <v>372</v>
      </c>
      <c r="B1163" s="54"/>
      <c r="C1163" s="2">
        <f t="shared" ref="C1163:U1163" si="691">SUM(C1164:C1164)</f>
        <v>2931440</v>
      </c>
      <c r="D1163" s="2">
        <f t="shared" si="691"/>
        <v>185640</v>
      </c>
      <c r="E1163" s="2">
        <f t="shared" si="691"/>
        <v>185640</v>
      </c>
      <c r="F1163" s="2">
        <f t="shared" si="691"/>
        <v>0</v>
      </c>
      <c r="G1163" s="2">
        <f t="shared" si="691"/>
        <v>0</v>
      </c>
      <c r="H1163" s="2">
        <f t="shared" si="691"/>
        <v>0</v>
      </c>
      <c r="I1163" s="2">
        <f t="shared" si="691"/>
        <v>0</v>
      </c>
      <c r="J1163" s="2">
        <f t="shared" si="691"/>
        <v>0</v>
      </c>
      <c r="K1163" s="14">
        <f t="shared" si="691"/>
        <v>0</v>
      </c>
      <c r="L1163" s="2">
        <f t="shared" si="691"/>
        <v>0</v>
      </c>
      <c r="M1163" s="2">
        <f t="shared" si="691"/>
        <v>245</v>
      </c>
      <c r="N1163" s="2">
        <f t="shared" si="691"/>
        <v>1617000</v>
      </c>
      <c r="O1163" s="2">
        <f t="shared" si="691"/>
        <v>0</v>
      </c>
      <c r="P1163" s="2">
        <f t="shared" si="691"/>
        <v>0</v>
      </c>
      <c r="Q1163" s="2">
        <f t="shared" si="691"/>
        <v>321.5</v>
      </c>
      <c r="R1163" s="2">
        <f t="shared" si="691"/>
        <v>1028800</v>
      </c>
      <c r="S1163" s="2">
        <f t="shared" si="691"/>
        <v>0</v>
      </c>
      <c r="T1163" s="2">
        <f t="shared" si="691"/>
        <v>0</v>
      </c>
      <c r="U1163" s="2">
        <f t="shared" si="691"/>
        <v>100000</v>
      </c>
      <c r="V1163" s="18">
        <f>C1163</f>
        <v>2931440</v>
      </c>
    </row>
    <row r="1164" spans="1:22" ht="21.95" customHeight="1" x14ac:dyDescent="0.25">
      <c r="A1164" s="37" t="s">
        <v>1998</v>
      </c>
      <c r="B1164" s="8" t="s">
        <v>1528</v>
      </c>
      <c r="C1164" s="2">
        <f t="shared" si="654"/>
        <v>2931440</v>
      </c>
      <c r="D1164" s="3">
        <f t="shared" ref="D1164" si="692">SUM(E1164:J1164)</f>
        <v>185640</v>
      </c>
      <c r="E1164" s="3">
        <f>700*265.2</f>
        <v>185640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4">
        <v>0</v>
      </c>
      <c r="L1164" s="3">
        <v>0</v>
      </c>
      <c r="M1164" s="3">
        <v>245</v>
      </c>
      <c r="N1164" s="3">
        <f>M1164*6600</f>
        <v>1617000</v>
      </c>
      <c r="O1164" s="3">
        <v>0</v>
      </c>
      <c r="P1164" s="3">
        <v>0</v>
      </c>
      <c r="Q1164" s="3">
        <v>321.5</v>
      </c>
      <c r="R1164" s="3">
        <f>Q1164*3200</f>
        <v>1028800</v>
      </c>
      <c r="S1164" s="3">
        <v>0</v>
      </c>
      <c r="T1164" s="3">
        <v>0</v>
      </c>
      <c r="U1164" s="3">
        <v>100000</v>
      </c>
      <c r="V1164" s="6">
        <f t="shared" ref="V1164" si="693">N1164/M1164</f>
        <v>6600</v>
      </c>
    </row>
    <row r="1165" spans="1:22" x14ac:dyDescent="0.25">
      <c r="A1165" s="43"/>
      <c r="B1165" s="7"/>
      <c r="C1165" s="25"/>
      <c r="D1165" s="7"/>
      <c r="E1165" s="7"/>
      <c r="F1165" s="7"/>
      <c r="G1165" s="7"/>
      <c r="H1165" s="7"/>
      <c r="I1165" s="7"/>
      <c r="J1165" s="7"/>
      <c r="K1165" s="31"/>
      <c r="L1165" s="7"/>
      <c r="M1165" s="7"/>
      <c r="N1165" s="7"/>
      <c r="O1165" s="25"/>
      <c r="P1165" s="25"/>
      <c r="Q1165" s="25"/>
      <c r="R1165" s="25"/>
      <c r="S1165" s="25"/>
      <c r="T1165" s="25"/>
      <c r="U1165" s="25"/>
    </row>
    <row r="1166" spans="1:22" x14ac:dyDescent="0.25">
      <c r="A1166" s="43"/>
      <c r="B1166" s="7"/>
      <c r="C1166" s="7"/>
      <c r="D1166" s="7"/>
      <c r="E1166" s="7"/>
      <c r="F1166" s="7"/>
      <c r="G1166" s="7"/>
      <c r="H1166" s="7"/>
      <c r="I1166" s="7"/>
      <c r="J1166" s="7"/>
      <c r="K1166" s="31"/>
      <c r="L1166" s="7"/>
      <c r="M1166" s="7"/>
      <c r="N1166" s="7"/>
      <c r="O1166" s="25"/>
      <c r="P1166" s="25"/>
      <c r="Q1166" s="25"/>
      <c r="R1166" s="25"/>
      <c r="S1166" s="25"/>
      <c r="T1166" s="25"/>
      <c r="U1166" s="25"/>
    </row>
  </sheetData>
  <sortState ref="A616:IX625">
    <sortCondition ref="B616:B625"/>
  </sortState>
  <mergeCells count="160">
    <mergeCell ref="A1141:B1141"/>
    <mergeCell ref="S4:S5"/>
    <mergeCell ref="A1163:B1163"/>
    <mergeCell ref="A1145:B1145"/>
    <mergeCell ref="A1127:B1127"/>
    <mergeCell ref="A1130:B1130"/>
    <mergeCell ref="A1114:B1114"/>
    <mergeCell ref="A900:B900"/>
    <mergeCell ref="A903:B903"/>
    <mergeCell ref="A1137:B1137"/>
    <mergeCell ref="A761:B761"/>
    <mergeCell ref="A879:B879"/>
    <mergeCell ref="A866:B866"/>
    <mergeCell ref="A850:B850"/>
    <mergeCell ref="A794:B794"/>
    <mergeCell ref="A874:B874"/>
    <mergeCell ref="A832:B832"/>
    <mergeCell ref="A807:B807"/>
    <mergeCell ref="A790:B790"/>
    <mergeCell ref="A1132:B1132"/>
    <mergeCell ref="A26:B26"/>
    <mergeCell ref="A116:B116"/>
    <mergeCell ref="A1143:B1143"/>
    <mergeCell ref="A1112:B1112"/>
    <mergeCell ref="A815:B815"/>
    <mergeCell ref="A723:B723"/>
    <mergeCell ref="A754:B754"/>
    <mergeCell ref="A1134:B1134"/>
    <mergeCell ref="A848:B848"/>
    <mergeCell ref="A448:B448"/>
    <mergeCell ref="A1108:B1108"/>
    <mergeCell ref="A882:B882"/>
    <mergeCell ref="A897:B897"/>
    <mergeCell ref="A1110:B1110"/>
    <mergeCell ref="A1122:B1122"/>
    <mergeCell ref="A701:B701"/>
    <mergeCell ref="A715:B715"/>
    <mergeCell ref="A731:B731"/>
    <mergeCell ref="A450:B450"/>
    <mergeCell ref="A453:B453"/>
    <mergeCell ref="A785:B785"/>
    <mergeCell ref="A838:B838"/>
    <mergeCell ref="A836:B836"/>
    <mergeCell ref="A825:B825"/>
    <mergeCell ref="A841:B841"/>
    <mergeCell ref="A1116:B1116"/>
    <mergeCell ref="A1125:B1125"/>
    <mergeCell ref="A843:B843"/>
    <mergeCell ref="A800:B800"/>
    <mergeCell ref="A64:B64"/>
    <mergeCell ref="A89:B89"/>
    <mergeCell ref="A322:B322"/>
    <mergeCell ref="A264:B264"/>
    <mergeCell ref="A358:B358"/>
    <mergeCell ref="A120:B120"/>
    <mergeCell ref="A268:B268"/>
    <mergeCell ref="A244:B244"/>
    <mergeCell ref="A251:B251"/>
    <mergeCell ref="A286:B286"/>
    <mergeCell ref="A68:B68"/>
    <mergeCell ref="A758:B758"/>
    <mergeCell ref="A104:B104"/>
    <mergeCell ref="A114:B114"/>
    <mergeCell ref="A237:B237"/>
    <mergeCell ref="A810:B810"/>
    <mergeCell ref="A805:B805"/>
    <mergeCell ref="A787:B787"/>
    <mergeCell ref="A797:B797"/>
    <mergeCell ref="A823:B823"/>
    <mergeCell ref="A262:B262"/>
    <mergeCell ref="A242:B242"/>
    <mergeCell ref="A326:B326"/>
    <mergeCell ref="A340:B340"/>
    <mergeCell ref="A348:B348"/>
    <mergeCell ref="A314:B314"/>
    <mergeCell ref="A255:B255"/>
    <mergeCell ref="A332:B332"/>
    <mergeCell ref="A257:B257"/>
    <mergeCell ref="A285:B285"/>
    <mergeCell ref="A320:B320"/>
    <mergeCell ref="A284:U284"/>
    <mergeCell ref="A328:B328"/>
    <mergeCell ref="A316:B316"/>
    <mergeCell ref="A350:B350"/>
    <mergeCell ref="A365:B365"/>
    <mergeCell ref="A415:B415"/>
    <mergeCell ref="A425:B425"/>
    <mergeCell ref="A363:B363"/>
    <mergeCell ref="A59:B59"/>
    <mergeCell ref="A66:B66"/>
    <mergeCell ref="A86:B86"/>
    <mergeCell ref="A61:B61"/>
    <mergeCell ref="A57:B57"/>
    <mergeCell ref="A53:B53"/>
    <mergeCell ref="A55:B55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8:B8"/>
    <mergeCell ref="A9:U9"/>
    <mergeCell ref="A10:B10"/>
    <mergeCell ref="A11:B11"/>
    <mergeCell ref="A24:B24"/>
    <mergeCell ref="A30:B30"/>
    <mergeCell ref="A35:B35"/>
    <mergeCell ref="T3:U3"/>
    <mergeCell ref="A699:B699"/>
    <mergeCell ref="A717:B717"/>
    <mergeCell ref="A446:B446"/>
    <mergeCell ref="A427:B427"/>
    <mergeCell ref="A403:B403"/>
    <mergeCell ref="A361:B361"/>
    <mergeCell ref="A405:B405"/>
    <mergeCell ref="A369:B369"/>
    <mergeCell ref="A356:B356"/>
    <mergeCell ref="A259:B259"/>
    <mergeCell ref="A704:B704"/>
    <mergeCell ref="A695:B695"/>
    <mergeCell ref="A380:B380"/>
    <mergeCell ref="A457:B457"/>
    <mergeCell ref="A382:B382"/>
    <mergeCell ref="A423:B423"/>
    <mergeCell ref="A334:B334"/>
    <mergeCell ref="A1118:B1118"/>
    <mergeCell ref="C3:C5"/>
    <mergeCell ref="A43:B43"/>
    <mergeCell ref="D3:S3"/>
    <mergeCell ref="A830:B830"/>
    <mergeCell ref="A817:B817"/>
    <mergeCell ref="A455:B455"/>
    <mergeCell ref="A834:B834"/>
    <mergeCell ref="A1159:B1159"/>
    <mergeCell ref="A757:B757"/>
    <mergeCell ref="A721:B721"/>
    <mergeCell ref="A751:B751"/>
    <mergeCell ref="A734:B734"/>
    <mergeCell ref="A756:U756"/>
    <mergeCell ref="A727:B727"/>
    <mergeCell ref="A729:B729"/>
    <mergeCell ref="A373:B373"/>
    <mergeCell ref="A266:B266"/>
    <mergeCell ref="A118:B118"/>
    <mergeCell ref="A270:B270"/>
    <mergeCell ref="A247:B247"/>
    <mergeCell ref="A291:B291"/>
    <mergeCell ref="A352:B352"/>
    <mergeCell ref="A96:B9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35" firstPageNumber="39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Логутова Лариса Ферденантовна</cp:lastModifiedBy>
  <cp:lastPrinted>2021-08-26T09:57:50Z</cp:lastPrinted>
  <dcterms:created xsi:type="dcterms:W3CDTF">2012-12-13T11:50:40Z</dcterms:created>
  <dcterms:modified xsi:type="dcterms:W3CDTF">2021-09-29T13:56:07Z</dcterms:modified>
</cp:coreProperties>
</file>