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0640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прилож'!$A$1:$U$1202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1201" i="13" l="1"/>
  <c r="T1201" i="13"/>
  <c r="S1201" i="13"/>
  <c r="Q1201" i="13"/>
  <c r="P1201" i="13"/>
  <c r="O1201" i="13"/>
  <c r="M1201" i="13"/>
  <c r="L1201" i="13"/>
  <c r="K1201" i="13"/>
  <c r="J1201" i="13"/>
  <c r="U1199" i="13"/>
  <c r="T1199" i="13"/>
  <c r="S1199" i="13"/>
  <c r="Q1199" i="13"/>
  <c r="P1199" i="13"/>
  <c r="O1199" i="13"/>
  <c r="M1199" i="13"/>
  <c r="L1199" i="13"/>
  <c r="K1199" i="13"/>
  <c r="J1199" i="13"/>
  <c r="I1199" i="13"/>
  <c r="H1199" i="13"/>
  <c r="G1199" i="13"/>
  <c r="F1199" i="13"/>
  <c r="U1195" i="13"/>
  <c r="T1195" i="13"/>
  <c r="S1195" i="13"/>
  <c r="Q1195" i="13"/>
  <c r="P1195" i="13"/>
  <c r="O1195" i="13"/>
  <c r="M1195" i="13"/>
  <c r="L1195" i="13"/>
  <c r="K1195" i="13"/>
  <c r="J1195" i="13"/>
  <c r="I1195" i="13"/>
  <c r="H1195" i="13"/>
  <c r="G1195" i="13"/>
  <c r="F1195" i="13"/>
  <c r="E1195" i="13"/>
  <c r="U1171" i="13"/>
  <c r="T1171" i="13"/>
  <c r="S1171" i="13"/>
  <c r="Q1171" i="13"/>
  <c r="P1171" i="13"/>
  <c r="O1171" i="13"/>
  <c r="M1171" i="13"/>
  <c r="L1171" i="13"/>
  <c r="K1171" i="13"/>
  <c r="J1171" i="13"/>
  <c r="U1169" i="13"/>
  <c r="T1169" i="13"/>
  <c r="S1169" i="13"/>
  <c r="R1169" i="13"/>
  <c r="Q1169" i="13"/>
  <c r="P1169" i="13"/>
  <c r="O1169" i="13"/>
  <c r="M1169" i="13"/>
  <c r="L1169" i="13"/>
  <c r="K1169" i="13"/>
  <c r="I1169" i="13"/>
  <c r="H1169" i="13"/>
  <c r="G1169" i="13"/>
  <c r="F1169" i="13"/>
  <c r="E1169" i="13"/>
  <c r="U1167" i="13"/>
  <c r="T1167" i="13"/>
  <c r="S1167" i="13"/>
  <c r="Q1167" i="13"/>
  <c r="P1167" i="13"/>
  <c r="O1167" i="13"/>
  <c r="N1167" i="13"/>
  <c r="M1167" i="13"/>
  <c r="L1167" i="13"/>
  <c r="K1167" i="13"/>
  <c r="J1167" i="13"/>
  <c r="H1167" i="13"/>
  <c r="F1167" i="13"/>
  <c r="U1165" i="13"/>
  <c r="T1165" i="13"/>
  <c r="S1165" i="13"/>
  <c r="Q1165" i="13"/>
  <c r="P1165" i="13"/>
  <c r="O1165" i="13"/>
  <c r="M1165" i="13"/>
  <c r="L1165" i="13"/>
  <c r="K1165" i="13"/>
  <c r="J1165" i="13"/>
  <c r="I1165" i="13"/>
  <c r="H1165" i="13"/>
  <c r="G1165" i="13"/>
  <c r="F1165" i="13"/>
  <c r="E1165" i="13"/>
  <c r="U1161" i="13"/>
  <c r="T1161" i="13"/>
  <c r="S1161" i="13"/>
  <c r="Q1161" i="13"/>
  <c r="P1161" i="13"/>
  <c r="O1161" i="13"/>
  <c r="M1161" i="13"/>
  <c r="L1161" i="13"/>
  <c r="K1161" i="13"/>
  <c r="J1161" i="13"/>
  <c r="H1161" i="13"/>
  <c r="U1158" i="13"/>
  <c r="T1158" i="13"/>
  <c r="S1158" i="13"/>
  <c r="Q1158" i="13"/>
  <c r="P1158" i="13"/>
  <c r="O1158" i="13"/>
  <c r="M1158" i="13"/>
  <c r="L1158" i="13"/>
  <c r="K1158" i="13"/>
  <c r="J1158" i="13"/>
  <c r="I1158" i="13"/>
  <c r="H1158" i="13"/>
  <c r="G1158" i="13"/>
  <c r="U1156" i="13"/>
  <c r="T1156" i="13"/>
  <c r="S1156" i="13"/>
  <c r="Q1156" i="13"/>
  <c r="P1156" i="13"/>
  <c r="O1156" i="13"/>
  <c r="N1156" i="13"/>
  <c r="M1156" i="13"/>
  <c r="L1156" i="13"/>
  <c r="K1156" i="13"/>
  <c r="J1156" i="13"/>
  <c r="H1156" i="13"/>
  <c r="U1154" i="13"/>
  <c r="T1154" i="13"/>
  <c r="S1154" i="13"/>
  <c r="Q1154" i="13"/>
  <c r="P1154" i="13"/>
  <c r="O1154" i="13"/>
  <c r="M1154" i="13"/>
  <c r="L1154" i="13"/>
  <c r="K1154" i="13"/>
  <c r="J1154" i="13"/>
  <c r="I1154" i="13"/>
  <c r="H1154" i="13"/>
  <c r="G1154" i="13"/>
  <c r="F1154" i="13"/>
  <c r="E1154" i="13"/>
  <c r="U1148" i="13"/>
  <c r="T1148" i="13"/>
  <c r="S1148" i="13"/>
  <c r="Q1148" i="13"/>
  <c r="P1148" i="13"/>
  <c r="O1148" i="13"/>
  <c r="M1148" i="13"/>
  <c r="L1148" i="13"/>
  <c r="K1148" i="13"/>
  <c r="J1148" i="13"/>
  <c r="I1148" i="13"/>
  <c r="H1148" i="13"/>
  <c r="G1148" i="13"/>
  <c r="F1148" i="13"/>
  <c r="U1146" i="13"/>
  <c r="T1146" i="13"/>
  <c r="S1146" i="13"/>
  <c r="Q1146" i="13"/>
  <c r="P1146" i="13"/>
  <c r="O1146" i="13"/>
  <c r="M1146" i="13"/>
  <c r="L1146" i="13"/>
  <c r="K1146" i="13"/>
  <c r="J1146" i="13"/>
  <c r="I1146" i="13"/>
  <c r="H1146" i="13"/>
  <c r="G1146" i="13"/>
  <c r="F1146" i="13"/>
  <c r="U1140" i="13"/>
  <c r="T1140" i="13"/>
  <c r="S1140" i="13"/>
  <c r="Q1140" i="13"/>
  <c r="P1140" i="13"/>
  <c r="O1140" i="13"/>
  <c r="M1140" i="13"/>
  <c r="L1140" i="13"/>
  <c r="K1140" i="13"/>
  <c r="J1140" i="13"/>
  <c r="U1136" i="13"/>
  <c r="T1136" i="13"/>
  <c r="S1136" i="13"/>
  <c r="Q1136" i="13"/>
  <c r="P1136" i="13"/>
  <c r="O1136" i="13"/>
  <c r="M1136" i="13"/>
  <c r="L1136" i="13"/>
  <c r="K1136" i="13"/>
  <c r="J1136" i="13"/>
  <c r="H1136" i="13"/>
  <c r="F1136" i="13"/>
  <c r="U1134" i="13"/>
  <c r="T1134" i="13"/>
  <c r="S1134" i="13"/>
  <c r="Q1134" i="13"/>
  <c r="P1134" i="13"/>
  <c r="O1134" i="13"/>
  <c r="M1134" i="13"/>
  <c r="L1134" i="13"/>
  <c r="K1134" i="13"/>
  <c r="J1134" i="13"/>
  <c r="I1134" i="13"/>
  <c r="H1134" i="13"/>
  <c r="G1134" i="13"/>
  <c r="F1134" i="13"/>
  <c r="E1134" i="13"/>
  <c r="U1132" i="13"/>
  <c r="T1132" i="13"/>
  <c r="S1132" i="13"/>
  <c r="Q1132" i="13"/>
  <c r="P1132" i="13"/>
  <c r="O1132" i="13"/>
  <c r="M1132" i="13"/>
  <c r="L1132" i="13"/>
  <c r="K1132" i="13"/>
  <c r="J1132" i="13"/>
  <c r="U1129" i="13"/>
  <c r="T1129" i="13"/>
  <c r="S1129" i="13"/>
  <c r="Q1129" i="13"/>
  <c r="P1129" i="13"/>
  <c r="O1129" i="13"/>
  <c r="M1129" i="13"/>
  <c r="L1129" i="13"/>
  <c r="K1129" i="13"/>
  <c r="J1129" i="13"/>
  <c r="I1129" i="13"/>
  <c r="H1129" i="13"/>
  <c r="G1129" i="13"/>
  <c r="F1129" i="13"/>
  <c r="E1129" i="13"/>
  <c r="U1127" i="13"/>
  <c r="T1127" i="13"/>
  <c r="S1127" i="13"/>
  <c r="Q1127" i="13"/>
  <c r="P1127" i="13"/>
  <c r="O1127" i="13"/>
  <c r="N1127" i="13"/>
  <c r="M1127" i="13"/>
  <c r="L1127" i="13"/>
  <c r="K1127" i="13"/>
  <c r="J1127" i="13"/>
  <c r="G1127" i="13"/>
  <c r="U1124" i="13"/>
  <c r="T1124" i="13"/>
  <c r="S1124" i="13"/>
  <c r="Q1124" i="13"/>
  <c r="P1124" i="13"/>
  <c r="O1124" i="13"/>
  <c r="M1124" i="13"/>
  <c r="L1124" i="13"/>
  <c r="K1124" i="13"/>
  <c r="U1122" i="13"/>
  <c r="T1122" i="13"/>
  <c r="S1122" i="13"/>
  <c r="Q1122" i="13"/>
  <c r="P1122" i="13"/>
  <c r="O1122" i="13"/>
  <c r="N1122" i="13"/>
  <c r="M1122" i="13"/>
  <c r="L1122" i="13"/>
  <c r="K1122" i="13"/>
  <c r="H1122" i="13"/>
  <c r="U865" i="13"/>
  <c r="T865" i="13"/>
  <c r="S865" i="13"/>
  <c r="Q865" i="13"/>
  <c r="O865" i="13"/>
  <c r="M865" i="13"/>
  <c r="K865" i="13"/>
  <c r="U863" i="13"/>
  <c r="T863" i="13"/>
  <c r="S863" i="13"/>
  <c r="R863" i="13"/>
  <c r="Q863" i="13"/>
  <c r="P863" i="13"/>
  <c r="O863" i="13"/>
  <c r="M863" i="13"/>
  <c r="L863" i="13"/>
  <c r="K863" i="13"/>
  <c r="I863" i="13"/>
  <c r="G863" i="13"/>
  <c r="U860" i="13"/>
  <c r="T860" i="13"/>
  <c r="S860" i="13"/>
  <c r="Q860" i="13"/>
  <c r="P860" i="13"/>
  <c r="O860" i="13"/>
  <c r="M860" i="13"/>
  <c r="L860" i="13"/>
  <c r="K860" i="13"/>
  <c r="J860" i="13"/>
  <c r="I860" i="13"/>
  <c r="H860" i="13"/>
  <c r="G860" i="13"/>
  <c r="F860" i="13"/>
  <c r="U857" i="13"/>
  <c r="T857" i="13"/>
  <c r="S857" i="13"/>
  <c r="Q857" i="13"/>
  <c r="P857" i="13"/>
  <c r="O857" i="13"/>
  <c r="M857" i="13"/>
  <c r="L857" i="13"/>
  <c r="K857" i="13"/>
  <c r="I857" i="13"/>
  <c r="H857" i="13"/>
  <c r="U855" i="13"/>
  <c r="T855" i="13"/>
  <c r="S855" i="13"/>
  <c r="R855" i="13"/>
  <c r="Q855" i="13"/>
  <c r="P855" i="13"/>
  <c r="O855" i="13"/>
  <c r="M855" i="13"/>
  <c r="L855" i="13"/>
  <c r="K855" i="13"/>
  <c r="I855" i="13"/>
  <c r="H855" i="13"/>
  <c r="G855" i="13"/>
  <c r="F855" i="13"/>
  <c r="E855" i="13"/>
  <c r="U837" i="13"/>
  <c r="T837" i="13"/>
  <c r="S837" i="13"/>
  <c r="Q837" i="13"/>
  <c r="O837" i="13"/>
  <c r="M837" i="13"/>
  <c r="L837" i="13"/>
  <c r="K837" i="13"/>
  <c r="U833" i="13"/>
  <c r="T833" i="13"/>
  <c r="S833" i="13"/>
  <c r="Q833" i="13"/>
  <c r="P833" i="13"/>
  <c r="O833" i="13"/>
  <c r="M833" i="13"/>
  <c r="L833" i="13"/>
  <c r="K833" i="13"/>
  <c r="H833" i="13"/>
  <c r="U824" i="13"/>
  <c r="T824" i="13"/>
  <c r="S824" i="13"/>
  <c r="Q824" i="13"/>
  <c r="P824" i="13"/>
  <c r="O824" i="13"/>
  <c r="M824" i="13"/>
  <c r="L824" i="13"/>
  <c r="K824" i="13"/>
  <c r="U814" i="13"/>
  <c r="T814" i="13"/>
  <c r="S814" i="13"/>
  <c r="Q814" i="13"/>
  <c r="P814" i="13"/>
  <c r="O814" i="13"/>
  <c r="M814" i="13"/>
  <c r="L814" i="13"/>
  <c r="K814" i="13"/>
  <c r="U812" i="13"/>
  <c r="T812" i="13"/>
  <c r="S812" i="13"/>
  <c r="Q812" i="13"/>
  <c r="P812" i="13"/>
  <c r="O812" i="13"/>
  <c r="M812" i="13"/>
  <c r="L812" i="13"/>
  <c r="K812" i="13"/>
  <c r="U793" i="13"/>
  <c r="T793" i="13"/>
  <c r="Q793" i="13"/>
  <c r="O793" i="13"/>
  <c r="M793" i="13"/>
  <c r="L793" i="13"/>
  <c r="K793" i="13"/>
  <c r="U791" i="13"/>
  <c r="T791" i="13"/>
  <c r="S791" i="13"/>
  <c r="Q791" i="13"/>
  <c r="P791" i="13"/>
  <c r="O791" i="13"/>
  <c r="M791" i="13"/>
  <c r="L791" i="13"/>
  <c r="K791" i="13"/>
  <c r="J791" i="13"/>
  <c r="I791" i="13"/>
  <c r="H791" i="13"/>
  <c r="G791" i="13"/>
  <c r="F791" i="13"/>
  <c r="E791" i="13"/>
  <c r="U789" i="13"/>
  <c r="T789" i="13"/>
  <c r="S789" i="13"/>
  <c r="Q789" i="13"/>
  <c r="P789" i="13"/>
  <c r="O789" i="13"/>
  <c r="M789" i="13"/>
  <c r="L789" i="13"/>
  <c r="K789" i="13"/>
  <c r="J789" i="13"/>
  <c r="I789" i="13"/>
  <c r="H789" i="13"/>
  <c r="G789" i="13"/>
  <c r="F789" i="13"/>
  <c r="E789" i="13"/>
  <c r="U781" i="13"/>
  <c r="T781" i="13"/>
  <c r="S781" i="13"/>
  <c r="Q781" i="13"/>
  <c r="P781" i="13"/>
  <c r="O781" i="13"/>
  <c r="M781" i="13"/>
  <c r="L781" i="13"/>
  <c r="K781" i="13"/>
  <c r="J781" i="13"/>
  <c r="H781" i="13"/>
  <c r="U779" i="13"/>
  <c r="T779" i="13"/>
  <c r="S779" i="13"/>
  <c r="Q779" i="13"/>
  <c r="O779" i="13"/>
  <c r="M779" i="13"/>
  <c r="L779" i="13"/>
  <c r="K779" i="13"/>
  <c r="J779" i="13"/>
  <c r="I779" i="13"/>
  <c r="H779" i="13"/>
  <c r="G779" i="13"/>
  <c r="F779" i="13"/>
  <c r="U776" i="13"/>
  <c r="T776" i="13"/>
  <c r="S776" i="13"/>
  <c r="Q776" i="13"/>
  <c r="P776" i="13"/>
  <c r="O776" i="13"/>
  <c r="M776" i="13"/>
  <c r="L776" i="13"/>
  <c r="K776" i="13"/>
  <c r="J776" i="13"/>
  <c r="I776" i="13"/>
  <c r="H776" i="13"/>
  <c r="G776" i="13"/>
  <c r="F776" i="13"/>
  <c r="E776" i="13"/>
  <c r="U774" i="13"/>
  <c r="T774" i="13"/>
  <c r="S774" i="13"/>
  <c r="Q774" i="13"/>
  <c r="P774" i="13"/>
  <c r="O774" i="13"/>
  <c r="N774" i="13"/>
  <c r="M774" i="13"/>
  <c r="L774" i="13"/>
  <c r="K774" i="13"/>
  <c r="J774" i="13"/>
  <c r="I774" i="13"/>
  <c r="H774" i="13"/>
  <c r="G774" i="13"/>
  <c r="F774" i="13"/>
  <c r="E774" i="13"/>
  <c r="U772" i="13"/>
  <c r="T772" i="13"/>
  <c r="S772" i="13"/>
  <c r="Q772" i="13"/>
  <c r="P772" i="13"/>
  <c r="O772" i="13"/>
  <c r="M772" i="13"/>
  <c r="L772" i="13"/>
  <c r="K772" i="13"/>
  <c r="J772" i="13"/>
  <c r="I772" i="13"/>
  <c r="H772" i="13"/>
  <c r="G772" i="13"/>
  <c r="F772" i="13"/>
  <c r="E772" i="13"/>
  <c r="U770" i="13"/>
  <c r="T770" i="13"/>
  <c r="S770" i="13"/>
  <c r="Q770" i="13"/>
  <c r="P770" i="13"/>
  <c r="O770" i="13"/>
  <c r="M770" i="13"/>
  <c r="L770" i="13"/>
  <c r="K770" i="13"/>
  <c r="J770" i="13"/>
  <c r="I770" i="13"/>
  <c r="H770" i="13"/>
  <c r="G770" i="13"/>
  <c r="F770" i="13"/>
  <c r="E770" i="13"/>
  <c r="U768" i="13"/>
  <c r="T768" i="13"/>
  <c r="S768" i="13"/>
  <c r="Q768" i="13"/>
  <c r="P768" i="13"/>
  <c r="O768" i="13"/>
  <c r="M768" i="13"/>
  <c r="L768" i="13"/>
  <c r="K768" i="13"/>
  <c r="J768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0" i="13"/>
  <c r="T760" i="13"/>
  <c r="S760" i="13"/>
  <c r="Q760" i="13"/>
  <c r="P760" i="13"/>
  <c r="O760" i="13"/>
  <c r="M760" i="13"/>
  <c r="L760" i="13"/>
  <c r="K760" i="13"/>
  <c r="J760" i="13"/>
  <c r="I760" i="13"/>
  <c r="H760" i="13"/>
  <c r="G760" i="13"/>
  <c r="F760" i="13"/>
  <c r="E760" i="13"/>
  <c r="U758" i="13"/>
  <c r="T758" i="13"/>
  <c r="S758" i="13"/>
  <c r="Q758" i="13"/>
  <c r="P758" i="13"/>
  <c r="O758" i="13"/>
  <c r="N758" i="13"/>
  <c r="M758" i="13"/>
  <c r="L758" i="13"/>
  <c r="K758" i="13"/>
  <c r="J758" i="13"/>
  <c r="H758" i="13"/>
  <c r="F758" i="13"/>
  <c r="U752" i="13"/>
  <c r="T752" i="13"/>
  <c r="S752" i="13"/>
  <c r="Q752" i="13"/>
  <c r="P752" i="13"/>
  <c r="O752" i="13"/>
  <c r="M752" i="13"/>
  <c r="L752" i="13"/>
  <c r="K752" i="13"/>
  <c r="J752" i="13"/>
  <c r="U750" i="13"/>
  <c r="T750" i="13"/>
  <c r="S750" i="13"/>
  <c r="Q750" i="13"/>
  <c r="P750" i="13"/>
  <c r="O750" i="13"/>
  <c r="M750" i="13"/>
  <c r="L750" i="13"/>
  <c r="K750" i="13"/>
  <c r="J750" i="13"/>
  <c r="I750" i="13"/>
  <c r="H750" i="13"/>
  <c r="G750" i="13"/>
  <c r="F750" i="13"/>
  <c r="E750" i="13"/>
  <c r="U745" i="13"/>
  <c r="T745" i="13"/>
  <c r="S745" i="13"/>
  <c r="Q745" i="13"/>
  <c r="P745" i="13"/>
  <c r="O745" i="13"/>
  <c r="M745" i="13"/>
  <c r="L745" i="13"/>
  <c r="K745" i="13"/>
  <c r="J745" i="13"/>
  <c r="I745" i="13"/>
  <c r="H745" i="13"/>
  <c r="G745" i="13"/>
  <c r="F745" i="13"/>
  <c r="E745" i="13"/>
  <c r="U741" i="13"/>
  <c r="T741" i="13"/>
  <c r="S741" i="13"/>
  <c r="Q741" i="13"/>
  <c r="P741" i="13"/>
  <c r="O741" i="13"/>
  <c r="N741" i="13"/>
  <c r="M741" i="13"/>
  <c r="L741" i="13"/>
  <c r="K741" i="13"/>
  <c r="J741" i="13"/>
  <c r="I741" i="13"/>
  <c r="H741" i="13"/>
  <c r="G741" i="13"/>
  <c r="F741" i="13"/>
  <c r="E741" i="13"/>
  <c r="U739" i="13"/>
  <c r="T739" i="13"/>
  <c r="S739" i="13"/>
  <c r="Q739" i="13"/>
  <c r="P739" i="13"/>
  <c r="O739" i="13"/>
  <c r="M739" i="13"/>
  <c r="L739" i="13"/>
  <c r="K739" i="13"/>
  <c r="J739" i="13"/>
  <c r="I739" i="13"/>
  <c r="H739" i="13"/>
  <c r="G739" i="13"/>
  <c r="F739" i="13"/>
  <c r="E739" i="13"/>
  <c r="U737" i="13"/>
  <c r="T737" i="13"/>
  <c r="S737" i="13"/>
  <c r="R737" i="13"/>
  <c r="Q737" i="13"/>
  <c r="P737" i="13"/>
  <c r="O737" i="13"/>
  <c r="M737" i="13"/>
  <c r="L737" i="13"/>
  <c r="K737" i="13"/>
  <c r="I737" i="13"/>
  <c r="G737" i="13"/>
  <c r="F737" i="13"/>
  <c r="U731" i="13"/>
  <c r="T731" i="13"/>
  <c r="S731" i="13"/>
  <c r="Q731" i="13"/>
  <c r="P731" i="13"/>
  <c r="O731" i="13"/>
  <c r="M731" i="13"/>
  <c r="L731" i="13"/>
  <c r="K731" i="13"/>
  <c r="U727" i="13"/>
  <c r="T727" i="13"/>
  <c r="S727" i="13"/>
  <c r="Q727" i="13"/>
  <c r="P727" i="13"/>
  <c r="O727" i="13"/>
  <c r="M727" i="13"/>
  <c r="L727" i="13"/>
  <c r="K727" i="13"/>
  <c r="I727" i="13"/>
  <c r="H727" i="13"/>
  <c r="G727" i="13"/>
  <c r="F727" i="13"/>
  <c r="U723" i="13"/>
  <c r="T723" i="13"/>
  <c r="S723" i="13"/>
  <c r="Q723" i="13"/>
  <c r="P723" i="13"/>
  <c r="O723" i="13"/>
  <c r="M723" i="13"/>
  <c r="L723" i="13"/>
  <c r="K723" i="13"/>
  <c r="U721" i="13"/>
  <c r="T721" i="13"/>
  <c r="S721" i="13"/>
  <c r="Q721" i="13"/>
  <c r="O721" i="13"/>
  <c r="N721" i="13"/>
  <c r="M721" i="13"/>
  <c r="L721" i="13"/>
  <c r="K721" i="13"/>
  <c r="J721" i="13"/>
  <c r="I721" i="13"/>
  <c r="H721" i="13"/>
  <c r="G721" i="13"/>
  <c r="F721" i="13"/>
  <c r="E721" i="13"/>
  <c r="U717" i="13"/>
  <c r="T717" i="13"/>
  <c r="S717" i="13"/>
  <c r="Q717" i="13"/>
  <c r="P717" i="13"/>
  <c r="O717" i="13"/>
  <c r="M717" i="13"/>
  <c r="L717" i="13"/>
  <c r="K717" i="13"/>
  <c r="J717" i="13"/>
  <c r="I717" i="13"/>
  <c r="H717" i="13"/>
  <c r="G717" i="13"/>
  <c r="F717" i="13"/>
  <c r="E717" i="13"/>
  <c r="U714" i="13"/>
  <c r="T714" i="13"/>
  <c r="S714" i="13"/>
  <c r="Q714" i="13"/>
  <c r="P714" i="13"/>
  <c r="O714" i="13"/>
  <c r="M714" i="13"/>
  <c r="L714" i="13"/>
  <c r="K714" i="13"/>
  <c r="J714" i="13"/>
  <c r="I714" i="13"/>
  <c r="H714" i="13"/>
  <c r="G714" i="13"/>
  <c r="F714" i="13"/>
  <c r="U712" i="13"/>
  <c r="T712" i="13"/>
  <c r="S712" i="13"/>
  <c r="R712" i="13"/>
  <c r="Q712" i="13"/>
  <c r="P712" i="13"/>
  <c r="O712" i="13"/>
  <c r="M712" i="13"/>
  <c r="L712" i="13"/>
  <c r="K712" i="13"/>
  <c r="J712" i="13"/>
  <c r="I712" i="13"/>
  <c r="H712" i="13"/>
  <c r="G712" i="13"/>
  <c r="F712" i="13"/>
  <c r="E712" i="13"/>
  <c r="U683" i="13"/>
  <c r="T683" i="13"/>
  <c r="S683" i="13"/>
  <c r="Q683" i="13"/>
  <c r="P683" i="13"/>
  <c r="O683" i="13"/>
  <c r="M683" i="13"/>
  <c r="L683" i="13"/>
  <c r="K683" i="13"/>
  <c r="U678" i="13"/>
  <c r="U677" i="13" s="1"/>
  <c r="T678" i="13"/>
  <c r="S678" i="13"/>
  <c r="Q678" i="13"/>
  <c r="Q677" i="13" s="1"/>
  <c r="P678" i="13"/>
  <c r="O678" i="13"/>
  <c r="M678" i="13"/>
  <c r="M677" i="13" s="1"/>
  <c r="L678" i="13"/>
  <c r="K678" i="13"/>
  <c r="O677" i="13" l="1"/>
  <c r="K677" i="13"/>
  <c r="T677" i="13"/>
  <c r="N1178" i="13"/>
  <c r="V1178" i="13" s="1"/>
  <c r="H1178" i="13"/>
  <c r="F1178" i="13"/>
  <c r="D1178" i="13"/>
  <c r="R1177" i="13"/>
  <c r="N1177" i="13"/>
  <c r="V1177" i="13" s="1"/>
  <c r="I1177" i="13"/>
  <c r="H1177" i="13"/>
  <c r="G1177" i="13"/>
  <c r="F1177" i="13"/>
  <c r="E1177" i="13"/>
  <c r="N1176" i="13"/>
  <c r="V1176" i="13" s="1"/>
  <c r="I1176" i="13"/>
  <c r="H1176" i="13"/>
  <c r="G1176" i="13"/>
  <c r="F1176" i="13"/>
  <c r="D1176" i="13" s="1"/>
  <c r="C1176" i="13" s="1"/>
  <c r="E1176" i="13"/>
  <c r="R1175" i="13"/>
  <c r="N1175" i="13"/>
  <c r="V1175" i="13" s="1"/>
  <c r="H1175" i="13"/>
  <c r="D1175" i="13"/>
  <c r="N1174" i="13"/>
  <c r="V1174" i="13" s="1"/>
  <c r="H1174" i="13"/>
  <c r="E1174" i="13"/>
  <c r="D1174" i="13" s="1"/>
  <c r="C1174" i="13" s="1"/>
  <c r="N1181" i="13"/>
  <c r="V1181" i="13" s="1"/>
  <c r="I1181" i="13"/>
  <c r="H1181" i="13"/>
  <c r="G1181" i="13"/>
  <c r="F1181" i="13"/>
  <c r="D1181" i="13" s="1"/>
  <c r="C1181" i="13" s="1"/>
  <c r="N1180" i="13"/>
  <c r="V1180" i="13" s="1"/>
  <c r="I1180" i="13"/>
  <c r="H1180" i="13"/>
  <c r="G1180" i="13"/>
  <c r="D1180" i="13" s="1"/>
  <c r="V1038" i="13"/>
  <c r="R1038" i="13"/>
  <c r="D1038" i="13"/>
  <c r="R843" i="13"/>
  <c r="V843" i="13"/>
  <c r="J843" i="13"/>
  <c r="I843" i="13"/>
  <c r="H843" i="13"/>
  <c r="G843" i="13"/>
  <c r="F843" i="13"/>
  <c r="D843" i="13" s="1"/>
  <c r="C1178" i="13" l="1"/>
  <c r="D1177" i="13"/>
  <c r="C1038" i="13"/>
  <c r="C1177" i="13"/>
  <c r="C1175" i="13"/>
  <c r="C1180" i="13"/>
  <c r="C843" i="13"/>
  <c r="E1128" i="13"/>
  <c r="E1127" i="13" s="1"/>
  <c r="F1128" i="13"/>
  <c r="F1127" i="13" s="1"/>
  <c r="I1123" i="13"/>
  <c r="I1122" i="13" s="1"/>
  <c r="G1123" i="13"/>
  <c r="G1122" i="13" s="1"/>
  <c r="F1123" i="13"/>
  <c r="F1122" i="13" s="1"/>
  <c r="E1123" i="13"/>
  <c r="E1122" i="13" s="1"/>
  <c r="I838" i="13"/>
  <c r="G838" i="13"/>
  <c r="F838" i="13"/>
  <c r="E838" i="13"/>
  <c r="I919" i="13"/>
  <c r="H919" i="13"/>
  <c r="G919" i="13"/>
  <c r="F919" i="13"/>
  <c r="E919" i="13"/>
  <c r="I828" i="13"/>
  <c r="G828" i="13"/>
  <c r="E828" i="13"/>
  <c r="I829" i="13"/>
  <c r="G829" i="13"/>
  <c r="E829" i="13"/>
  <c r="E832" i="13"/>
  <c r="I827" i="13"/>
  <c r="G827" i="13"/>
  <c r="E827" i="13"/>
  <c r="I836" i="13"/>
  <c r="G836" i="13"/>
  <c r="F836" i="13"/>
  <c r="F833" i="13" s="1"/>
  <c r="E836" i="13"/>
  <c r="I724" i="13"/>
  <c r="G724" i="13"/>
  <c r="E724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26" i="13"/>
  <c r="D1026" i="13"/>
  <c r="V979" i="13"/>
  <c r="D979" i="13"/>
  <c r="C1026" i="13" l="1"/>
  <c r="C979" i="13"/>
  <c r="V867" i="13"/>
  <c r="D867" i="13"/>
  <c r="V909" i="13"/>
  <c r="D909" i="13"/>
  <c r="C909" i="13" s="1"/>
  <c r="V1096" i="13"/>
  <c r="D1096" i="13"/>
  <c r="N738" i="13"/>
  <c r="N737" i="13" s="1"/>
  <c r="E738" i="13"/>
  <c r="E737" i="13" s="1"/>
  <c r="V882" i="13"/>
  <c r="J882" i="13"/>
  <c r="H882" i="13"/>
  <c r="E882" i="13"/>
  <c r="D882" i="13" l="1"/>
  <c r="C882" i="13" s="1"/>
  <c r="C867" i="13"/>
  <c r="C1096" i="13"/>
  <c r="R826" i="13"/>
  <c r="N826" i="13"/>
  <c r="V826" i="13" s="1"/>
  <c r="J826" i="13"/>
  <c r="I826" i="13"/>
  <c r="H826" i="13"/>
  <c r="G826" i="13"/>
  <c r="F826" i="13"/>
  <c r="E826" i="13"/>
  <c r="E825" i="13"/>
  <c r="E824" i="13" s="1"/>
  <c r="F825" i="13"/>
  <c r="G825" i="13"/>
  <c r="R825" i="13"/>
  <c r="N825" i="13"/>
  <c r="J825" i="13"/>
  <c r="I825" i="13"/>
  <c r="I824" i="13" s="1"/>
  <c r="H825" i="13"/>
  <c r="N943" i="13"/>
  <c r="V943" i="13" s="1"/>
  <c r="D943" i="13"/>
  <c r="R1202" i="13"/>
  <c r="R1201" i="13" s="1"/>
  <c r="N1202" i="13"/>
  <c r="N1201" i="13" s="1"/>
  <c r="E1202" i="13"/>
  <c r="E1201" i="13" s="1"/>
  <c r="E1150" i="13"/>
  <c r="D1150" i="13" s="1"/>
  <c r="C1150" i="13" s="1"/>
  <c r="V1150" i="13"/>
  <c r="R1149" i="13"/>
  <c r="N1149" i="13"/>
  <c r="E1149" i="13"/>
  <c r="E1145" i="13"/>
  <c r="F1145" i="13"/>
  <c r="I1145" i="13"/>
  <c r="V1145" i="13"/>
  <c r="H1145" i="13"/>
  <c r="G1145" i="13"/>
  <c r="N1144" i="13"/>
  <c r="V1144" i="13" s="1"/>
  <c r="R1144" i="13"/>
  <c r="D1144" i="13"/>
  <c r="R1143" i="13"/>
  <c r="N1143" i="13"/>
  <c r="R1085" i="13"/>
  <c r="N1085" i="13"/>
  <c r="I1085" i="13"/>
  <c r="F1085" i="13"/>
  <c r="E1085" i="13"/>
  <c r="N1084" i="13"/>
  <c r="E1080" i="13"/>
  <c r="D1080" i="13" s="1"/>
  <c r="V1080" i="13"/>
  <c r="R1080" i="13"/>
  <c r="E1079" i="13"/>
  <c r="D1079" i="13" s="1"/>
  <c r="V1079" i="13"/>
  <c r="R1079" i="13"/>
  <c r="I1078" i="13"/>
  <c r="F1078" i="13"/>
  <c r="E1078" i="13"/>
  <c r="V1078" i="13"/>
  <c r="R1078" i="13"/>
  <c r="H1078" i="13"/>
  <c r="G1078" i="13"/>
  <c r="E1077" i="13"/>
  <c r="F1077" i="13"/>
  <c r="I1077" i="13"/>
  <c r="V1077" i="13"/>
  <c r="R1077" i="13"/>
  <c r="H1077" i="13"/>
  <c r="G1077" i="13"/>
  <c r="E1070" i="13"/>
  <c r="F1070" i="13"/>
  <c r="I1070" i="13"/>
  <c r="V1070" i="13"/>
  <c r="H1070" i="13"/>
  <c r="G1070" i="13"/>
  <c r="R997" i="13"/>
  <c r="N997" i="13"/>
  <c r="I997" i="13"/>
  <c r="F997" i="13"/>
  <c r="E997" i="13"/>
  <c r="N965" i="13"/>
  <c r="E965" i="13"/>
  <c r="E959" i="13"/>
  <c r="F959" i="13"/>
  <c r="I959" i="13"/>
  <c r="V959" i="13"/>
  <c r="R959" i="13"/>
  <c r="J959" i="13"/>
  <c r="H959" i="13"/>
  <c r="G959" i="13"/>
  <c r="I934" i="13"/>
  <c r="F934" i="13"/>
  <c r="E934" i="13"/>
  <c r="N920" i="13"/>
  <c r="I905" i="13"/>
  <c r="F905" i="13"/>
  <c r="E905" i="13"/>
  <c r="I904" i="13"/>
  <c r="G904" i="13"/>
  <c r="F904" i="13"/>
  <c r="E904" i="13"/>
  <c r="I892" i="13"/>
  <c r="F892" i="13"/>
  <c r="E892" i="13"/>
  <c r="R891" i="13"/>
  <c r="I891" i="13"/>
  <c r="F891" i="13"/>
  <c r="E891" i="13"/>
  <c r="R888" i="13"/>
  <c r="N888" i="13"/>
  <c r="I888" i="13"/>
  <c r="F888" i="13"/>
  <c r="E888" i="13"/>
  <c r="N887" i="13"/>
  <c r="R880" i="13"/>
  <c r="I880" i="13"/>
  <c r="F880" i="13"/>
  <c r="E880" i="13"/>
  <c r="R875" i="13"/>
  <c r="N875" i="13"/>
  <c r="I875" i="13"/>
  <c r="E875" i="13"/>
  <c r="F875" i="13"/>
  <c r="R868" i="13"/>
  <c r="I868" i="13"/>
  <c r="F868" i="13"/>
  <c r="E868" i="13"/>
  <c r="R846" i="13"/>
  <c r="N846" i="13"/>
  <c r="V846" i="13" s="1"/>
  <c r="J846" i="13"/>
  <c r="H846" i="13"/>
  <c r="R842" i="13"/>
  <c r="N842" i="13"/>
  <c r="V842" i="13" s="1"/>
  <c r="I842" i="13"/>
  <c r="F842" i="13"/>
  <c r="E842" i="13"/>
  <c r="J842" i="13"/>
  <c r="H842" i="13"/>
  <c r="G842" i="13"/>
  <c r="N841" i="13"/>
  <c r="F841" i="13"/>
  <c r="E841" i="13"/>
  <c r="R840" i="13"/>
  <c r="E831" i="13"/>
  <c r="N831" i="13"/>
  <c r="V831" i="13" s="1"/>
  <c r="R831" i="13"/>
  <c r="H831" i="13"/>
  <c r="F831" i="13"/>
  <c r="R830" i="13"/>
  <c r="N830" i="13"/>
  <c r="V830" i="13" s="1"/>
  <c r="G830" i="13"/>
  <c r="E830" i="13"/>
  <c r="J830" i="13"/>
  <c r="E794" i="13"/>
  <c r="V794" i="13"/>
  <c r="E730" i="13"/>
  <c r="E727" i="13" s="1"/>
  <c r="R730" i="13"/>
  <c r="V730" i="13"/>
  <c r="J730" i="13"/>
  <c r="J727" i="13" s="1"/>
  <c r="R725" i="13"/>
  <c r="N725" i="13"/>
  <c r="S797" i="13"/>
  <c r="V797" i="13"/>
  <c r="J797" i="13"/>
  <c r="H797" i="13"/>
  <c r="F797" i="13"/>
  <c r="N1072" i="13"/>
  <c r="R845" i="13"/>
  <c r="P845" i="13"/>
  <c r="N845" i="13"/>
  <c r="V845" i="13" s="1"/>
  <c r="J845" i="13"/>
  <c r="H845" i="13"/>
  <c r="N945" i="13"/>
  <c r="G1173" i="13"/>
  <c r="R1160" i="13"/>
  <c r="N1160" i="13"/>
  <c r="E1160" i="13"/>
  <c r="R1152" i="13"/>
  <c r="N1152" i="13"/>
  <c r="E1152" i="13"/>
  <c r="R1076" i="13"/>
  <c r="N1076" i="13"/>
  <c r="I1076" i="13"/>
  <c r="E1076" i="13"/>
  <c r="F1076" i="13"/>
  <c r="R1063" i="13"/>
  <c r="N1063" i="13"/>
  <c r="I1063" i="13"/>
  <c r="E1063" i="13"/>
  <c r="F1063" i="13"/>
  <c r="D794" i="13" l="1"/>
  <c r="H824" i="13"/>
  <c r="G824" i="13"/>
  <c r="V825" i="13"/>
  <c r="F824" i="13"/>
  <c r="D825" i="13"/>
  <c r="C943" i="13"/>
  <c r="D826" i="13"/>
  <c r="C826" i="13" s="1"/>
  <c r="C1079" i="13"/>
  <c r="C1080" i="13"/>
  <c r="D1145" i="13"/>
  <c r="C1145" i="13" s="1"/>
  <c r="C1144" i="13"/>
  <c r="D959" i="13"/>
  <c r="C959" i="13" s="1"/>
  <c r="D1070" i="13"/>
  <c r="C1070" i="13" s="1"/>
  <c r="D1078" i="13"/>
  <c r="C1078" i="13" s="1"/>
  <c r="D1077" i="13"/>
  <c r="C1077" i="13" s="1"/>
  <c r="D846" i="13"/>
  <c r="C846" i="13" s="1"/>
  <c r="D830" i="13"/>
  <c r="C830" i="13" s="1"/>
  <c r="D831" i="13"/>
  <c r="C831" i="13" s="1"/>
  <c r="D730" i="13"/>
  <c r="C730" i="13" s="1"/>
  <c r="D797" i="13"/>
  <c r="C797" i="13" s="1"/>
  <c r="D845" i="13"/>
  <c r="C845" i="13" s="1"/>
  <c r="R819" i="13"/>
  <c r="R818" i="13"/>
  <c r="N818" i="13"/>
  <c r="N819" i="13"/>
  <c r="I819" i="13"/>
  <c r="I818" i="13"/>
  <c r="F819" i="13"/>
  <c r="F818" i="13"/>
  <c r="E819" i="13"/>
  <c r="E818" i="13"/>
  <c r="R813" i="13"/>
  <c r="R812" i="13" s="1"/>
  <c r="N813" i="13"/>
  <c r="N812" i="13" s="1"/>
  <c r="E813" i="13"/>
  <c r="E812" i="13" s="1"/>
  <c r="R722" i="13"/>
  <c r="R721" i="13" s="1"/>
  <c r="C295" i="13"/>
  <c r="I1066" i="13"/>
  <c r="H1066" i="13"/>
  <c r="G1066" i="13"/>
  <c r="F1066" i="13"/>
  <c r="E1066" i="13"/>
  <c r="P933" i="13"/>
  <c r="V1193" i="13"/>
  <c r="R1193" i="13"/>
  <c r="D1193" i="13"/>
  <c r="N1071" i="13"/>
  <c r="V1071" i="13" s="1"/>
  <c r="D1071" i="13"/>
  <c r="R1067" i="13"/>
  <c r="N1067" i="13"/>
  <c r="V1067" i="13" s="1"/>
  <c r="D1067" i="13"/>
  <c r="R1066" i="13"/>
  <c r="N1066" i="13"/>
  <c r="V1066" i="13" s="1"/>
  <c r="J1066" i="13"/>
  <c r="R1065" i="13"/>
  <c r="N1065" i="13"/>
  <c r="V1065" i="13" s="1"/>
  <c r="D1065" i="13"/>
  <c r="N1054" i="13"/>
  <c r="V1054" i="13" s="1"/>
  <c r="D1054" i="13"/>
  <c r="N1047" i="13"/>
  <c r="V1047" i="13" s="1"/>
  <c r="D1047" i="13"/>
  <c r="N1019" i="13"/>
  <c r="V1019" i="13" s="1"/>
  <c r="D1019" i="13"/>
  <c r="V1010" i="13"/>
  <c r="J1010" i="13"/>
  <c r="I1010" i="13"/>
  <c r="H1010" i="13"/>
  <c r="G1010" i="13"/>
  <c r="F1010" i="13"/>
  <c r="E1010" i="13"/>
  <c r="V1008" i="13"/>
  <c r="D1008" i="13"/>
  <c r="C1008" i="13" s="1"/>
  <c r="R1007" i="13"/>
  <c r="V1007" i="13"/>
  <c r="D1007" i="13"/>
  <c r="R1006" i="13"/>
  <c r="N1006" i="13"/>
  <c r="V1006" i="13" s="1"/>
  <c r="D1006" i="13"/>
  <c r="N967" i="13"/>
  <c r="V967" i="13" s="1"/>
  <c r="D967" i="13"/>
  <c r="C794" i="13" l="1"/>
  <c r="C825" i="13"/>
  <c r="C1193" i="13"/>
  <c r="C1071" i="13"/>
  <c r="C1047" i="13"/>
  <c r="C1054" i="13"/>
  <c r="C1065" i="13"/>
  <c r="D1066" i="13"/>
  <c r="C1066" i="13" s="1"/>
  <c r="C1067" i="13"/>
  <c r="C1007" i="13"/>
  <c r="D1010" i="13"/>
  <c r="C1010" i="13" s="1"/>
  <c r="C1019" i="13"/>
  <c r="C1006" i="13"/>
  <c r="C967" i="13"/>
  <c r="R964" i="13"/>
  <c r="N964" i="13"/>
  <c r="V964" i="13" s="1"/>
  <c r="D964" i="13"/>
  <c r="V933" i="13"/>
  <c r="D933" i="13"/>
  <c r="N693" i="13"/>
  <c r="C693" i="13" s="1"/>
  <c r="N692" i="13"/>
  <c r="C692" i="13" s="1"/>
  <c r="G840" i="13"/>
  <c r="E1138" i="13"/>
  <c r="E1136" i="13" s="1"/>
  <c r="G1138" i="13"/>
  <c r="G1136" i="13" s="1"/>
  <c r="I1138" i="13"/>
  <c r="I1136" i="13" s="1"/>
  <c r="N1139" i="13"/>
  <c r="N1055" i="13"/>
  <c r="N858" i="13"/>
  <c r="N857" i="13" s="1"/>
  <c r="G858" i="13"/>
  <c r="G857" i="13" s="1"/>
  <c r="F858" i="13"/>
  <c r="F857" i="13" s="1"/>
  <c r="E858" i="13"/>
  <c r="E857" i="13" s="1"/>
  <c r="I854" i="13"/>
  <c r="G854" i="13"/>
  <c r="F854" i="13"/>
  <c r="E854" i="13"/>
  <c r="I853" i="13"/>
  <c r="G853" i="13"/>
  <c r="F853" i="13"/>
  <c r="E853" i="13"/>
  <c r="I852" i="13"/>
  <c r="G852" i="13"/>
  <c r="F852" i="13"/>
  <c r="E852" i="13"/>
  <c r="I851" i="13"/>
  <c r="G851" i="13"/>
  <c r="F851" i="13"/>
  <c r="E851" i="13"/>
  <c r="I850" i="13"/>
  <c r="G850" i="13"/>
  <c r="F850" i="13"/>
  <c r="E850" i="13"/>
  <c r="I844" i="13"/>
  <c r="G844" i="13"/>
  <c r="F844" i="13"/>
  <c r="E844" i="13"/>
  <c r="I907" i="13"/>
  <c r="H907" i="13"/>
  <c r="G907" i="13"/>
  <c r="F907" i="13"/>
  <c r="E907" i="13"/>
  <c r="I1043" i="13"/>
  <c r="H1043" i="13"/>
  <c r="G1043" i="13"/>
  <c r="F1043" i="13"/>
  <c r="E1043" i="13"/>
  <c r="N724" i="13"/>
  <c r="N723" i="13" s="1"/>
  <c r="D1172" i="13"/>
  <c r="V874" i="13"/>
  <c r="R874" i="13"/>
  <c r="D874" i="13"/>
  <c r="N864" i="13"/>
  <c r="E864" i="13"/>
  <c r="E863" i="13" s="1"/>
  <c r="J864" i="13"/>
  <c r="J863" i="13" s="1"/>
  <c r="H864" i="13"/>
  <c r="H863" i="13" s="1"/>
  <c r="F864" i="13"/>
  <c r="F863" i="13" s="1"/>
  <c r="N1170" i="13"/>
  <c r="N1169" i="13" s="1"/>
  <c r="J1170" i="13"/>
  <c r="J1169" i="13" s="1"/>
  <c r="N856" i="13"/>
  <c r="N855" i="13" s="1"/>
  <c r="J856" i="13"/>
  <c r="R792" i="13"/>
  <c r="R791" i="13" s="1"/>
  <c r="N792" i="13"/>
  <c r="D792" i="13"/>
  <c r="D791" i="13" s="1"/>
  <c r="D694" i="13"/>
  <c r="C694" i="13" s="1"/>
  <c r="D842" i="13"/>
  <c r="C842" i="13" s="1"/>
  <c r="N784" i="13"/>
  <c r="N783" i="13"/>
  <c r="N782" i="13"/>
  <c r="V792" i="13" l="1"/>
  <c r="N791" i="13"/>
  <c r="D856" i="13"/>
  <c r="D855" i="13" s="1"/>
  <c r="J855" i="13"/>
  <c r="V864" i="13"/>
  <c r="N863" i="13"/>
  <c r="C1172" i="13"/>
  <c r="C933" i="13"/>
  <c r="C964" i="13"/>
  <c r="V692" i="13"/>
  <c r="V693" i="13"/>
  <c r="C874" i="13"/>
  <c r="D864" i="13"/>
  <c r="D863" i="13" s="1"/>
  <c r="V1170" i="13"/>
  <c r="D1170" i="13"/>
  <c r="D1169" i="13" s="1"/>
  <c r="V856" i="13"/>
  <c r="C856" i="13"/>
  <c r="C792" i="13"/>
  <c r="C791" i="13" s="1"/>
  <c r="I980" i="13"/>
  <c r="H980" i="13"/>
  <c r="G980" i="13"/>
  <c r="F980" i="13"/>
  <c r="E980" i="13"/>
  <c r="I954" i="13"/>
  <c r="H954" i="13"/>
  <c r="G954" i="13"/>
  <c r="F954" i="13"/>
  <c r="E954" i="13"/>
  <c r="E1200" i="13"/>
  <c r="E1199" i="13" s="1"/>
  <c r="I1194" i="13"/>
  <c r="G1194" i="13"/>
  <c r="F1194" i="13"/>
  <c r="E1194" i="13"/>
  <c r="I1192" i="13"/>
  <c r="G1192" i="13"/>
  <c r="F1192" i="13"/>
  <c r="E1192" i="13"/>
  <c r="I1191" i="13"/>
  <c r="G1191" i="13"/>
  <c r="F1191" i="13"/>
  <c r="E1191" i="13"/>
  <c r="I1190" i="13"/>
  <c r="G1190" i="13"/>
  <c r="F1190" i="13"/>
  <c r="E1190" i="13"/>
  <c r="I1189" i="13"/>
  <c r="G1189" i="13"/>
  <c r="F1189" i="13"/>
  <c r="E1189" i="13"/>
  <c r="I1168" i="13"/>
  <c r="I1167" i="13" s="1"/>
  <c r="G1168" i="13"/>
  <c r="G1167" i="13" s="1"/>
  <c r="E1168" i="13"/>
  <c r="E1167" i="13" s="1"/>
  <c r="E799" i="13"/>
  <c r="I708" i="13"/>
  <c r="G708" i="13"/>
  <c r="E708" i="13"/>
  <c r="N698" i="13"/>
  <c r="G1022" i="13"/>
  <c r="I1022" i="13"/>
  <c r="H1022" i="13"/>
  <c r="F1022" i="13"/>
  <c r="E1022" i="13"/>
  <c r="I981" i="13"/>
  <c r="H981" i="13"/>
  <c r="G981" i="13"/>
  <c r="F981" i="13"/>
  <c r="E981" i="13"/>
  <c r="F840" i="13"/>
  <c r="C855" i="13" l="1"/>
  <c r="V855" i="13" s="1"/>
  <c r="C864" i="13"/>
  <c r="C1170" i="13"/>
  <c r="C1169" i="13" s="1"/>
  <c r="C863" i="13" l="1"/>
  <c r="V863" i="13" s="1"/>
  <c r="R1173" i="13"/>
  <c r="N1173" i="13"/>
  <c r="I1173" i="13"/>
  <c r="F1173" i="13"/>
  <c r="E1173" i="13"/>
  <c r="R680" i="13"/>
  <c r="N680" i="13"/>
  <c r="I680" i="13"/>
  <c r="H680" i="13"/>
  <c r="F680" i="13"/>
  <c r="F678" i="13" s="1"/>
  <c r="E680" i="13"/>
  <c r="R681" i="13"/>
  <c r="N681" i="13"/>
  <c r="I681" i="13"/>
  <c r="F681" i="13"/>
  <c r="E681" i="13"/>
  <c r="R687" i="13"/>
  <c r="N687" i="13"/>
  <c r="I687" i="13"/>
  <c r="E687" i="13"/>
  <c r="N735" i="13"/>
  <c r="N763" i="13"/>
  <c r="R775" i="13"/>
  <c r="R774" i="13" s="1"/>
  <c r="N869" i="13"/>
  <c r="N872" i="13"/>
  <c r="N873" i="13"/>
  <c r="I678" i="13" l="1"/>
  <c r="E678" i="13"/>
  <c r="R429" i="13"/>
  <c r="N879" i="13"/>
  <c r="N502" i="13"/>
  <c r="I991" i="13"/>
  <c r="F991" i="13"/>
  <c r="E991" i="13"/>
  <c r="I992" i="13"/>
  <c r="F992" i="13"/>
  <c r="E992" i="13"/>
  <c r="R995" i="13"/>
  <c r="N995" i="13"/>
  <c r="N1020" i="13"/>
  <c r="N1046" i="13"/>
  <c r="I1068" i="13"/>
  <c r="F1068" i="13"/>
  <c r="E1068" i="13"/>
  <c r="I1069" i="13" l="1"/>
  <c r="F1069" i="13"/>
  <c r="E1069" i="13"/>
  <c r="N1097" i="13"/>
  <c r="G690" i="13"/>
  <c r="N529" i="13"/>
  <c r="V529" i="13" s="1"/>
  <c r="D529" i="13"/>
  <c r="C529" i="13" l="1"/>
  <c r="L1108" i="13"/>
  <c r="L865" i="13" s="1"/>
  <c r="L677" i="13" s="1"/>
  <c r="R1200" i="13"/>
  <c r="R1199" i="13" s="1"/>
  <c r="R1198" i="13"/>
  <c r="R1197" i="13"/>
  <c r="R1196" i="13"/>
  <c r="R1194" i="13"/>
  <c r="R1192" i="13"/>
  <c r="R1191" i="13"/>
  <c r="R1190" i="13"/>
  <c r="R1189" i="13"/>
  <c r="R1188" i="13"/>
  <c r="R1187" i="13"/>
  <c r="R1186" i="13"/>
  <c r="R1185" i="13"/>
  <c r="R1184" i="13"/>
  <c r="R1183" i="13"/>
  <c r="R1182" i="13"/>
  <c r="R1168" i="13"/>
  <c r="R1167" i="13" s="1"/>
  <c r="R1166" i="13"/>
  <c r="R1165" i="13" s="1"/>
  <c r="R1164" i="13"/>
  <c r="R1163" i="13"/>
  <c r="R1162" i="13"/>
  <c r="R1159" i="13"/>
  <c r="R1158" i="13" s="1"/>
  <c r="R1157" i="13"/>
  <c r="R1156" i="13" s="1"/>
  <c r="R1155" i="13"/>
  <c r="R1154" i="13" s="1"/>
  <c r="R1153" i="13"/>
  <c r="R1151" i="13"/>
  <c r="R1148" i="13" s="1"/>
  <c r="R1147" i="13"/>
  <c r="R1146" i="13" s="1"/>
  <c r="R1142" i="13"/>
  <c r="R1141" i="13"/>
  <c r="R1139" i="13"/>
  <c r="R1138" i="13"/>
  <c r="R1137" i="13"/>
  <c r="R1135" i="13"/>
  <c r="R1134" i="13" s="1"/>
  <c r="R1133" i="13"/>
  <c r="R1132" i="13" s="1"/>
  <c r="R1128" i="13"/>
  <c r="R1127" i="13" s="1"/>
  <c r="R1126" i="13"/>
  <c r="R1123" i="13"/>
  <c r="R1122" i="13" s="1"/>
  <c r="R1121" i="13"/>
  <c r="R1120" i="13"/>
  <c r="R1119" i="13"/>
  <c r="R1118" i="13"/>
  <c r="R1117" i="13"/>
  <c r="R1116" i="13"/>
  <c r="R1115" i="13"/>
  <c r="R1114" i="13"/>
  <c r="R1113" i="13"/>
  <c r="R1112" i="13"/>
  <c r="R1111" i="13"/>
  <c r="R1110" i="13"/>
  <c r="R1109" i="13"/>
  <c r="R1108" i="13"/>
  <c r="R1107" i="13"/>
  <c r="R1106" i="13"/>
  <c r="R1105" i="13"/>
  <c r="R1104" i="13"/>
  <c r="R1103" i="13"/>
  <c r="R1102" i="13"/>
  <c r="R1101" i="13"/>
  <c r="R1100" i="13"/>
  <c r="R1099" i="13"/>
  <c r="R1098" i="13"/>
  <c r="R1095" i="13"/>
  <c r="R1094" i="13"/>
  <c r="R1093" i="13"/>
  <c r="R1092" i="13"/>
  <c r="R1091" i="13"/>
  <c r="R1090" i="13"/>
  <c r="R1089" i="13"/>
  <c r="R1088" i="13"/>
  <c r="R1087" i="13"/>
  <c r="R1086" i="13"/>
  <c r="R1083" i="13"/>
  <c r="R1082" i="13"/>
  <c r="R1081" i="13"/>
  <c r="R1075" i="13"/>
  <c r="R1074" i="13"/>
  <c r="R1073" i="13"/>
  <c r="R1064" i="13"/>
  <c r="R1062" i="13"/>
  <c r="R1061" i="13"/>
  <c r="R1060" i="13"/>
  <c r="R1059" i="13"/>
  <c r="R1058" i="13"/>
  <c r="R1057" i="13"/>
  <c r="R1056" i="13"/>
  <c r="R1055" i="13"/>
  <c r="R1053" i="13"/>
  <c r="R1052" i="13"/>
  <c r="R1051" i="13"/>
  <c r="R1050" i="13"/>
  <c r="R1049" i="13"/>
  <c r="R1048" i="13"/>
  <c r="R1045" i="13"/>
  <c r="R1044" i="13"/>
  <c r="R1043" i="13"/>
  <c r="R1042" i="13"/>
  <c r="R1041" i="13"/>
  <c r="R1040" i="13"/>
  <c r="R1039" i="13"/>
  <c r="R1037" i="13"/>
  <c r="R1036" i="13"/>
  <c r="R1035" i="13"/>
  <c r="R1034" i="13"/>
  <c r="R1033" i="13"/>
  <c r="R1032" i="13"/>
  <c r="R1031" i="13"/>
  <c r="R1030" i="13"/>
  <c r="R1029" i="13"/>
  <c r="R1028" i="13"/>
  <c r="R1025" i="13"/>
  <c r="R1024" i="13"/>
  <c r="R1022" i="13"/>
  <c r="R1021" i="13"/>
  <c r="R1018" i="13"/>
  <c r="R870" i="13"/>
  <c r="R1017" i="13"/>
  <c r="R1016" i="13"/>
  <c r="R1015" i="13"/>
  <c r="R1014" i="13"/>
  <c r="R1013" i="13"/>
  <c r="R1012" i="13"/>
  <c r="R1011" i="13"/>
  <c r="R1009" i="13"/>
  <c r="R1005" i="13"/>
  <c r="R1004" i="13"/>
  <c r="R1003" i="13"/>
  <c r="R1002" i="13"/>
  <c r="R1001" i="13"/>
  <c r="R1000" i="13"/>
  <c r="R999" i="13"/>
  <c r="R998" i="13"/>
  <c r="R996" i="13"/>
  <c r="R993" i="13"/>
  <c r="R990" i="13"/>
  <c r="R989" i="13"/>
  <c r="R988" i="13"/>
  <c r="R987" i="13"/>
  <c r="R986" i="13"/>
  <c r="R984" i="13"/>
  <c r="R983" i="13"/>
  <c r="R985" i="13"/>
  <c r="R982" i="13"/>
  <c r="R981" i="13"/>
  <c r="R980" i="13"/>
  <c r="R978" i="13"/>
  <c r="R977" i="13"/>
  <c r="R976" i="13"/>
  <c r="R975" i="13"/>
  <c r="R974" i="13"/>
  <c r="R973" i="13"/>
  <c r="R972" i="13"/>
  <c r="R971" i="13"/>
  <c r="R970" i="13"/>
  <c r="R969" i="13"/>
  <c r="R968" i="13"/>
  <c r="R966" i="13"/>
  <c r="R963" i="13"/>
  <c r="R962" i="13"/>
  <c r="R961" i="13"/>
  <c r="R960" i="13"/>
  <c r="R958" i="13"/>
  <c r="R957" i="13"/>
  <c r="R956" i="13"/>
  <c r="R955" i="13"/>
  <c r="R954" i="13"/>
  <c r="R953" i="13"/>
  <c r="R952" i="13"/>
  <c r="R951" i="13"/>
  <c r="R950" i="13"/>
  <c r="R949" i="13"/>
  <c r="R948" i="13"/>
  <c r="R947" i="13"/>
  <c r="R946" i="13"/>
  <c r="R944" i="13"/>
  <c r="R941" i="13"/>
  <c r="R940" i="13"/>
  <c r="R939" i="13"/>
  <c r="R938" i="13"/>
  <c r="R937" i="13"/>
  <c r="R936" i="13"/>
  <c r="R935" i="13"/>
  <c r="R932" i="13"/>
  <c r="R931" i="13"/>
  <c r="R930" i="13"/>
  <c r="R929" i="13"/>
  <c r="R928" i="13"/>
  <c r="R927" i="13"/>
  <c r="R926" i="13"/>
  <c r="R925" i="13"/>
  <c r="R924" i="13"/>
  <c r="R923" i="13"/>
  <c r="R922" i="13"/>
  <c r="R921" i="13"/>
  <c r="R919" i="13"/>
  <c r="R918" i="13"/>
  <c r="R917" i="13"/>
  <c r="R916" i="13"/>
  <c r="R915" i="13"/>
  <c r="R914" i="13"/>
  <c r="R913" i="13"/>
  <c r="R912" i="13"/>
  <c r="R911" i="13"/>
  <c r="R910" i="13"/>
  <c r="R908" i="13"/>
  <c r="R907" i="13"/>
  <c r="R903" i="13"/>
  <c r="R902" i="13"/>
  <c r="R901" i="13"/>
  <c r="R900" i="13"/>
  <c r="R899" i="13"/>
  <c r="R898" i="13"/>
  <c r="R1131" i="13"/>
  <c r="R1130" i="13"/>
  <c r="R897" i="13"/>
  <c r="R896" i="13"/>
  <c r="R895" i="13"/>
  <c r="R894" i="13"/>
  <c r="R893" i="13"/>
  <c r="R890" i="13"/>
  <c r="R889" i="13"/>
  <c r="R886" i="13"/>
  <c r="R885" i="13"/>
  <c r="R884" i="13"/>
  <c r="R883" i="13"/>
  <c r="R881" i="13"/>
  <c r="R878" i="13"/>
  <c r="R877" i="13"/>
  <c r="R876" i="13"/>
  <c r="R871" i="13"/>
  <c r="R866" i="13"/>
  <c r="R862" i="13"/>
  <c r="R861" i="13"/>
  <c r="R860" i="13" s="1"/>
  <c r="R858" i="13"/>
  <c r="R857" i="13" s="1"/>
  <c r="R854" i="13"/>
  <c r="R853" i="13"/>
  <c r="R852" i="13"/>
  <c r="R851" i="13"/>
  <c r="R850" i="13"/>
  <c r="R849" i="13"/>
  <c r="R848" i="13"/>
  <c r="R847" i="13"/>
  <c r="R844" i="13"/>
  <c r="R841" i="13"/>
  <c r="R839" i="13"/>
  <c r="R838" i="13"/>
  <c r="R836" i="13"/>
  <c r="R835" i="13"/>
  <c r="R832" i="13"/>
  <c r="R829" i="13"/>
  <c r="R828" i="13"/>
  <c r="R827" i="13"/>
  <c r="R823" i="13"/>
  <c r="R822" i="13"/>
  <c r="R821" i="13"/>
  <c r="R820" i="13"/>
  <c r="R817" i="13"/>
  <c r="R816" i="13"/>
  <c r="R811" i="13"/>
  <c r="R810" i="13"/>
  <c r="R809" i="13"/>
  <c r="R808" i="13"/>
  <c r="R807" i="13"/>
  <c r="R806" i="13"/>
  <c r="R805" i="13"/>
  <c r="R804" i="13"/>
  <c r="R803" i="13"/>
  <c r="R802" i="13"/>
  <c r="R801" i="13"/>
  <c r="R800" i="13"/>
  <c r="R799" i="13"/>
  <c r="R798" i="13"/>
  <c r="R795" i="13"/>
  <c r="R790" i="13"/>
  <c r="R789" i="13" s="1"/>
  <c r="R788" i="13"/>
  <c r="R787" i="13"/>
  <c r="R786" i="13"/>
  <c r="R785" i="13"/>
  <c r="R780" i="13"/>
  <c r="R779" i="13" s="1"/>
  <c r="R778" i="13"/>
  <c r="R777" i="13"/>
  <c r="R776" i="13" s="1"/>
  <c r="R773" i="13"/>
  <c r="R772" i="13" s="1"/>
  <c r="R771" i="13"/>
  <c r="R770" i="13" s="1"/>
  <c r="R769" i="13"/>
  <c r="R768" i="13" s="1"/>
  <c r="R767" i="13"/>
  <c r="R766" i="13" s="1"/>
  <c r="R765" i="13"/>
  <c r="R764" i="13"/>
  <c r="R762" i="13"/>
  <c r="R761" i="13"/>
  <c r="R759" i="13"/>
  <c r="R758" i="13" s="1"/>
  <c r="R757" i="13"/>
  <c r="R756" i="13"/>
  <c r="R755" i="13"/>
  <c r="R754" i="13"/>
  <c r="R753" i="13"/>
  <c r="R752" i="13" s="1"/>
  <c r="R751" i="13"/>
  <c r="R750" i="13" s="1"/>
  <c r="R748" i="13"/>
  <c r="R749" i="13"/>
  <c r="R747" i="13"/>
  <c r="R746" i="13"/>
  <c r="R744" i="13"/>
  <c r="R742" i="13"/>
  <c r="R740" i="13"/>
  <c r="R739" i="13" s="1"/>
  <c r="R736" i="13"/>
  <c r="R734" i="13"/>
  <c r="R733" i="13"/>
  <c r="R732" i="13"/>
  <c r="R731" i="13" s="1"/>
  <c r="R729" i="13"/>
  <c r="R728" i="13"/>
  <c r="R727" i="13" s="1"/>
  <c r="R726" i="13"/>
  <c r="R724" i="13"/>
  <c r="R723" i="13" s="1"/>
  <c r="R720" i="13"/>
  <c r="R719" i="13"/>
  <c r="R718" i="13"/>
  <c r="R716" i="13"/>
  <c r="R711" i="13"/>
  <c r="R710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22" i="13"/>
  <c r="P865" i="13" s="1"/>
  <c r="P851" i="13"/>
  <c r="P850" i="13"/>
  <c r="P849" i="13"/>
  <c r="P844" i="13"/>
  <c r="P840" i="13"/>
  <c r="P780" i="13"/>
  <c r="P779" i="13" s="1"/>
  <c r="I1188" i="13"/>
  <c r="I1187" i="13"/>
  <c r="I1186" i="13"/>
  <c r="I1185" i="13"/>
  <c r="I1184" i="13"/>
  <c r="I1183" i="13"/>
  <c r="I1182" i="13"/>
  <c r="I1162" i="13"/>
  <c r="I1161" i="13" s="1"/>
  <c r="I1157" i="13"/>
  <c r="I1156" i="13" s="1"/>
  <c r="I1142" i="13"/>
  <c r="I1140" i="13" s="1"/>
  <c r="I1133" i="13"/>
  <c r="I1132" i="13" s="1"/>
  <c r="I1128" i="13"/>
  <c r="I1127" i="13" s="1"/>
  <c r="I1126" i="13"/>
  <c r="I1113" i="13"/>
  <c r="I1112" i="13"/>
  <c r="I1111" i="13"/>
  <c r="I1081" i="13"/>
  <c r="I1041" i="13"/>
  <c r="I1037" i="13"/>
  <c r="I1036" i="13"/>
  <c r="I1029" i="13"/>
  <c r="I1028" i="13"/>
  <c r="I987" i="13"/>
  <c r="I948" i="13"/>
  <c r="I903" i="13"/>
  <c r="I889" i="13"/>
  <c r="I885" i="13"/>
  <c r="I849" i="13"/>
  <c r="I840" i="13"/>
  <c r="I837" i="13" s="1"/>
  <c r="I823" i="13"/>
  <c r="I822" i="13"/>
  <c r="I811" i="13"/>
  <c r="I810" i="13"/>
  <c r="I809" i="13"/>
  <c r="I807" i="13"/>
  <c r="I804" i="13"/>
  <c r="I803" i="13"/>
  <c r="I801" i="13"/>
  <c r="I800" i="13"/>
  <c r="I798" i="13"/>
  <c r="I787" i="13"/>
  <c r="I781" i="13" s="1"/>
  <c r="I769" i="13"/>
  <c r="I768" i="13" s="1"/>
  <c r="I759" i="13"/>
  <c r="I758" i="13" s="1"/>
  <c r="I755" i="13"/>
  <c r="I752" i="13" s="1"/>
  <c r="I734" i="13"/>
  <c r="I733" i="13"/>
  <c r="I732" i="13"/>
  <c r="I726" i="13"/>
  <c r="I707" i="13"/>
  <c r="I701" i="13"/>
  <c r="I690" i="13"/>
  <c r="H889" i="13"/>
  <c r="G759" i="13"/>
  <c r="G758" i="13" s="1"/>
  <c r="F1188" i="13"/>
  <c r="F1187" i="13"/>
  <c r="F1186" i="13"/>
  <c r="F1185" i="13"/>
  <c r="F1184" i="13"/>
  <c r="F1183" i="13"/>
  <c r="F1182" i="13"/>
  <c r="F1162" i="13"/>
  <c r="F1161" i="13" s="1"/>
  <c r="F1160" i="13"/>
  <c r="F1158" i="13" s="1"/>
  <c r="F1157" i="13"/>
  <c r="F1156" i="13" s="1"/>
  <c r="F1142" i="13"/>
  <c r="F1140" i="13" s="1"/>
  <c r="F1133" i="13"/>
  <c r="F1132" i="13" s="1"/>
  <c r="F1126" i="13"/>
  <c r="F1113" i="13"/>
  <c r="F1112" i="13"/>
  <c r="F1111" i="13"/>
  <c r="F1081" i="13"/>
  <c r="F1041" i="13"/>
  <c r="F1037" i="13"/>
  <c r="F1036" i="13"/>
  <c r="F1029" i="13"/>
  <c r="F1028" i="13"/>
  <c r="F987" i="13"/>
  <c r="F948" i="13"/>
  <c r="F903" i="13"/>
  <c r="F889" i="13"/>
  <c r="F885" i="13"/>
  <c r="F849" i="13"/>
  <c r="F837" i="13" s="1"/>
  <c r="F823" i="13"/>
  <c r="F822" i="13"/>
  <c r="F817" i="13"/>
  <c r="F816" i="13"/>
  <c r="F814" i="13" s="1"/>
  <c r="F811" i="13"/>
  <c r="F810" i="13"/>
  <c r="F809" i="13"/>
  <c r="F807" i="13"/>
  <c r="F804" i="13"/>
  <c r="F803" i="13"/>
  <c r="F801" i="13"/>
  <c r="F800" i="13"/>
  <c r="F798" i="13"/>
  <c r="F787" i="13"/>
  <c r="F781" i="13" s="1"/>
  <c r="F769" i="13"/>
  <c r="F768" i="13" s="1"/>
  <c r="F755" i="13"/>
  <c r="F752" i="13" s="1"/>
  <c r="F734" i="13"/>
  <c r="F733" i="13"/>
  <c r="F731" i="13" s="1"/>
  <c r="F726" i="13"/>
  <c r="F708" i="13"/>
  <c r="F707" i="13"/>
  <c r="F701" i="13"/>
  <c r="F690" i="13"/>
  <c r="F687" i="13"/>
  <c r="F683" i="13" s="1"/>
  <c r="E1188" i="13"/>
  <c r="E1187" i="13"/>
  <c r="E1186" i="13"/>
  <c r="E1185" i="13"/>
  <c r="E1184" i="13"/>
  <c r="E1183" i="13"/>
  <c r="E1182" i="13"/>
  <c r="E1162" i="13"/>
  <c r="E1161" i="13" s="1"/>
  <c r="E1171" i="13" l="1"/>
  <c r="F1171" i="13"/>
  <c r="R717" i="13"/>
  <c r="R741" i="13"/>
  <c r="R781" i="13"/>
  <c r="R814" i="13"/>
  <c r="R837" i="13"/>
  <c r="R1129" i="13"/>
  <c r="R1140" i="13"/>
  <c r="R1161" i="13"/>
  <c r="I683" i="13"/>
  <c r="I731" i="13"/>
  <c r="I1171" i="13"/>
  <c r="P837" i="13"/>
  <c r="R760" i="13"/>
  <c r="R1136" i="13"/>
  <c r="R1195" i="13"/>
  <c r="R745" i="13"/>
  <c r="R824" i="13"/>
  <c r="E1159" i="13"/>
  <c r="E1158" i="13" s="1"/>
  <c r="E1157" i="13"/>
  <c r="E1156" i="13" s="1"/>
  <c r="E1153" i="13"/>
  <c r="E1151" i="13"/>
  <c r="E1148" i="13" s="1"/>
  <c r="E1147" i="13"/>
  <c r="E1146" i="13" s="1"/>
  <c r="E1142" i="13"/>
  <c r="E1140" i="13" s="1"/>
  <c r="E1133" i="13"/>
  <c r="E1132" i="13" s="1"/>
  <c r="E1126" i="13"/>
  <c r="E1113" i="13"/>
  <c r="E1112" i="13"/>
  <c r="E1111" i="13"/>
  <c r="E1081" i="13"/>
  <c r="E1041" i="13"/>
  <c r="E1037" i="13"/>
  <c r="E1036" i="13"/>
  <c r="E1029" i="13"/>
  <c r="E1028" i="13"/>
  <c r="E987" i="13"/>
  <c r="E948" i="13"/>
  <c r="E903" i="13"/>
  <c r="E889" i="13"/>
  <c r="E885" i="13"/>
  <c r="E862" i="13"/>
  <c r="E861" i="13"/>
  <c r="E860" i="13" s="1"/>
  <c r="E849" i="13"/>
  <c r="E840" i="13"/>
  <c r="E837" i="13" s="1"/>
  <c r="E823" i="13"/>
  <c r="E822" i="13"/>
  <c r="E821" i="13"/>
  <c r="E820" i="13"/>
  <c r="E817" i="13"/>
  <c r="E816" i="13"/>
  <c r="E814" i="13" s="1"/>
  <c r="E811" i="13"/>
  <c r="E810" i="13"/>
  <c r="E809" i="13"/>
  <c r="E807" i="13"/>
  <c r="E804" i="13"/>
  <c r="E803" i="13"/>
  <c r="E802" i="13"/>
  <c r="E801" i="13"/>
  <c r="E800" i="13"/>
  <c r="E798" i="13"/>
  <c r="E787" i="13"/>
  <c r="E781" i="13" s="1"/>
  <c r="E780" i="13"/>
  <c r="E779" i="13" s="1"/>
  <c r="E769" i="13"/>
  <c r="E768" i="13" s="1"/>
  <c r="E759" i="13"/>
  <c r="E758" i="13" s="1"/>
  <c r="E755" i="13"/>
  <c r="E752" i="13" s="1"/>
  <c r="E734" i="13"/>
  <c r="E733" i="13"/>
  <c r="E732" i="13"/>
  <c r="E726" i="13"/>
  <c r="E723" i="13" s="1"/>
  <c r="E716" i="13"/>
  <c r="E715" i="13"/>
  <c r="E707" i="13"/>
  <c r="E701" i="13"/>
  <c r="E690" i="13"/>
  <c r="E683" i="13" s="1"/>
  <c r="N1200" i="13"/>
  <c r="N1199" i="13" s="1"/>
  <c r="N1197" i="13"/>
  <c r="N1195" i="13" s="1"/>
  <c r="N1194" i="13"/>
  <c r="N1192" i="13"/>
  <c r="N1191" i="13"/>
  <c r="N1190" i="13"/>
  <c r="N1189" i="13"/>
  <c r="N1187" i="13"/>
  <c r="N1186" i="13"/>
  <c r="N1185" i="13"/>
  <c r="N1184" i="13"/>
  <c r="N1183" i="13"/>
  <c r="N1182" i="13"/>
  <c r="N1166" i="13"/>
  <c r="N1165" i="13" s="1"/>
  <c r="N1164" i="13"/>
  <c r="N1163" i="13"/>
  <c r="N1162" i="13"/>
  <c r="N1159" i="13"/>
  <c r="N1158" i="13" s="1"/>
  <c r="N1155" i="13"/>
  <c r="N1154" i="13" s="1"/>
  <c r="N1153" i="13"/>
  <c r="N1151" i="13"/>
  <c r="N1147" i="13"/>
  <c r="N1146" i="13" s="1"/>
  <c r="N1142" i="13"/>
  <c r="N1141" i="13"/>
  <c r="N1140" i="13" s="1"/>
  <c r="N1138" i="13"/>
  <c r="N1137" i="13"/>
  <c r="N1136" i="13" s="1"/>
  <c r="N1135" i="13"/>
  <c r="N1134" i="13" s="1"/>
  <c r="N1133" i="13"/>
  <c r="N1132" i="13" s="1"/>
  <c r="N1126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7" i="13"/>
  <c r="N1106" i="13"/>
  <c r="N1105" i="13"/>
  <c r="N1104" i="13"/>
  <c r="N1103" i="13"/>
  <c r="N1102" i="13"/>
  <c r="N1101" i="13"/>
  <c r="N1100" i="13"/>
  <c r="N1099" i="13"/>
  <c r="N1098" i="13"/>
  <c r="N1095" i="13"/>
  <c r="N1094" i="13"/>
  <c r="N1093" i="13"/>
  <c r="N1092" i="13"/>
  <c r="N1091" i="13"/>
  <c r="N1090" i="13"/>
  <c r="N1087" i="13"/>
  <c r="N1086" i="13"/>
  <c r="N1083" i="13"/>
  <c r="N1082" i="13"/>
  <c r="N1075" i="13"/>
  <c r="N1074" i="13"/>
  <c r="N1073" i="13"/>
  <c r="N1064" i="13"/>
  <c r="N1062" i="13"/>
  <c r="N1061" i="13"/>
  <c r="N1060" i="13"/>
  <c r="N1059" i="13"/>
  <c r="N1058" i="13"/>
  <c r="N1057" i="13"/>
  <c r="N1056" i="13"/>
  <c r="N1053" i="13"/>
  <c r="N1052" i="13"/>
  <c r="N1051" i="13"/>
  <c r="N1050" i="13"/>
  <c r="N1049" i="13"/>
  <c r="N1048" i="13"/>
  <c r="N1045" i="13"/>
  <c r="N1044" i="13"/>
  <c r="N1043" i="13"/>
  <c r="N1042" i="13"/>
  <c r="N1039" i="13"/>
  <c r="N1035" i="13"/>
  <c r="N1034" i="13"/>
  <c r="N1033" i="13"/>
  <c r="N1032" i="13"/>
  <c r="N1031" i="13"/>
  <c r="N1029" i="13"/>
  <c r="N1025" i="13"/>
  <c r="N1024" i="13"/>
  <c r="N1022" i="13"/>
  <c r="N1021" i="13"/>
  <c r="N1018" i="13"/>
  <c r="N870" i="13"/>
  <c r="N1017" i="13"/>
  <c r="N1016" i="13"/>
  <c r="N1015" i="13"/>
  <c r="N1014" i="13"/>
  <c r="N1013" i="13"/>
  <c r="N1012" i="13"/>
  <c r="N1011" i="13"/>
  <c r="N1009" i="13"/>
  <c r="N1005" i="13"/>
  <c r="N1004" i="13"/>
  <c r="N1003" i="13"/>
  <c r="N1002" i="13"/>
  <c r="N1001" i="13"/>
  <c r="N1000" i="13"/>
  <c r="N999" i="13"/>
  <c r="N998" i="13"/>
  <c r="N996" i="13"/>
  <c r="N993" i="13"/>
  <c r="N990" i="13"/>
  <c r="N989" i="13"/>
  <c r="N988" i="13"/>
  <c r="N987" i="13"/>
  <c r="N986" i="13"/>
  <c r="N984" i="13"/>
  <c r="N983" i="13"/>
  <c r="N985" i="13"/>
  <c r="N982" i="13"/>
  <c r="N978" i="13"/>
  <c r="N977" i="13"/>
  <c r="N976" i="13"/>
  <c r="N975" i="13"/>
  <c r="N974" i="13"/>
  <c r="N973" i="13"/>
  <c r="N972" i="13"/>
  <c r="N971" i="13"/>
  <c r="N970" i="13"/>
  <c r="N969" i="13"/>
  <c r="N968" i="13"/>
  <c r="N966" i="13"/>
  <c r="N963" i="13"/>
  <c r="N962" i="13"/>
  <c r="N961" i="13"/>
  <c r="N960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4" i="13"/>
  <c r="N941" i="13"/>
  <c r="N940" i="13"/>
  <c r="N939" i="13"/>
  <c r="N937" i="13"/>
  <c r="N936" i="13"/>
  <c r="N935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19" i="13"/>
  <c r="N918" i="13"/>
  <c r="N917" i="13"/>
  <c r="N916" i="13"/>
  <c r="N915" i="13"/>
  <c r="N914" i="13"/>
  <c r="N913" i="13"/>
  <c r="N912" i="13"/>
  <c r="N911" i="13"/>
  <c r="N910" i="13"/>
  <c r="N908" i="13"/>
  <c r="N907" i="13"/>
  <c r="N902" i="13"/>
  <c r="N901" i="13"/>
  <c r="N900" i="13"/>
  <c r="N899" i="13"/>
  <c r="N898" i="13"/>
  <c r="N1131" i="13"/>
  <c r="N1130" i="13"/>
  <c r="N897" i="13"/>
  <c r="N896" i="13"/>
  <c r="N895" i="13"/>
  <c r="N894" i="13"/>
  <c r="N893" i="13"/>
  <c r="N890" i="13"/>
  <c r="N889" i="13"/>
  <c r="N886" i="13"/>
  <c r="N884" i="13"/>
  <c r="N883" i="13"/>
  <c r="N881" i="13"/>
  <c r="N878" i="13"/>
  <c r="N877" i="13"/>
  <c r="N876" i="13"/>
  <c r="N866" i="13"/>
  <c r="N862" i="13"/>
  <c r="N861" i="13"/>
  <c r="N860" i="13" s="1"/>
  <c r="N853" i="13"/>
  <c r="N852" i="13"/>
  <c r="N851" i="13"/>
  <c r="N850" i="13"/>
  <c r="N849" i="13"/>
  <c r="N848" i="13"/>
  <c r="N847" i="13"/>
  <c r="N844" i="13"/>
  <c r="N839" i="13"/>
  <c r="N836" i="13"/>
  <c r="N835" i="13"/>
  <c r="N832" i="13"/>
  <c r="N829" i="13"/>
  <c r="N828" i="13"/>
  <c r="N827" i="13"/>
  <c r="N823" i="13"/>
  <c r="N822" i="13"/>
  <c r="N820" i="13"/>
  <c r="N817" i="13"/>
  <c r="N816" i="13"/>
  <c r="N811" i="13"/>
  <c r="N810" i="13"/>
  <c r="N809" i="13"/>
  <c r="N808" i="13"/>
  <c r="N807" i="13"/>
  <c r="N806" i="13"/>
  <c r="N804" i="13"/>
  <c r="N803" i="13"/>
  <c r="N802" i="13"/>
  <c r="N801" i="13"/>
  <c r="N800" i="13"/>
  <c r="N799" i="13"/>
  <c r="N798" i="13"/>
  <c r="N795" i="13"/>
  <c r="N790" i="13"/>
  <c r="N789" i="13" s="1"/>
  <c r="N788" i="13"/>
  <c r="N786" i="13"/>
  <c r="N785" i="13"/>
  <c r="N781" i="13" s="1"/>
  <c r="N780" i="13"/>
  <c r="N779" i="13" s="1"/>
  <c r="N778" i="13"/>
  <c r="N777" i="13"/>
  <c r="N773" i="13"/>
  <c r="N772" i="13" s="1"/>
  <c r="N771" i="13"/>
  <c r="N770" i="13" s="1"/>
  <c r="N769" i="13"/>
  <c r="N768" i="13" s="1"/>
  <c r="N767" i="13"/>
  <c r="N766" i="13" s="1"/>
  <c r="N762" i="13"/>
  <c r="N761" i="13"/>
  <c r="N757" i="13"/>
  <c r="N756" i="13"/>
  <c r="N754" i="13"/>
  <c r="N753" i="13"/>
  <c r="N751" i="13"/>
  <c r="N750" i="13" s="1"/>
  <c r="N748" i="13"/>
  <c r="N749" i="13"/>
  <c r="N747" i="13"/>
  <c r="N746" i="13"/>
  <c r="N740" i="13"/>
  <c r="N739" i="13" s="1"/>
  <c r="N736" i="13"/>
  <c r="N734" i="13"/>
  <c r="N733" i="13"/>
  <c r="N732" i="13"/>
  <c r="N729" i="13"/>
  <c r="N728" i="13"/>
  <c r="N720" i="13"/>
  <c r="N719" i="13"/>
  <c r="N716" i="13"/>
  <c r="N715" i="13"/>
  <c r="N713" i="13"/>
  <c r="N712" i="13" s="1"/>
  <c r="N711" i="13"/>
  <c r="N710" i="13"/>
  <c r="N709" i="13"/>
  <c r="N708" i="13"/>
  <c r="N706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N717" i="13" l="1"/>
  <c r="N731" i="13"/>
  <c r="N776" i="13"/>
  <c r="N837" i="13"/>
  <c r="N745" i="13"/>
  <c r="E731" i="13"/>
  <c r="N678" i="13"/>
  <c r="N714" i="13"/>
  <c r="N727" i="13"/>
  <c r="N752" i="13"/>
  <c r="N760" i="13"/>
  <c r="N824" i="13"/>
  <c r="N1129" i="13"/>
  <c r="N1148" i="13"/>
  <c r="N1161" i="13"/>
  <c r="N1171" i="13"/>
  <c r="E714" i="13"/>
  <c r="F373" i="13"/>
  <c r="E373" i="13"/>
  <c r="D1147" i="13"/>
  <c r="D1146" i="13" s="1"/>
  <c r="V1135" i="13"/>
  <c r="D1135" i="13"/>
  <c r="V1086" i="13"/>
  <c r="D1086" i="13"/>
  <c r="C1086" i="13" s="1"/>
  <c r="C1135" i="13" l="1"/>
  <c r="C1134" i="13" s="1"/>
  <c r="D1134" i="13"/>
  <c r="C1147" i="13"/>
  <c r="C1146" i="13" s="1"/>
  <c r="V1147" i="13"/>
  <c r="V949" i="13"/>
  <c r="D949" i="13"/>
  <c r="C949" i="13" s="1"/>
  <c r="V1160" i="13" l="1"/>
  <c r="D684" i="13"/>
  <c r="D848" i="13"/>
  <c r="J835" i="13"/>
  <c r="D771" i="13"/>
  <c r="D770" i="13" s="1"/>
  <c r="D764" i="13"/>
  <c r="C764" i="13" s="1"/>
  <c r="V1028" i="13"/>
  <c r="H1028" i="13"/>
  <c r="G1028" i="13"/>
  <c r="G1188" i="13"/>
  <c r="H875" i="13"/>
  <c r="G875" i="13"/>
  <c r="E641" i="13"/>
  <c r="E635" i="13" s="1"/>
  <c r="E342" i="13"/>
  <c r="E341" i="13" s="1"/>
  <c r="E379" i="13"/>
  <c r="F372" i="13"/>
  <c r="E372" i="13"/>
  <c r="E371" i="13"/>
  <c r="E369" i="13"/>
  <c r="V849" i="13"/>
  <c r="J849" i="13"/>
  <c r="G849" i="13"/>
  <c r="G837" i="13" s="1"/>
  <c r="V1017" i="13"/>
  <c r="D1017" i="13"/>
  <c r="V1016" i="13"/>
  <c r="D1016" i="13"/>
  <c r="C684" i="13" l="1"/>
  <c r="D1160" i="13"/>
  <c r="C848" i="13"/>
  <c r="D835" i="13"/>
  <c r="V835" i="13"/>
  <c r="V771" i="13"/>
  <c r="C1016" i="13"/>
  <c r="C1017" i="13"/>
  <c r="D849" i="13"/>
  <c r="C849" i="13" s="1"/>
  <c r="C771" i="13"/>
  <c r="C770" i="13" s="1"/>
  <c r="D1028" i="13"/>
  <c r="C1028" i="13" s="1"/>
  <c r="D1023" i="13"/>
  <c r="N1023" i="13"/>
  <c r="R1023" i="13"/>
  <c r="V1166" i="13"/>
  <c r="D1166" i="13"/>
  <c r="D1165" i="13" s="1"/>
  <c r="V736" i="13"/>
  <c r="D736" i="13"/>
  <c r="V1033" i="13"/>
  <c r="D1033" i="13"/>
  <c r="H892" i="13"/>
  <c r="G892" i="13"/>
  <c r="V1023" i="13" l="1"/>
  <c r="C1160" i="13"/>
  <c r="C835" i="13"/>
  <c r="C1023" i="13"/>
  <c r="C736" i="13"/>
  <c r="C1166" i="13"/>
  <c r="C1165" i="13" s="1"/>
  <c r="C1033" i="13"/>
  <c r="D699" i="13"/>
  <c r="C699" i="13" s="1"/>
  <c r="G880" i="13"/>
  <c r="G934" i="13"/>
  <c r="F631" i="13"/>
  <c r="F630" i="13" s="1"/>
  <c r="E631" i="13"/>
  <c r="E630" i="13" s="1"/>
  <c r="H891" i="13"/>
  <c r="G891" i="13"/>
  <c r="V916" i="13"/>
  <c r="D916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16" i="13" l="1"/>
  <c r="D424" i="13"/>
  <c r="D777" i="13"/>
  <c r="G1162" i="13"/>
  <c r="G1161" i="13" s="1"/>
  <c r="C424" i="13" l="1"/>
  <c r="C423" i="13" s="1"/>
  <c r="V423" i="13" s="1"/>
  <c r="D423" i="13"/>
  <c r="V777" i="13"/>
  <c r="C777" i="13"/>
  <c r="D1162" i="13"/>
  <c r="V910" i="13"/>
  <c r="D910" i="13"/>
  <c r="V961" i="13"/>
  <c r="D961" i="13"/>
  <c r="V917" i="13"/>
  <c r="D917" i="13"/>
  <c r="V883" i="13"/>
  <c r="D883" i="13"/>
  <c r="V817" i="13"/>
  <c r="J817" i="13"/>
  <c r="G817" i="13"/>
  <c r="V816" i="13"/>
  <c r="J816" i="13"/>
  <c r="G816" i="13"/>
  <c r="V713" i="13"/>
  <c r="D713" i="13"/>
  <c r="D712" i="13" s="1"/>
  <c r="V700" i="13"/>
  <c r="D700" i="13"/>
  <c r="V702" i="13"/>
  <c r="D702" i="13"/>
  <c r="V460" i="13"/>
  <c r="J460" i="13"/>
  <c r="H460" i="13"/>
  <c r="V939" i="13"/>
  <c r="D939" i="13"/>
  <c r="V1095" i="13"/>
  <c r="D1095" i="13"/>
  <c r="V1093" i="13"/>
  <c r="D1093" i="13"/>
  <c r="C1162" i="13" l="1"/>
  <c r="C917" i="13"/>
  <c r="D460" i="13"/>
  <c r="C460" i="13" s="1"/>
  <c r="C1095" i="13"/>
  <c r="C713" i="13"/>
  <c r="C712" i="13" s="1"/>
  <c r="D817" i="13"/>
  <c r="C817" i="13" s="1"/>
  <c r="C939" i="13"/>
  <c r="C910" i="13"/>
  <c r="C1093" i="13"/>
  <c r="C702" i="13"/>
  <c r="C700" i="13"/>
  <c r="D816" i="13"/>
  <c r="C816" i="13" s="1"/>
  <c r="C883" i="13"/>
  <c r="C961" i="13"/>
  <c r="V1062" i="13"/>
  <c r="D1062" i="13"/>
  <c r="V950" i="13"/>
  <c r="D950" i="13"/>
  <c r="V1090" i="13"/>
  <c r="D1090" i="13"/>
  <c r="V1094" i="13"/>
  <c r="D1094" i="13"/>
  <c r="V889" i="13"/>
  <c r="J889" i="13"/>
  <c r="G889" i="13"/>
  <c r="V944" i="13"/>
  <c r="D944" i="13"/>
  <c r="V1083" i="13"/>
  <c r="D1083" i="13"/>
  <c r="V1041" i="13"/>
  <c r="J1041" i="13"/>
  <c r="H1041" i="13"/>
  <c r="G1041" i="13"/>
  <c r="V712" i="13" l="1"/>
  <c r="C1062" i="13"/>
  <c r="C950" i="13"/>
  <c r="D889" i="13"/>
  <c r="C889" i="13" s="1"/>
  <c r="D1041" i="13"/>
  <c r="C1041" i="13" s="1"/>
  <c r="C1083" i="13"/>
  <c r="C944" i="13"/>
  <c r="C1094" i="13"/>
  <c r="C1090" i="13"/>
  <c r="V1107" i="13"/>
  <c r="D1107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107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34" i="13"/>
  <c r="E833" i="13" s="1"/>
  <c r="G834" i="13"/>
  <c r="G833" i="13" s="1"/>
  <c r="I834" i="13"/>
  <c r="I833" i="13" s="1"/>
  <c r="E634" i="13"/>
  <c r="E633" i="13"/>
  <c r="E632" i="13" s="1"/>
  <c r="V184" i="13"/>
  <c r="J184" i="13"/>
  <c r="D184" i="13" s="1"/>
  <c r="C184" i="13" s="1"/>
  <c r="V197" i="13" l="1"/>
  <c r="J197" i="13"/>
  <c r="D197" i="13" s="1"/>
  <c r="C197" i="13" s="1"/>
  <c r="V1031" i="13" l="1"/>
  <c r="D1031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31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5" i="13"/>
  <c r="D775" i="13"/>
  <c r="D774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5" i="13" l="1"/>
  <c r="D550" i="13"/>
  <c r="C550" i="13" s="1"/>
  <c r="C198" i="13"/>
  <c r="V654" i="13"/>
  <c r="D353" i="13"/>
  <c r="I906" i="13"/>
  <c r="I865" i="13" s="1"/>
  <c r="F906" i="13"/>
  <c r="F865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C774" i="13" l="1"/>
  <c r="V774" i="13" s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27" i="13"/>
  <c r="N865" i="13" s="1"/>
  <c r="N796" i="13"/>
  <c r="N793" i="13" s="1"/>
  <c r="D281" i="13"/>
  <c r="C281" i="13" s="1"/>
  <c r="D1196" i="13"/>
  <c r="D1198" i="13"/>
  <c r="C1196" i="13" l="1"/>
  <c r="C654" i="13"/>
  <c r="V402" i="13"/>
  <c r="C544" i="13"/>
  <c r="C525" i="13"/>
  <c r="C402" i="13"/>
  <c r="C1198" i="13"/>
  <c r="V447" i="13"/>
  <c r="J447" i="13"/>
  <c r="H447" i="13"/>
  <c r="V519" i="13"/>
  <c r="J519" i="13"/>
  <c r="H519" i="13"/>
  <c r="D765" i="13"/>
  <c r="C765" i="13" s="1"/>
  <c r="V299" i="13"/>
  <c r="D299" i="13"/>
  <c r="D821" i="13"/>
  <c r="V821" i="13"/>
  <c r="H868" i="13"/>
  <c r="G868" i="13"/>
  <c r="H997" i="13"/>
  <c r="G997" i="13"/>
  <c r="G905" i="13"/>
  <c r="C653" i="13" l="1"/>
  <c r="V653" i="13" s="1"/>
  <c r="D447" i="13"/>
  <c r="C447" i="13" s="1"/>
  <c r="D519" i="13"/>
  <c r="C519" i="13" s="1"/>
  <c r="C299" i="13"/>
  <c r="C821" i="13"/>
  <c r="I725" i="13" l="1"/>
  <c r="I723" i="13" s="1"/>
  <c r="I388" i="13"/>
  <c r="E388" i="13"/>
  <c r="I387" i="13"/>
  <c r="H387" i="13"/>
  <c r="G387" i="13"/>
  <c r="G382" i="13" s="1"/>
  <c r="F387" i="13"/>
  <c r="E387" i="13"/>
  <c r="G819" i="13"/>
  <c r="G818" i="13"/>
  <c r="F408" i="13"/>
  <c r="F399" i="13" s="1"/>
  <c r="E287" i="13"/>
  <c r="E286" i="13" s="1"/>
  <c r="H755" i="13" l="1"/>
  <c r="H752" i="13" s="1"/>
  <c r="G755" i="13"/>
  <c r="G752" i="13" s="1"/>
  <c r="D754" i="13"/>
  <c r="I675" i="13"/>
  <c r="I674" i="13" s="1"/>
  <c r="I1202" i="13"/>
  <c r="I1201" i="13" s="1"/>
  <c r="I648" i="13"/>
  <c r="I647" i="13" s="1"/>
  <c r="I1125" i="13"/>
  <c r="I1124" i="13" s="1"/>
  <c r="I385" i="13"/>
  <c r="I384" i="13"/>
  <c r="I383" i="13"/>
  <c r="I815" i="13"/>
  <c r="I814" i="13" s="1"/>
  <c r="I813" i="13"/>
  <c r="I812" i="13" s="1"/>
  <c r="I796" i="13"/>
  <c r="I793" i="13" s="1"/>
  <c r="I677" i="13" s="1"/>
  <c r="I342" i="13"/>
  <c r="I341" i="13" s="1"/>
  <c r="I331" i="13"/>
  <c r="I328" i="13" s="1"/>
  <c r="H1185" i="13"/>
  <c r="H1142" i="13"/>
  <c r="H1140" i="13" s="1"/>
  <c r="H1133" i="13"/>
  <c r="H1132" i="13" s="1"/>
  <c r="H1128" i="13"/>
  <c r="H1127" i="13" s="1"/>
  <c r="H1113" i="13"/>
  <c r="H1112" i="13"/>
  <c r="H1111" i="13"/>
  <c r="H1081" i="13"/>
  <c r="H1029" i="13"/>
  <c r="H987" i="13"/>
  <c r="H948" i="13"/>
  <c r="H769" i="13"/>
  <c r="H768" i="13" s="1"/>
  <c r="H734" i="13"/>
  <c r="H733" i="13"/>
  <c r="H731" i="13" s="1"/>
  <c r="H726" i="13"/>
  <c r="H701" i="13"/>
  <c r="H690" i="13"/>
  <c r="H675" i="13"/>
  <c r="H674" i="13" s="1"/>
  <c r="H1202" i="13"/>
  <c r="H1201" i="13" s="1"/>
  <c r="H669" i="13"/>
  <c r="H666" i="13"/>
  <c r="H665" i="13"/>
  <c r="H664" i="13"/>
  <c r="H663" i="13"/>
  <c r="H662" i="13"/>
  <c r="H661" i="13"/>
  <c r="H660" i="13"/>
  <c r="H1173" i="13"/>
  <c r="H1171" i="13" s="1"/>
  <c r="H648" i="13"/>
  <c r="H647" i="13" s="1"/>
  <c r="H641" i="13"/>
  <c r="H642" i="13"/>
  <c r="H639" i="13"/>
  <c r="H1125" i="13"/>
  <c r="H1124" i="13" s="1"/>
  <c r="H1076" i="13"/>
  <c r="H1069" i="13"/>
  <c r="H1068" i="13"/>
  <c r="H1063" i="13"/>
  <c r="H1037" i="13"/>
  <c r="H1036" i="13"/>
  <c r="H992" i="13"/>
  <c r="H991" i="13"/>
  <c r="H903" i="13"/>
  <c r="H437" i="13"/>
  <c r="H635" i="13" l="1"/>
  <c r="H658" i="13"/>
  <c r="I382" i="13"/>
  <c r="I285" i="13" s="1"/>
  <c r="C754" i="13"/>
  <c r="D755" i="13"/>
  <c r="C755" i="13" s="1"/>
  <c r="H412" i="13"/>
  <c r="H411" i="13"/>
  <c r="H410" i="13"/>
  <c r="H408" i="13"/>
  <c r="H406" i="13"/>
  <c r="H405" i="13"/>
  <c r="H409" i="13"/>
  <c r="H403" i="13"/>
  <c r="H841" i="13"/>
  <c r="H837" i="13" s="1"/>
  <c r="H394" i="13"/>
  <c r="H389" i="13" s="1"/>
  <c r="H385" i="13"/>
  <c r="H384" i="13"/>
  <c r="H383" i="13"/>
  <c r="H382" i="13" s="1"/>
  <c r="H815" i="13"/>
  <c r="H814" i="13" s="1"/>
  <c r="H813" i="13"/>
  <c r="H812" i="13" s="1"/>
  <c r="H379" i="13"/>
  <c r="H376" i="13"/>
  <c r="H375" i="13"/>
  <c r="H796" i="13"/>
  <c r="H793" i="13" s="1"/>
  <c r="H373" i="13"/>
  <c r="H374" i="13"/>
  <c r="H372" i="13"/>
  <c r="H371" i="13"/>
  <c r="H369" i="13"/>
  <c r="H367" i="13"/>
  <c r="H362" i="13" s="1"/>
  <c r="H342" i="13"/>
  <c r="H341" i="13" s="1"/>
  <c r="H331" i="13"/>
  <c r="H328" i="13" s="1"/>
  <c r="H738" i="13"/>
  <c r="H737" i="13" s="1"/>
  <c r="H725" i="13"/>
  <c r="H723" i="13" s="1"/>
  <c r="H687" i="13"/>
  <c r="H683" i="13" s="1"/>
  <c r="H288" i="13"/>
  <c r="H287" i="13"/>
  <c r="H286" i="13" s="1"/>
  <c r="F675" i="13"/>
  <c r="F674" i="13" s="1"/>
  <c r="F1202" i="13"/>
  <c r="F1201" i="13" s="1"/>
  <c r="F1125" i="13"/>
  <c r="F1124" i="13" s="1"/>
  <c r="F385" i="13"/>
  <c r="F382" i="13" s="1"/>
  <c r="F813" i="13"/>
  <c r="F812" i="13" s="1"/>
  <c r="F796" i="13"/>
  <c r="F793" i="13" s="1"/>
  <c r="F332" i="13"/>
  <c r="F292" i="13"/>
  <c r="F289" i="13" s="1"/>
  <c r="H399" i="13" l="1"/>
  <c r="G1184" i="13"/>
  <c r="G1183" i="13"/>
  <c r="G1182" i="13"/>
  <c r="G1187" i="13"/>
  <c r="G1186" i="13"/>
  <c r="G1185" i="13"/>
  <c r="G1157" i="13"/>
  <c r="G1156" i="13" s="1"/>
  <c r="G1142" i="13"/>
  <c r="G1140" i="13" s="1"/>
  <c r="G1133" i="13"/>
  <c r="G1132" i="13" s="1"/>
  <c r="G1113" i="13"/>
  <c r="G1112" i="13"/>
  <c r="G1111" i="13"/>
  <c r="G1081" i="13"/>
  <c r="G1029" i="13"/>
  <c r="G987" i="13"/>
  <c r="G948" i="13"/>
  <c r="G885" i="13"/>
  <c r="G823" i="13"/>
  <c r="G822" i="13"/>
  <c r="G820" i="13"/>
  <c r="G811" i="13"/>
  <c r="G810" i="13"/>
  <c r="G809" i="13"/>
  <c r="G807" i="13"/>
  <c r="G804" i="13"/>
  <c r="G803" i="13"/>
  <c r="G798" i="13"/>
  <c r="G787" i="13"/>
  <c r="G781" i="13" s="1"/>
  <c r="G769" i="13"/>
  <c r="G768" i="13" s="1"/>
  <c r="G734" i="13"/>
  <c r="G733" i="13"/>
  <c r="G707" i="13"/>
  <c r="G701" i="13"/>
  <c r="G814" i="13" l="1"/>
  <c r="G1171" i="13"/>
  <c r="G1125" i="13"/>
  <c r="G1085" i="13"/>
  <c r="G1063" i="13"/>
  <c r="G1037" i="13"/>
  <c r="G1036" i="13"/>
  <c r="E292" i="13"/>
  <c r="E289" i="13" s="1"/>
  <c r="G687" i="13"/>
  <c r="G683" i="13" s="1"/>
  <c r="G903" i="13"/>
  <c r="V1109" i="13" l="1"/>
  <c r="D1109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109" i="13"/>
  <c r="V463" i="13"/>
  <c r="J463" i="13"/>
  <c r="N368" i="13"/>
  <c r="D463" i="13" l="1"/>
  <c r="N674" i="13"/>
  <c r="G675" i="13"/>
  <c r="G674" i="13" s="1"/>
  <c r="C463" i="13" l="1"/>
  <c r="V1197" i="13"/>
  <c r="V675" i="13"/>
  <c r="D675" i="13"/>
  <c r="D674" i="13" s="1"/>
  <c r="D1197" i="13"/>
  <c r="D1195" i="13" s="1"/>
  <c r="D673" i="13"/>
  <c r="D672" i="13" s="1"/>
  <c r="D13" i="13"/>
  <c r="C13" i="13" s="1"/>
  <c r="V13" i="13"/>
  <c r="N57" i="13"/>
  <c r="V673" i="13" l="1"/>
  <c r="N672" i="13"/>
  <c r="C675" i="13"/>
  <c r="C674" i="13" s="1"/>
  <c r="C1197" i="13"/>
  <c r="C1195" i="13" s="1"/>
  <c r="C673" i="13"/>
  <c r="C672" i="13" s="1"/>
  <c r="V763" i="13"/>
  <c r="P722" i="13"/>
  <c r="P721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69" i="13"/>
  <c r="V1068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27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95" i="13"/>
  <c r="V994" i="13"/>
  <c r="V530" i="13"/>
  <c r="V992" i="13"/>
  <c r="V991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906" i="13"/>
  <c r="V155" i="13"/>
  <c r="V154" i="13"/>
  <c r="V153" i="13"/>
  <c r="V152" i="13"/>
  <c r="V151" i="13"/>
  <c r="V150" i="13"/>
  <c r="V149" i="13"/>
  <c r="V148" i="13"/>
  <c r="V147" i="13"/>
  <c r="V142" i="13"/>
  <c r="V141" i="13"/>
  <c r="V888" i="13"/>
  <c r="V887" i="13"/>
  <c r="V140" i="13"/>
  <c r="V139" i="13"/>
  <c r="V138" i="13"/>
  <c r="V137" i="13"/>
  <c r="V136" i="13"/>
  <c r="V135" i="13"/>
  <c r="V134" i="13"/>
  <c r="V133" i="13"/>
  <c r="V132" i="13"/>
  <c r="V131" i="13"/>
  <c r="V873" i="13"/>
  <c r="V428" i="13"/>
  <c r="V872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43" i="13"/>
  <c r="V37" i="13"/>
  <c r="V36" i="13"/>
  <c r="V325" i="13"/>
  <c r="V735" i="13"/>
  <c r="V34" i="13"/>
  <c r="V32" i="13"/>
  <c r="V31" i="13"/>
  <c r="V722" i="13"/>
  <c r="V29" i="13"/>
  <c r="V20" i="13"/>
  <c r="V19" i="13"/>
  <c r="V18" i="13"/>
  <c r="V15" i="13"/>
  <c r="V14" i="13"/>
  <c r="V17" i="13"/>
  <c r="V12" i="13"/>
  <c r="V674" i="13" l="1"/>
  <c r="V1195" i="13"/>
  <c r="V680" i="13"/>
  <c r="V1113" i="13"/>
  <c r="V1112" i="13"/>
  <c r="V1111" i="13"/>
  <c r="V1110" i="13"/>
  <c r="V1035" i="13"/>
  <c r="V1013" i="13"/>
  <c r="V999" i="13"/>
  <c r="V918" i="13"/>
  <c r="V851" i="13"/>
  <c r="V850" i="13"/>
  <c r="V806" i="13"/>
  <c r="V749" i="13"/>
  <c r="V705" i="13"/>
  <c r="V698" i="13"/>
  <c r="V696" i="13"/>
  <c r="V685" i="13"/>
  <c r="V1097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4" i="13"/>
  <c r="V783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9" i="13"/>
  <c r="V818" i="13"/>
  <c r="V385" i="13"/>
  <c r="V384" i="13"/>
  <c r="V383" i="13"/>
  <c r="N815" i="13"/>
  <c r="N814" i="13" s="1"/>
  <c r="V392" i="13"/>
  <c r="N393" i="13"/>
  <c r="N394" i="13"/>
  <c r="V394" i="13" s="1"/>
  <c r="V396" i="13"/>
  <c r="N834" i="13"/>
  <c r="N833" i="13" s="1"/>
  <c r="N403" i="13"/>
  <c r="V403" i="13" s="1"/>
  <c r="V408" i="13"/>
  <c r="V407" i="13"/>
  <c r="V413" i="13"/>
  <c r="V412" i="13"/>
  <c r="V422" i="13"/>
  <c r="N431" i="13"/>
  <c r="V431" i="13" s="1"/>
  <c r="V879" i="13"/>
  <c r="V875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20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45" i="13"/>
  <c r="N487" i="13"/>
  <c r="V487" i="13" s="1"/>
  <c r="V486" i="13"/>
  <c r="V470" i="13"/>
  <c r="V506" i="13"/>
  <c r="V510" i="13"/>
  <c r="V509" i="13"/>
  <c r="V501" i="13"/>
  <c r="V965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97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20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46" i="13"/>
  <c r="V568" i="13"/>
  <c r="V567" i="13"/>
  <c r="V1076" i="13"/>
  <c r="V593" i="13"/>
  <c r="V1072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85" i="13"/>
  <c r="V600" i="13"/>
  <c r="V1084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25" i="13"/>
  <c r="V629" i="13"/>
  <c r="V634" i="13"/>
  <c r="N632" i="13"/>
  <c r="V640" i="13"/>
  <c r="V638" i="13"/>
  <c r="V1143" i="13"/>
  <c r="V637" i="13"/>
  <c r="V644" i="13"/>
  <c r="V1152" i="13"/>
  <c r="V646" i="13"/>
  <c r="V649" i="13"/>
  <c r="V650" i="13"/>
  <c r="N652" i="13"/>
  <c r="N651" i="13" s="1"/>
  <c r="V1179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4" i="13"/>
  <c r="V703" i="13"/>
  <c r="V701" i="13"/>
  <c r="V711" i="13"/>
  <c r="V710" i="13"/>
  <c r="V709" i="13"/>
  <c r="V706" i="13"/>
  <c r="V708" i="13"/>
  <c r="V716" i="13"/>
  <c r="V720" i="13"/>
  <c r="V729" i="13"/>
  <c r="V734" i="13"/>
  <c r="V733" i="13"/>
  <c r="V747" i="13"/>
  <c r="V748" i="13"/>
  <c r="V762" i="13"/>
  <c r="V786" i="13"/>
  <c r="V788" i="13"/>
  <c r="V804" i="13"/>
  <c r="V803" i="13"/>
  <c r="V802" i="13"/>
  <c r="V801" i="13"/>
  <c r="V800" i="13"/>
  <c r="V799" i="13"/>
  <c r="V798" i="13"/>
  <c r="V811" i="13"/>
  <c r="V810" i="13"/>
  <c r="V809" i="13"/>
  <c r="V808" i="13"/>
  <c r="V807" i="13"/>
  <c r="V823" i="13"/>
  <c r="V822" i="13"/>
  <c r="V832" i="13"/>
  <c r="V828" i="13"/>
  <c r="V829" i="13"/>
  <c r="V844" i="13"/>
  <c r="V847" i="13"/>
  <c r="V853" i="13"/>
  <c r="V852" i="13"/>
  <c r="V859" i="13"/>
  <c r="V862" i="13"/>
  <c r="V884" i="13"/>
  <c r="V881" i="13"/>
  <c r="V878" i="13"/>
  <c r="V877" i="13"/>
  <c r="V876" i="13"/>
  <c r="V894" i="13"/>
  <c r="V893" i="13"/>
  <c r="V890" i="13"/>
  <c r="V886" i="13"/>
  <c r="V902" i="13"/>
  <c r="V901" i="13"/>
  <c r="V900" i="13"/>
  <c r="V899" i="13"/>
  <c r="V898" i="13"/>
  <c r="V1131" i="13"/>
  <c r="V1130" i="13"/>
  <c r="V897" i="13"/>
  <c r="V896" i="13"/>
  <c r="V895" i="13"/>
  <c r="V915" i="13"/>
  <c r="V914" i="13"/>
  <c r="V913" i="13"/>
  <c r="V912" i="13"/>
  <c r="V911" i="13"/>
  <c r="V908" i="13"/>
  <c r="V907" i="13"/>
  <c r="V922" i="13"/>
  <c r="V921" i="13"/>
  <c r="V932" i="13"/>
  <c r="V919" i="13"/>
  <c r="V937" i="13"/>
  <c r="V936" i="13"/>
  <c r="V935" i="13"/>
  <c r="V931" i="13"/>
  <c r="V930" i="13"/>
  <c r="V929" i="13"/>
  <c r="V928" i="13"/>
  <c r="V927" i="13"/>
  <c r="V926" i="13"/>
  <c r="V925" i="13"/>
  <c r="V924" i="13"/>
  <c r="V923" i="13"/>
  <c r="V946" i="13"/>
  <c r="V942" i="13"/>
  <c r="V941" i="13"/>
  <c r="V940" i="13"/>
  <c r="V957" i="13"/>
  <c r="V956" i="13"/>
  <c r="V955" i="13"/>
  <c r="V954" i="13"/>
  <c r="V953" i="13"/>
  <c r="V952" i="13"/>
  <c r="V951" i="13"/>
  <c r="V948" i="13"/>
  <c r="V947" i="13"/>
  <c r="V969" i="13"/>
  <c r="V970" i="13"/>
  <c r="V968" i="13"/>
  <c r="V966" i="13"/>
  <c r="V963" i="13"/>
  <c r="V960" i="13"/>
  <c r="V962" i="13"/>
  <c r="V958" i="13"/>
  <c r="V978" i="13"/>
  <c r="V975" i="13"/>
  <c r="V974" i="13"/>
  <c r="V973" i="13"/>
  <c r="V972" i="13"/>
  <c r="V977" i="13"/>
  <c r="V976" i="13"/>
  <c r="V971" i="13"/>
  <c r="V986" i="13"/>
  <c r="V984" i="13"/>
  <c r="V983" i="13"/>
  <c r="V985" i="13"/>
  <c r="V982" i="13"/>
  <c r="V998" i="13"/>
  <c r="V996" i="13"/>
  <c r="V993" i="13"/>
  <c r="V990" i="13"/>
  <c r="V989" i="13"/>
  <c r="V988" i="13"/>
  <c r="V987" i="13"/>
  <c r="V1001" i="13"/>
  <c r="V1012" i="13"/>
  <c r="V1011" i="13"/>
  <c r="V1009" i="13"/>
  <c r="V1005" i="13"/>
  <c r="V1004" i="13"/>
  <c r="V1003" i="13"/>
  <c r="V1002" i="13"/>
  <c r="V1021" i="13"/>
  <c r="V1025" i="13"/>
  <c r="V1024" i="13"/>
  <c r="V1022" i="13"/>
  <c r="V1018" i="13"/>
  <c r="V870" i="13"/>
  <c r="V1015" i="13"/>
  <c r="V1014" i="13"/>
  <c r="V1032" i="13"/>
  <c r="V1029" i="13"/>
  <c r="V1034" i="13"/>
  <c r="V1042" i="13"/>
  <c r="V1040" i="13"/>
  <c r="V1039" i="13"/>
  <c r="V1043" i="13"/>
  <c r="V1053" i="13"/>
  <c r="V1052" i="13"/>
  <c r="V1051" i="13"/>
  <c r="V1050" i="13"/>
  <c r="V1049" i="13"/>
  <c r="V1048" i="13"/>
  <c r="V1045" i="13"/>
  <c r="V1044" i="13"/>
  <c r="V1074" i="13"/>
  <c r="V1073" i="13"/>
  <c r="V1075" i="13"/>
  <c r="V1064" i="13"/>
  <c r="V1061" i="13"/>
  <c r="V1056" i="13"/>
  <c r="V1055" i="13"/>
  <c r="V1060" i="13"/>
  <c r="V1059" i="13"/>
  <c r="V1058" i="13"/>
  <c r="V1057" i="13"/>
  <c r="V1087" i="13"/>
  <c r="V1092" i="13"/>
  <c r="V1091" i="13"/>
  <c r="V1082" i="13"/>
  <c r="V1106" i="13"/>
  <c r="V1105" i="13"/>
  <c r="V1104" i="13"/>
  <c r="V1103" i="13"/>
  <c r="V1102" i="13"/>
  <c r="V1101" i="13"/>
  <c r="V1100" i="13"/>
  <c r="V1099" i="13"/>
  <c r="V1098" i="13"/>
  <c r="V1121" i="13"/>
  <c r="V1120" i="13"/>
  <c r="V1119" i="13"/>
  <c r="V1118" i="13"/>
  <c r="V1117" i="13"/>
  <c r="V1116" i="13"/>
  <c r="V1115" i="13"/>
  <c r="V1114" i="13"/>
  <c r="V1139" i="13"/>
  <c r="V1138" i="13"/>
  <c r="V641" i="13"/>
  <c r="V1142" i="13"/>
  <c r="V1153" i="13"/>
  <c r="V1164" i="13"/>
  <c r="V1187" i="13"/>
  <c r="V1186" i="13"/>
  <c r="V1194" i="13"/>
  <c r="V1192" i="13"/>
  <c r="V1191" i="13"/>
  <c r="V1190" i="13"/>
  <c r="V1189" i="13"/>
  <c r="V1184" i="13"/>
  <c r="V1183" i="13"/>
  <c r="V1200" i="13"/>
  <c r="V1188" i="13"/>
  <c r="V1168" i="13"/>
  <c r="V1157" i="13"/>
  <c r="V1128" i="13"/>
  <c r="V1123" i="13"/>
  <c r="V1108" i="13"/>
  <c r="V1089" i="13"/>
  <c r="V1088" i="13"/>
  <c r="V1081" i="13"/>
  <c r="V1030" i="13"/>
  <c r="V981" i="13"/>
  <c r="V980" i="13"/>
  <c r="V938" i="13"/>
  <c r="V885" i="13"/>
  <c r="V871" i="13"/>
  <c r="V854" i="13"/>
  <c r="V840" i="13"/>
  <c r="V838" i="13"/>
  <c r="V805" i="13"/>
  <c r="V787" i="13"/>
  <c r="V759" i="13"/>
  <c r="V744" i="13"/>
  <c r="V742" i="13"/>
  <c r="V726" i="13"/>
  <c r="V724" i="13"/>
  <c r="V718" i="13"/>
  <c r="V707" i="13"/>
  <c r="V695" i="13"/>
  <c r="V690" i="13"/>
  <c r="V688" i="13"/>
  <c r="V643" i="13"/>
  <c r="V642" i="13"/>
  <c r="V597" i="13"/>
  <c r="V596" i="13"/>
  <c r="V595" i="13"/>
  <c r="V594" i="13"/>
  <c r="V589" i="13"/>
  <c r="V565" i="13"/>
  <c r="V1037" i="13"/>
  <c r="V1036" i="13"/>
  <c r="V553" i="13"/>
  <c r="V497" i="13"/>
  <c r="V934" i="13"/>
  <c r="V903" i="13"/>
  <c r="V905" i="13"/>
  <c r="V904" i="13"/>
  <c r="V892" i="13"/>
  <c r="V891" i="13"/>
  <c r="V880" i="13"/>
  <c r="V868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5" i="13"/>
  <c r="R714" i="13" s="1"/>
  <c r="R685" i="13"/>
  <c r="R683" i="13" s="1"/>
  <c r="R682" i="13"/>
  <c r="R679" i="13"/>
  <c r="R678" i="13" s="1"/>
  <c r="R1179" i="13"/>
  <c r="R1171" i="13" s="1"/>
  <c r="R652" i="13"/>
  <c r="R651" i="13" s="1"/>
  <c r="R650" i="13"/>
  <c r="R649" i="13"/>
  <c r="R647" i="13" s="1"/>
  <c r="R644" i="13"/>
  <c r="R640" i="13"/>
  <c r="R637" i="13"/>
  <c r="R636" i="13"/>
  <c r="R635" i="13" s="1"/>
  <c r="R632" i="13"/>
  <c r="R630" i="13"/>
  <c r="R1125" i="13"/>
  <c r="R1124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97" i="13"/>
  <c r="R614" i="13"/>
  <c r="R613" i="13"/>
  <c r="R612" i="13"/>
  <c r="R611" i="13"/>
  <c r="R605" i="13"/>
  <c r="R608" i="13"/>
  <c r="R607" i="13"/>
  <c r="R606" i="13"/>
  <c r="R602" i="13"/>
  <c r="R600" i="13"/>
  <c r="R1084" i="13"/>
  <c r="R599" i="13"/>
  <c r="R598" i="13"/>
  <c r="R597" i="13"/>
  <c r="R596" i="13"/>
  <c r="R595" i="13"/>
  <c r="R594" i="13"/>
  <c r="R593" i="13"/>
  <c r="R1072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46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20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65" i="13"/>
  <c r="R499" i="13"/>
  <c r="R498" i="13"/>
  <c r="R497" i="13"/>
  <c r="R495" i="13"/>
  <c r="R490" i="13"/>
  <c r="R489" i="13"/>
  <c r="R488" i="13"/>
  <c r="R494" i="13"/>
  <c r="R493" i="13"/>
  <c r="R492" i="13"/>
  <c r="R491" i="13"/>
  <c r="R945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34" i="13"/>
  <c r="R454" i="13"/>
  <c r="R453" i="13"/>
  <c r="R920" i="13"/>
  <c r="R452" i="13"/>
  <c r="R451" i="13"/>
  <c r="R450" i="13"/>
  <c r="R449" i="13"/>
  <c r="R448" i="13"/>
  <c r="R905" i="13"/>
  <c r="R904" i="13"/>
  <c r="R446" i="13"/>
  <c r="R445" i="13"/>
  <c r="R444" i="13"/>
  <c r="R443" i="13"/>
  <c r="R441" i="13"/>
  <c r="R440" i="13"/>
  <c r="R892" i="13"/>
  <c r="R438" i="13"/>
  <c r="R436" i="13"/>
  <c r="R435" i="13"/>
  <c r="R434" i="13"/>
  <c r="R432" i="13"/>
  <c r="R431" i="13"/>
  <c r="R879" i="13"/>
  <c r="R427" i="13"/>
  <c r="R426" i="13"/>
  <c r="R869" i="13"/>
  <c r="R865" i="13" s="1"/>
  <c r="R422" i="13"/>
  <c r="R421" i="13"/>
  <c r="R420" i="13" s="1"/>
  <c r="R417" i="13"/>
  <c r="R416" i="13" s="1"/>
  <c r="R415" i="13"/>
  <c r="R414" i="13"/>
  <c r="R413" i="13"/>
  <c r="R410" i="13"/>
  <c r="R403" i="13"/>
  <c r="R400" i="13"/>
  <c r="R834" i="13"/>
  <c r="R833" i="13" s="1"/>
  <c r="R394" i="13"/>
  <c r="R393" i="13"/>
  <c r="R389" i="13" s="1"/>
  <c r="R388" i="13"/>
  <c r="R387" i="13"/>
  <c r="R384" i="13"/>
  <c r="R383" i="13"/>
  <c r="R382" i="13" s="1"/>
  <c r="R381" i="13"/>
  <c r="R380" i="13"/>
  <c r="R378" i="13"/>
  <c r="R362" i="13" s="1"/>
  <c r="R796" i="13"/>
  <c r="R793" i="13" s="1"/>
  <c r="R342" i="13"/>
  <c r="R341" i="13" s="1"/>
  <c r="R303" i="13"/>
  <c r="R289" i="13" s="1"/>
  <c r="R286" i="13"/>
  <c r="D938" i="13"/>
  <c r="V393" i="13" l="1"/>
  <c r="N389" i="13"/>
  <c r="R677" i="13"/>
  <c r="R399" i="13"/>
  <c r="V1125" i="13"/>
  <c r="N1124" i="13"/>
  <c r="N677" i="13" s="1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1063" i="13"/>
  <c r="V549" i="13"/>
  <c r="V778" i="13"/>
  <c r="V337" i="13"/>
  <c r="V624" i="13"/>
  <c r="V1182" i="13"/>
  <c r="V398" i="13"/>
  <c r="V813" i="13"/>
  <c r="V361" i="13"/>
  <c r="V339" i="13"/>
  <c r="V738" i="13"/>
  <c r="V310" i="13"/>
  <c r="V686" i="13"/>
  <c r="V349" i="13"/>
  <c r="V1185" i="13"/>
  <c r="V1137" i="13"/>
  <c r="V1126" i="13"/>
  <c r="V827" i="13"/>
  <c r="V820" i="13"/>
  <c r="V795" i="13"/>
  <c r="V790" i="13"/>
  <c r="V780" i="13"/>
  <c r="V761" i="13"/>
  <c r="V746" i="13"/>
  <c r="V1202" i="13"/>
  <c r="V648" i="13"/>
  <c r="V628" i="13"/>
  <c r="V421" i="13"/>
  <c r="V834" i="13"/>
  <c r="V354" i="13"/>
  <c r="V342" i="13"/>
  <c r="V725" i="13"/>
  <c r="V287" i="13"/>
  <c r="V364" i="13"/>
  <c r="V740" i="13"/>
  <c r="V1159" i="13"/>
  <c r="V773" i="13"/>
  <c r="V728" i="13"/>
  <c r="V1163" i="13"/>
  <c r="V1151" i="13"/>
  <c r="V1133" i="13"/>
  <c r="V861" i="13"/>
  <c r="V836" i="13"/>
  <c r="V767" i="13"/>
  <c r="V719" i="13"/>
  <c r="V1149" i="13"/>
  <c r="V869" i="13"/>
  <c r="V782" i="13"/>
  <c r="V329" i="13"/>
  <c r="V313" i="13"/>
  <c r="V1141" i="13"/>
  <c r="V858" i="13"/>
  <c r="V715" i="13"/>
  <c r="V657" i="13"/>
  <c r="V1155" i="13"/>
  <c r="V866" i="13"/>
  <c r="V785" i="13"/>
  <c r="V769" i="13"/>
  <c r="V751" i="13"/>
  <c r="V732" i="13"/>
  <c r="V679" i="13"/>
  <c r="V1173" i="13"/>
  <c r="V652" i="13"/>
  <c r="V633" i="13"/>
  <c r="V841" i="13"/>
  <c r="V815" i="13"/>
  <c r="V347" i="13"/>
  <c r="V321" i="13"/>
  <c r="V324" i="13"/>
  <c r="V636" i="13"/>
  <c r="C938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64" i="13"/>
  <c r="C1164" i="13" s="1"/>
  <c r="D1163" i="13"/>
  <c r="D1155" i="13"/>
  <c r="D1154" i="13" s="1"/>
  <c r="D1141" i="13"/>
  <c r="D1139" i="13"/>
  <c r="C1139" i="13" s="1"/>
  <c r="D1137" i="13"/>
  <c r="D1121" i="13"/>
  <c r="C1121" i="13" s="1"/>
  <c r="D1120" i="13"/>
  <c r="C1120" i="13" s="1"/>
  <c r="D1119" i="13"/>
  <c r="C1119" i="13" s="1"/>
  <c r="D1118" i="13"/>
  <c r="C1118" i="13" s="1"/>
  <c r="D1117" i="13"/>
  <c r="C1117" i="13" s="1"/>
  <c r="D1116" i="13"/>
  <c r="C1116" i="13" s="1"/>
  <c r="D1115" i="13"/>
  <c r="C1115" i="13" s="1"/>
  <c r="D1114" i="13"/>
  <c r="C1114" i="13" s="1"/>
  <c r="D1110" i="13"/>
  <c r="C1110" i="13" s="1"/>
  <c r="D1108" i="13"/>
  <c r="D1106" i="13"/>
  <c r="C1106" i="13" s="1"/>
  <c r="D1105" i="13"/>
  <c r="C1105" i="13" s="1"/>
  <c r="D1104" i="13"/>
  <c r="C1104" i="13" s="1"/>
  <c r="D1103" i="13"/>
  <c r="C1103" i="13" s="1"/>
  <c r="D1102" i="13"/>
  <c r="C1102" i="13" s="1"/>
  <c r="D1101" i="13"/>
  <c r="C1101" i="13" s="1"/>
  <c r="D1100" i="13"/>
  <c r="C1100" i="13" s="1"/>
  <c r="D1099" i="13"/>
  <c r="C1099" i="13" s="1"/>
  <c r="D1098" i="13"/>
  <c r="C1098" i="13" s="1"/>
  <c r="D1089" i="13"/>
  <c r="C1089" i="13" s="1"/>
  <c r="D1088" i="13"/>
  <c r="C1088" i="13" s="1"/>
  <c r="D1087" i="13"/>
  <c r="C1087" i="13" s="1"/>
  <c r="D1092" i="13"/>
  <c r="C1092" i="13" s="1"/>
  <c r="D1091" i="13"/>
  <c r="C1091" i="13" s="1"/>
  <c r="D1082" i="13"/>
  <c r="C1082" i="13" s="1"/>
  <c r="D1074" i="13"/>
  <c r="C1074" i="13" s="1"/>
  <c r="D1073" i="13"/>
  <c r="C1073" i="13" s="1"/>
  <c r="D1075" i="13"/>
  <c r="C1075" i="13" s="1"/>
  <c r="D1064" i="13"/>
  <c r="C1064" i="13" s="1"/>
  <c r="D1061" i="13"/>
  <c r="C1061" i="13" s="1"/>
  <c r="D1056" i="13"/>
  <c r="C1056" i="13" s="1"/>
  <c r="D1055" i="13"/>
  <c r="C1055" i="13" s="1"/>
  <c r="D1060" i="13"/>
  <c r="C1060" i="13" s="1"/>
  <c r="D1059" i="13"/>
  <c r="C1059" i="13" s="1"/>
  <c r="D1058" i="13"/>
  <c r="C1058" i="13" s="1"/>
  <c r="D1057" i="13"/>
  <c r="C1057" i="13" s="1"/>
  <c r="D1053" i="13"/>
  <c r="C1053" i="13" s="1"/>
  <c r="D1052" i="13"/>
  <c r="C1052" i="13" s="1"/>
  <c r="D1051" i="13"/>
  <c r="C1051" i="13" s="1"/>
  <c r="D1050" i="13"/>
  <c r="C1050" i="13" s="1"/>
  <c r="D1049" i="13"/>
  <c r="C1049" i="13" s="1"/>
  <c r="D1048" i="13"/>
  <c r="C1048" i="13" s="1"/>
  <c r="D1045" i="13"/>
  <c r="C1045" i="13" s="1"/>
  <c r="D1044" i="13"/>
  <c r="C1044" i="13" s="1"/>
  <c r="D1042" i="13"/>
  <c r="C1042" i="13" s="1"/>
  <c r="D1040" i="13"/>
  <c r="C1040" i="13" s="1"/>
  <c r="D1039" i="13"/>
  <c r="C1039" i="13" s="1"/>
  <c r="D1035" i="13"/>
  <c r="C1035" i="13" s="1"/>
  <c r="D1034" i="13"/>
  <c r="C1034" i="13" s="1"/>
  <c r="D1032" i="13"/>
  <c r="C1032" i="13" s="1"/>
  <c r="D1030" i="13"/>
  <c r="C1030" i="13" s="1"/>
  <c r="D1021" i="13"/>
  <c r="C1021" i="13" s="1"/>
  <c r="D1025" i="13"/>
  <c r="C1025" i="13" s="1"/>
  <c r="D1024" i="13"/>
  <c r="C1024" i="13" s="1"/>
  <c r="D1018" i="13"/>
  <c r="C1018" i="13" s="1"/>
  <c r="D870" i="13"/>
  <c r="C870" i="13" s="1"/>
  <c r="D1015" i="13"/>
  <c r="C1015" i="13" s="1"/>
  <c r="D1014" i="13"/>
  <c r="C1014" i="13" s="1"/>
  <c r="D1013" i="13"/>
  <c r="C1013" i="13" s="1"/>
  <c r="D1012" i="13"/>
  <c r="C1012" i="13" s="1"/>
  <c r="D1011" i="13"/>
  <c r="C1011" i="13" s="1"/>
  <c r="D1009" i="13"/>
  <c r="C1009" i="13" s="1"/>
  <c r="D1005" i="13"/>
  <c r="C1005" i="13" s="1"/>
  <c r="D1004" i="13"/>
  <c r="C1004" i="13" s="1"/>
  <c r="D1003" i="13"/>
  <c r="C1003" i="13" s="1"/>
  <c r="D1002" i="13"/>
  <c r="C1002" i="13" s="1"/>
  <c r="D1001" i="13"/>
  <c r="C1001" i="13" s="1"/>
  <c r="D999" i="13"/>
  <c r="C999" i="13" s="1"/>
  <c r="D998" i="13"/>
  <c r="C998" i="13" s="1"/>
  <c r="D996" i="13"/>
  <c r="C996" i="13" s="1"/>
  <c r="D993" i="13"/>
  <c r="C993" i="13" s="1"/>
  <c r="D990" i="13"/>
  <c r="C990" i="13" s="1"/>
  <c r="D989" i="13"/>
  <c r="C989" i="13" s="1"/>
  <c r="D988" i="13"/>
  <c r="C988" i="13" s="1"/>
  <c r="D986" i="13"/>
  <c r="C986" i="13" s="1"/>
  <c r="D984" i="13"/>
  <c r="C984" i="13" s="1"/>
  <c r="D983" i="13"/>
  <c r="C983" i="13" s="1"/>
  <c r="D985" i="13"/>
  <c r="C985" i="13" s="1"/>
  <c r="D982" i="13"/>
  <c r="C982" i="13" s="1"/>
  <c r="D978" i="13"/>
  <c r="C978" i="13" s="1"/>
  <c r="D975" i="13"/>
  <c r="C975" i="13" s="1"/>
  <c r="D974" i="13"/>
  <c r="C974" i="13" s="1"/>
  <c r="D973" i="13"/>
  <c r="C973" i="13" s="1"/>
  <c r="D972" i="13"/>
  <c r="C972" i="13" s="1"/>
  <c r="D977" i="13"/>
  <c r="C977" i="13" s="1"/>
  <c r="D976" i="13"/>
  <c r="C976" i="13" s="1"/>
  <c r="D971" i="13"/>
  <c r="C971" i="13" s="1"/>
  <c r="D969" i="13"/>
  <c r="C969" i="13" s="1"/>
  <c r="D970" i="13"/>
  <c r="C970" i="13" s="1"/>
  <c r="D968" i="13"/>
  <c r="C968" i="13" s="1"/>
  <c r="D966" i="13"/>
  <c r="C966" i="13" s="1"/>
  <c r="D963" i="13"/>
  <c r="D960" i="13"/>
  <c r="C960" i="13" s="1"/>
  <c r="D962" i="13"/>
  <c r="C962" i="13" s="1"/>
  <c r="D958" i="13"/>
  <c r="C958" i="13" s="1"/>
  <c r="D957" i="13"/>
  <c r="C957" i="13" s="1"/>
  <c r="D956" i="13"/>
  <c r="C956" i="13" s="1"/>
  <c r="D955" i="13"/>
  <c r="C955" i="13" s="1"/>
  <c r="D954" i="13"/>
  <c r="C954" i="13" s="1"/>
  <c r="D953" i="13"/>
  <c r="C953" i="13" s="1"/>
  <c r="D952" i="13"/>
  <c r="C952" i="13" s="1"/>
  <c r="D951" i="13"/>
  <c r="C951" i="13" s="1"/>
  <c r="D947" i="13"/>
  <c r="C947" i="13" s="1"/>
  <c r="D946" i="13"/>
  <c r="C946" i="13" s="1"/>
  <c r="D941" i="13"/>
  <c r="C941" i="13" s="1"/>
  <c r="D940" i="13"/>
  <c r="C940" i="13" s="1"/>
  <c r="D937" i="13"/>
  <c r="C937" i="13" s="1"/>
  <c r="D936" i="13"/>
  <c r="C936" i="13" s="1"/>
  <c r="D935" i="13"/>
  <c r="C935" i="13" s="1"/>
  <c r="D931" i="13"/>
  <c r="C931" i="13" s="1"/>
  <c r="D930" i="13"/>
  <c r="C930" i="13" s="1"/>
  <c r="D929" i="13"/>
  <c r="C929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2" i="13"/>
  <c r="C922" i="13" s="1"/>
  <c r="D921" i="13"/>
  <c r="C921" i="13" s="1"/>
  <c r="D932" i="13"/>
  <c r="C932" i="13" s="1"/>
  <c r="D918" i="13"/>
  <c r="C918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08" i="13"/>
  <c r="C908" i="13" s="1"/>
  <c r="D902" i="13"/>
  <c r="C902" i="13" s="1"/>
  <c r="D901" i="13"/>
  <c r="C901" i="13" s="1"/>
  <c r="D900" i="13"/>
  <c r="C900" i="13" s="1"/>
  <c r="D899" i="13"/>
  <c r="C899" i="13" s="1"/>
  <c r="D898" i="13"/>
  <c r="C898" i="13" s="1"/>
  <c r="D1131" i="13"/>
  <c r="C1131" i="13" s="1"/>
  <c r="D1130" i="13"/>
  <c r="D1129" i="13" s="1"/>
  <c r="D897" i="13"/>
  <c r="D896" i="13"/>
  <c r="C896" i="13" s="1"/>
  <c r="D895" i="13"/>
  <c r="C895" i="13" s="1"/>
  <c r="D894" i="13"/>
  <c r="C894" i="13" s="1"/>
  <c r="D893" i="13"/>
  <c r="C893" i="13" s="1"/>
  <c r="D890" i="13"/>
  <c r="C890" i="13" s="1"/>
  <c r="D886" i="13"/>
  <c r="C886" i="13" s="1"/>
  <c r="D884" i="13"/>
  <c r="C884" i="13" s="1"/>
  <c r="D881" i="13"/>
  <c r="C881" i="13" s="1"/>
  <c r="D878" i="13"/>
  <c r="C878" i="13" s="1"/>
  <c r="D877" i="13"/>
  <c r="C877" i="13" s="1"/>
  <c r="D876" i="13"/>
  <c r="C876" i="13" s="1"/>
  <c r="D871" i="13"/>
  <c r="D866" i="13"/>
  <c r="D847" i="13"/>
  <c r="C847" i="13" s="1"/>
  <c r="D839" i="13"/>
  <c r="D808" i="13"/>
  <c r="D806" i="13"/>
  <c r="D805" i="13"/>
  <c r="C805" i="13" s="1"/>
  <c r="D795" i="13"/>
  <c r="D790" i="13"/>
  <c r="D789" i="13" s="1"/>
  <c r="D788" i="13"/>
  <c r="C788" i="13" s="1"/>
  <c r="D786" i="13"/>
  <c r="C786" i="13" s="1"/>
  <c r="D785" i="13"/>
  <c r="D773" i="13"/>
  <c r="D767" i="13"/>
  <c r="D766" i="13" s="1"/>
  <c r="D762" i="13"/>
  <c r="C762" i="13" s="1"/>
  <c r="D761" i="13"/>
  <c r="D757" i="13"/>
  <c r="D756" i="13"/>
  <c r="D753" i="13"/>
  <c r="D751" i="13"/>
  <c r="D750" i="13" s="1"/>
  <c r="D748" i="13"/>
  <c r="C748" i="13" s="1"/>
  <c r="D749" i="13"/>
  <c r="C749" i="13" s="1"/>
  <c r="D747" i="13"/>
  <c r="C747" i="13" s="1"/>
  <c r="D746" i="13"/>
  <c r="D745" i="13" s="1"/>
  <c r="D744" i="13"/>
  <c r="C744" i="13" s="1"/>
  <c r="D742" i="13"/>
  <c r="D740" i="13"/>
  <c r="D739" i="13" s="1"/>
  <c r="D729" i="13"/>
  <c r="C729" i="13" s="1"/>
  <c r="D728" i="13"/>
  <c r="D720" i="13"/>
  <c r="D719" i="13"/>
  <c r="C719" i="13" s="1"/>
  <c r="D718" i="13"/>
  <c r="D717" i="13" s="1"/>
  <c r="D711" i="13"/>
  <c r="C711" i="13" s="1"/>
  <c r="D710" i="13"/>
  <c r="C710" i="13" s="1"/>
  <c r="D709" i="13"/>
  <c r="C709" i="13" s="1"/>
  <c r="D706" i="13"/>
  <c r="C706" i="13" s="1"/>
  <c r="D705" i="13"/>
  <c r="C705" i="13" s="1"/>
  <c r="D704" i="13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79" i="13"/>
  <c r="D657" i="13"/>
  <c r="D652" i="13"/>
  <c r="D651" i="13" s="1"/>
  <c r="D650" i="13"/>
  <c r="D649" i="13"/>
  <c r="D644" i="13"/>
  <c r="C644" i="13" s="1"/>
  <c r="D640" i="13"/>
  <c r="D638" i="13"/>
  <c r="D1143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97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84" i="13"/>
  <c r="C1084" i="13" s="1"/>
  <c r="D599" i="13"/>
  <c r="C599" i="13" s="1"/>
  <c r="D598" i="13"/>
  <c r="C598" i="13" s="1"/>
  <c r="D593" i="13"/>
  <c r="C593" i="13" s="1"/>
  <c r="D1072" i="13"/>
  <c r="C1072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46" i="13"/>
  <c r="C1046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20" i="13"/>
  <c r="C1020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45" i="13"/>
  <c r="C945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20" i="13"/>
  <c r="C920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9" i="13"/>
  <c r="C879" i="13" s="1"/>
  <c r="D430" i="13"/>
  <c r="C430" i="13" s="1"/>
  <c r="D429" i="13"/>
  <c r="C429" i="13" s="1"/>
  <c r="D427" i="13"/>
  <c r="C427" i="13" s="1"/>
  <c r="D426" i="13"/>
  <c r="C426" i="13" s="1"/>
  <c r="D869" i="13"/>
  <c r="C869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4" i="13"/>
  <c r="C784" i="13" s="1"/>
  <c r="D783" i="13"/>
  <c r="C783" i="13" s="1"/>
  <c r="D782" i="13"/>
  <c r="D778" i="13"/>
  <c r="D776" i="13" s="1"/>
  <c r="D355" i="13"/>
  <c r="D354" i="13"/>
  <c r="D352" i="13" s="1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8" i="13" s="1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1" i="13" s="1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27" i="13"/>
  <c r="C1027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1000" i="13"/>
  <c r="D995" i="13"/>
  <c r="C995" i="13" s="1"/>
  <c r="D994" i="13"/>
  <c r="C994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87" i="13"/>
  <c r="C887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73" i="13"/>
  <c r="C873" i="13" s="1"/>
  <c r="D428" i="13"/>
  <c r="C428" i="13" s="1"/>
  <c r="D872" i="13"/>
  <c r="C872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63" i="13"/>
  <c r="C763" i="13" s="1"/>
  <c r="D46" i="13"/>
  <c r="D45" i="13" s="1"/>
  <c r="D44" i="13"/>
  <c r="D43" i="13" s="1"/>
  <c r="D42" i="13"/>
  <c r="D41" i="13"/>
  <c r="D40" i="13"/>
  <c r="D39" i="13"/>
  <c r="D743" i="13"/>
  <c r="C743" i="13" s="1"/>
  <c r="D37" i="13"/>
  <c r="C37" i="13" s="1"/>
  <c r="D36" i="13"/>
  <c r="C36" i="13" s="1"/>
  <c r="D735" i="13"/>
  <c r="D34" i="13"/>
  <c r="D33" i="13" s="1"/>
  <c r="D32" i="13"/>
  <c r="C32" i="13" s="1"/>
  <c r="D31" i="13"/>
  <c r="D722" i="13"/>
  <c r="D721" i="13" s="1"/>
  <c r="D27" i="13"/>
  <c r="D26" i="13" s="1"/>
  <c r="D25" i="13"/>
  <c r="D24" i="13" s="1"/>
  <c r="D760" i="13" l="1"/>
  <c r="D320" i="13"/>
  <c r="D348" i="13"/>
  <c r="D420" i="13"/>
  <c r="D752" i="13"/>
  <c r="D343" i="13"/>
  <c r="C357" i="13"/>
  <c r="C356" i="13" s="1"/>
  <c r="D356" i="13"/>
  <c r="D741" i="13"/>
  <c r="C316" i="13"/>
  <c r="C315" i="13" s="1"/>
  <c r="D315" i="13"/>
  <c r="D727" i="13"/>
  <c r="C773" i="13"/>
  <c r="C772" i="13" s="1"/>
  <c r="D772" i="13"/>
  <c r="D1161" i="13"/>
  <c r="C1179" i="13"/>
  <c r="C1130" i="13"/>
  <c r="C1129" i="13" s="1"/>
  <c r="C778" i="13"/>
  <c r="C776" i="13" s="1"/>
  <c r="C337" i="13"/>
  <c r="C336" i="13" s="1"/>
  <c r="C35" i="13"/>
  <c r="C686" i="13"/>
  <c r="C312" i="13"/>
  <c r="C311" i="13" s="1"/>
  <c r="C339" i="13"/>
  <c r="C338" i="13" s="1"/>
  <c r="C354" i="13"/>
  <c r="C1155" i="13"/>
  <c r="C1154" i="13" s="1"/>
  <c r="C310" i="13"/>
  <c r="C309" i="13" s="1"/>
  <c r="C657" i="13"/>
  <c r="C740" i="13"/>
  <c r="C739" i="13" s="1"/>
  <c r="C761" i="13"/>
  <c r="C760" i="13" s="1"/>
  <c r="C785" i="13"/>
  <c r="C1141" i="13"/>
  <c r="C347" i="13"/>
  <c r="C346" i="13" s="1"/>
  <c r="C782" i="13"/>
  <c r="C329" i="13"/>
  <c r="C361" i="13"/>
  <c r="C360" i="13" s="1"/>
  <c r="C421" i="13"/>
  <c r="C420" i="13" s="1"/>
  <c r="C652" i="13"/>
  <c r="C651" i="13" s="1"/>
  <c r="C718" i="13"/>
  <c r="C746" i="13"/>
  <c r="C745" i="13" s="1"/>
  <c r="C751" i="13"/>
  <c r="C750" i="13" s="1"/>
  <c r="C790" i="13"/>
  <c r="C789" i="13" s="1"/>
  <c r="C742" i="13"/>
  <c r="C741" i="13" s="1"/>
  <c r="C321" i="13"/>
  <c r="C400" i="13"/>
  <c r="C417" i="13"/>
  <c r="C416" i="13" s="1"/>
  <c r="C679" i="13"/>
  <c r="C728" i="13"/>
  <c r="C727" i="13" s="1"/>
  <c r="C767" i="13"/>
  <c r="C766" i="13" s="1"/>
  <c r="C866" i="13"/>
  <c r="C1137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2" i="13"/>
  <c r="C721" i="13" s="1"/>
  <c r="V776" i="13" l="1"/>
  <c r="G1202" i="13"/>
  <c r="G1201" i="13" s="1"/>
  <c r="E665" i="13"/>
  <c r="E658" i="13" s="1"/>
  <c r="G648" i="13"/>
  <c r="G647" i="13" s="1"/>
  <c r="E1125" i="13"/>
  <c r="E1124" i="13" s="1"/>
  <c r="J965" i="13"/>
  <c r="J497" i="13"/>
  <c r="J485" i="13"/>
  <c r="D485" i="13" s="1"/>
  <c r="C485" i="13" s="1"/>
  <c r="J934" i="13"/>
  <c r="J903" i="13"/>
  <c r="J905" i="13"/>
  <c r="J904" i="13"/>
  <c r="J892" i="13"/>
  <c r="J891" i="13"/>
  <c r="J437" i="13"/>
  <c r="J880" i="13"/>
  <c r="J875" i="13"/>
  <c r="F394" i="13"/>
  <c r="F389" i="13" s="1"/>
  <c r="G342" i="13"/>
  <c r="G341" i="13" s="1"/>
  <c r="F342" i="13"/>
  <c r="F341" i="13" s="1"/>
  <c r="J308" i="13"/>
  <c r="J292" i="13"/>
  <c r="J289" i="13" s="1"/>
  <c r="J687" i="13"/>
  <c r="J683" i="13" s="1"/>
  <c r="D1036" i="13" l="1"/>
  <c r="C1036" i="13" s="1"/>
  <c r="D1125" i="13"/>
  <c r="D666" i="13"/>
  <c r="C666" i="13" s="1"/>
  <c r="D708" i="13"/>
  <c r="C708" i="13" s="1"/>
  <c r="D987" i="13"/>
  <c r="C987" i="13" s="1"/>
  <c r="D641" i="13"/>
  <c r="D1186" i="13"/>
  <c r="C1186" i="13" s="1"/>
  <c r="D1182" i="13"/>
  <c r="D394" i="13"/>
  <c r="D589" i="13"/>
  <c r="C589" i="13" s="1"/>
  <c r="D597" i="13"/>
  <c r="C597" i="13" s="1"/>
  <c r="D662" i="13"/>
  <c r="C662" i="13" s="1"/>
  <c r="D667" i="13"/>
  <c r="C667" i="13" s="1"/>
  <c r="D804" i="13"/>
  <c r="D811" i="13"/>
  <c r="C811" i="13" s="1"/>
  <c r="D942" i="13"/>
  <c r="C942" i="13" s="1"/>
  <c r="D1081" i="13"/>
  <c r="C1081" i="13" s="1"/>
  <c r="D1133" i="13"/>
  <c r="D1132" i="13" s="1"/>
  <c r="D639" i="13"/>
  <c r="D787" i="13"/>
  <c r="D781" i="13" s="1"/>
  <c r="D1142" i="13"/>
  <c r="D1140" i="13" s="1"/>
  <c r="D1159" i="13"/>
  <c r="D1158" i="13" s="1"/>
  <c r="D1185" i="13"/>
  <c r="D546" i="13"/>
  <c r="D1063" i="13"/>
  <c r="C1063" i="13" s="1"/>
  <c r="D596" i="13"/>
  <c r="D629" i="13"/>
  <c r="C629" i="13" s="1"/>
  <c r="D661" i="13"/>
  <c r="C661" i="13" s="1"/>
  <c r="D665" i="13"/>
  <c r="D707" i="13"/>
  <c r="C707" i="13" s="1"/>
  <c r="D734" i="13"/>
  <c r="C734" i="13" s="1"/>
  <c r="D803" i="13"/>
  <c r="D810" i="13"/>
  <c r="D823" i="13"/>
  <c r="C823" i="13" s="1"/>
  <c r="D919" i="13"/>
  <c r="D981" i="13"/>
  <c r="C981" i="13" s="1"/>
  <c r="D1043" i="13"/>
  <c r="C1043" i="13" s="1"/>
  <c r="D1113" i="13"/>
  <c r="C1113" i="13" s="1"/>
  <c r="D1188" i="13"/>
  <c r="C1188" i="13" s="1"/>
  <c r="D1190" i="13"/>
  <c r="C1190" i="13" s="1"/>
  <c r="D1194" i="13"/>
  <c r="C1194" i="13" s="1"/>
  <c r="D769" i="13"/>
  <c r="D768" i="13" s="1"/>
  <c r="D798" i="13"/>
  <c r="D861" i="13"/>
  <c r="D342" i="13"/>
  <c r="D341" i="13" s="1"/>
  <c r="D628" i="13"/>
  <c r="D648" i="13"/>
  <c r="D647" i="13" s="1"/>
  <c r="D715" i="13"/>
  <c r="D885" i="13"/>
  <c r="D1138" i="13"/>
  <c r="D1136" i="13" s="1"/>
  <c r="D1157" i="13"/>
  <c r="D1156" i="13" s="1"/>
  <c r="D862" i="13"/>
  <c r="C862" i="13" s="1"/>
  <c r="D437" i="13"/>
  <c r="C437" i="13" s="1"/>
  <c r="D875" i="13"/>
  <c r="C875" i="13" s="1"/>
  <c r="D892" i="13"/>
  <c r="C89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33" i="13"/>
  <c r="C733" i="13" s="1"/>
  <c r="D809" i="13"/>
  <c r="D822" i="13"/>
  <c r="C822" i="13" s="1"/>
  <c r="D907" i="13"/>
  <c r="D980" i="13"/>
  <c r="C980" i="13" s="1"/>
  <c r="D1029" i="13"/>
  <c r="C1029" i="13" s="1"/>
  <c r="D1112" i="13"/>
  <c r="C1112" i="13" s="1"/>
  <c r="D1187" i="13"/>
  <c r="C1187" i="13" s="1"/>
  <c r="D1184" i="13"/>
  <c r="C1184" i="13" s="1"/>
  <c r="D1189" i="13"/>
  <c r="C1189" i="13" s="1"/>
  <c r="D1192" i="13"/>
  <c r="C1192" i="13" s="1"/>
  <c r="D1202" i="13"/>
  <c r="D1201" i="13" s="1"/>
  <c r="D1200" i="13"/>
  <c r="D633" i="13"/>
  <c r="D632" i="13" s="1"/>
  <c r="D1173" i="13"/>
  <c r="D690" i="13"/>
  <c r="C690" i="13" s="1"/>
  <c r="D780" i="13"/>
  <c r="D779" i="13" s="1"/>
  <c r="D820" i="13"/>
  <c r="D1037" i="13"/>
  <c r="C1037" i="13" s="1"/>
  <c r="D594" i="13"/>
  <c r="C594" i="13" s="1"/>
  <c r="D1085" i="13"/>
  <c r="C1085" i="13" s="1"/>
  <c r="D642" i="13"/>
  <c r="C642" i="13" s="1"/>
  <c r="D663" i="13"/>
  <c r="C663" i="13" s="1"/>
  <c r="D668" i="13"/>
  <c r="C668" i="13" s="1"/>
  <c r="D716" i="13"/>
  <c r="D799" i="13"/>
  <c r="D802" i="13"/>
  <c r="D807" i="13"/>
  <c r="D948" i="13"/>
  <c r="C948" i="13" s="1"/>
  <c r="D1022" i="13"/>
  <c r="C1022" i="13" s="1"/>
  <c r="D1111" i="13"/>
  <c r="C1111" i="13" s="1"/>
  <c r="D1183" i="13"/>
  <c r="C1183" i="13" s="1"/>
  <c r="D1191" i="13"/>
  <c r="C1191" i="13" s="1"/>
  <c r="D880" i="13"/>
  <c r="C880" i="13" s="1"/>
  <c r="D497" i="13"/>
  <c r="C497" i="13" s="1"/>
  <c r="D687" i="13"/>
  <c r="D683" i="13" s="1"/>
  <c r="D292" i="13"/>
  <c r="C292" i="13" s="1"/>
  <c r="D891" i="13"/>
  <c r="C891" i="13" s="1"/>
  <c r="D904" i="13"/>
  <c r="C904" i="13" s="1"/>
  <c r="D903" i="13"/>
  <c r="C903" i="13" s="1"/>
  <c r="D934" i="13"/>
  <c r="C934" i="13" s="1"/>
  <c r="D308" i="13"/>
  <c r="D905" i="13"/>
  <c r="C905" i="13" s="1"/>
  <c r="D965" i="13"/>
  <c r="C965" i="13" s="1"/>
  <c r="D1153" i="13"/>
  <c r="C1153" i="13" s="1"/>
  <c r="J1126" i="13"/>
  <c r="J1124" i="13" s="1"/>
  <c r="G1126" i="13"/>
  <c r="G1124" i="13" s="1"/>
  <c r="J1123" i="13"/>
  <c r="J1122" i="13" s="1"/>
  <c r="J859" i="13"/>
  <c r="J858" i="13"/>
  <c r="J854" i="13"/>
  <c r="J853" i="13"/>
  <c r="J852" i="13"/>
  <c r="J851" i="13"/>
  <c r="J850" i="13"/>
  <c r="J844" i="13"/>
  <c r="J840" i="13"/>
  <c r="J836" i="13"/>
  <c r="J832" i="13"/>
  <c r="J828" i="13"/>
  <c r="J829" i="13"/>
  <c r="J827" i="13"/>
  <c r="J801" i="13"/>
  <c r="G801" i="13"/>
  <c r="J800" i="13"/>
  <c r="G800" i="13"/>
  <c r="J732" i="13"/>
  <c r="J731" i="13" s="1"/>
  <c r="G732" i="13"/>
  <c r="G731" i="13" s="1"/>
  <c r="J726" i="13"/>
  <c r="G726" i="13"/>
  <c r="G723" i="13" s="1"/>
  <c r="J724" i="13"/>
  <c r="D1152" i="13"/>
  <c r="D646" i="13"/>
  <c r="D645" i="13" s="1"/>
  <c r="J1076" i="13"/>
  <c r="G1076" i="13"/>
  <c r="J565" i="13"/>
  <c r="J868" i="13"/>
  <c r="J412" i="13"/>
  <c r="J411" i="13"/>
  <c r="J410" i="13"/>
  <c r="J408" i="13"/>
  <c r="J407" i="13"/>
  <c r="J406" i="13"/>
  <c r="J405" i="13"/>
  <c r="J409" i="13"/>
  <c r="J403" i="13"/>
  <c r="J841" i="13"/>
  <c r="J834" i="13"/>
  <c r="J833" i="13" s="1"/>
  <c r="J393" i="13"/>
  <c r="J391" i="13"/>
  <c r="J390" i="13"/>
  <c r="J819" i="13"/>
  <c r="J818" i="13"/>
  <c r="J385" i="13"/>
  <c r="E385" i="13"/>
  <c r="E382" i="13" s="1"/>
  <c r="J384" i="13"/>
  <c r="J383" i="13"/>
  <c r="J815" i="13"/>
  <c r="J813" i="13"/>
  <c r="J812" i="13" s="1"/>
  <c r="G813" i="13"/>
  <c r="G812" i="13" s="1"/>
  <c r="J379" i="13"/>
  <c r="J376" i="13"/>
  <c r="J375" i="13"/>
  <c r="E375" i="13"/>
  <c r="E362" i="13" s="1"/>
  <c r="J796" i="13"/>
  <c r="J793" i="13" s="1"/>
  <c r="G796" i="13"/>
  <c r="E796" i="13"/>
  <c r="E793" i="13" s="1"/>
  <c r="J377" i="13"/>
  <c r="J373" i="13"/>
  <c r="J374" i="13"/>
  <c r="J372" i="13"/>
  <c r="J371" i="13"/>
  <c r="J369" i="13"/>
  <c r="F369" i="13"/>
  <c r="J368" i="13"/>
  <c r="J367" i="13"/>
  <c r="J362" i="13" s="1"/>
  <c r="F367" i="13"/>
  <c r="F362" i="13" s="1"/>
  <c r="J738" i="13"/>
  <c r="J737" i="13" s="1"/>
  <c r="J319" i="13"/>
  <c r="J318" i="13" s="1"/>
  <c r="J725" i="13"/>
  <c r="F725" i="13"/>
  <c r="F723" i="13" s="1"/>
  <c r="F677" i="13" s="1"/>
  <c r="J288" i="13"/>
  <c r="F288" i="13"/>
  <c r="J287" i="13"/>
  <c r="J286" i="13" s="1"/>
  <c r="F287" i="13"/>
  <c r="F286" i="13" s="1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69" i="13"/>
  <c r="G1069" i="13"/>
  <c r="J1068" i="13"/>
  <c r="G1068" i="13"/>
  <c r="J586" i="13"/>
  <c r="J212" i="13"/>
  <c r="H212" i="13"/>
  <c r="F212" i="13"/>
  <c r="J211" i="13"/>
  <c r="J208" i="13"/>
  <c r="H208" i="13"/>
  <c r="J207" i="13"/>
  <c r="J206" i="13"/>
  <c r="J205" i="13"/>
  <c r="J530" i="13"/>
  <c r="J992" i="13"/>
  <c r="G992" i="13"/>
  <c r="J991" i="13"/>
  <c r="G991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H425" i="13" s="1"/>
  <c r="J174" i="13"/>
  <c r="J173" i="13"/>
  <c r="J172" i="13"/>
  <c r="J171" i="13"/>
  <c r="J170" i="13"/>
  <c r="J169" i="13"/>
  <c r="J168" i="13"/>
  <c r="J167" i="13"/>
  <c r="J164" i="13"/>
  <c r="J156" i="13"/>
  <c r="H156" i="13"/>
  <c r="J906" i="13"/>
  <c r="G906" i="13"/>
  <c r="E906" i="13"/>
  <c r="E865" i="13" s="1"/>
  <c r="J155" i="13"/>
  <c r="H155" i="13"/>
  <c r="J153" i="13"/>
  <c r="J152" i="13"/>
  <c r="J151" i="13"/>
  <c r="J888" i="13"/>
  <c r="H888" i="13"/>
  <c r="H865" i="13" s="1"/>
  <c r="G888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E677" i="13" l="1"/>
  <c r="J389" i="13"/>
  <c r="J723" i="13"/>
  <c r="D1171" i="13"/>
  <c r="D627" i="13"/>
  <c r="G865" i="13"/>
  <c r="G793" i="13"/>
  <c r="J814" i="13"/>
  <c r="J399" i="13"/>
  <c r="J824" i="13"/>
  <c r="J857" i="13"/>
  <c r="J382" i="13"/>
  <c r="J865" i="13"/>
  <c r="J837" i="13"/>
  <c r="C1200" i="13"/>
  <c r="C1199" i="13" s="1"/>
  <c r="D1199" i="13"/>
  <c r="D714" i="13"/>
  <c r="D860" i="13"/>
  <c r="C665" i="13"/>
  <c r="C658" i="13" s="1"/>
  <c r="D658" i="13"/>
  <c r="C641" i="13"/>
  <c r="D635" i="13"/>
  <c r="C308" i="13"/>
  <c r="D289" i="13"/>
  <c r="C919" i="13"/>
  <c r="C646" i="13"/>
  <c r="C645" i="13" s="1"/>
  <c r="C596" i="13"/>
  <c r="C1182" i="13"/>
  <c r="E68" i="13"/>
  <c r="E104" i="13"/>
  <c r="I68" i="13"/>
  <c r="E96" i="13"/>
  <c r="I96" i="13"/>
  <c r="I104" i="13"/>
  <c r="H89" i="13"/>
  <c r="G244" i="13"/>
  <c r="H96" i="13"/>
  <c r="H104" i="13"/>
  <c r="C1138" i="13"/>
  <c r="C1136" i="13" s="1"/>
  <c r="C628" i="13"/>
  <c r="C627" i="13" s="1"/>
  <c r="C769" i="13"/>
  <c r="C768" i="13" s="1"/>
  <c r="C787" i="13"/>
  <c r="C781" i="13" s="1"/>
  <c r="J237" i="13"/>
  <c r="F244" i="13"/>
  <c r="J244" i="13"/>
  <c r="C885" i="13"/>
  <c r="C1185" i="13"/>
  <c r="C687" i="13"/>
  <c r="C780" i="13"/>
  <c r="C779" i="13" s="1"/>
  <c r="C633" i="13"/>
  <c r="C632" i="13" s="1"/>
  <c r="C1157" i="13"/>
  <c r="C1156" i="13" s="1"/>
  <c r="C1142" i="13"/>
  <c r="C1133" i="13"/>
  <c r="C1132" i="13" s="1"/>
  <c r="F89" i="13"/>
  <c r="C342" i="13"/>
  <c r="C341" i="13" s="1"/>
  <c r="C820" i="13"/>
  <c r="C1173" i="13"/>
  <c r="C1202" i="13"/>
  <c r="C1201" i="13" s="1"/>
  <c r="C715" i="13"/>
  <c r="C861" i="13"/>
  <c r="C860" i="13" s="1"/>
  <c r="C1159" i="13"/>
  <c r="C1158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1076" i="13"/>
  <c r="D800" i="13"/>
  <c r="D828" i="13"/>
  <c r="C828" i="13" s="1"/>
  <c r="D844" i="13"/>
  <c r="C844" i="13" s="1"/>
  <c r="D851" i="13"/>
  <c r="C851" i="13" s="1"/>
  <c r="D853" i="13"/>
  <c r="C853" i="13" s="1"/>
  <c r="D725" i="13"/>
  <c r="D738" i="13"/>
  <c r="D737" i="13" s="1"/>
  <c r="D732" i="13"/>
  <c r="D731" i="13" s="1"/>
  <c r="D105" i="13"/>
  <c r="D238" i="13"/>
  <c r="D245" i="13"/>
  <c r="D254" i="13"/>
  <c r="D251" i="13" s="1"/>
  <c r="D367" i="13"/>
  <c r="D813" i="13"/>
  <c r="D812" i="13" s="1"/>
  <c r="D76" i="13"/>
  <c r="D888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68" i="13"/>
  <c r="C1068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9" i="13"/>
  <c r="C819" i="13" s="1"/>
  <c r="D391" i="13"/>
  <c r="C391" i="13" s="1"/>
  <c r="D829" i="13"/>
  <c r="C829" i="13" s="1"/>
  <c r="D858" i="13"/>
  <c r="D1123" i="13"/>
  <c r="D1122" i="13" s="1"/>
  <c r="D98" i="13"/>
  <c r="D117" i="13"/>
  <c r="D116" i="13" s="1"/>
  <c r="D287" i="13"/>
  <c r="D319" i="13"/>
  <c r="D318" i="13" s="1"/>
  <c r="D841" i="13"/>
  <c r="C841" i="13" s="1"/>
  <c r="D868" i="13"/>
  <c r="D827" i="13"/>
  <c r="D1126" i="13"/>
  <c r="D1124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92" i="13"/>
  <c r="C992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6" i="13"/>
  <c r="C726" i="13" s="1"/>
  <c r="D840" i="13"/>
  <c r="C840" i="13" s="1"/>
  <c r="D850" i="13"/>
  <c r="C850" i="13" s="1"/>
  <c r="D852" i="13"/>
  <c r="C852" i="13" s="1"/>
  <c r="D854" i="13"/>
  <c r="C854" i="13" s="1"/>
  <c r="D859" i="13"/>
  <c r="C859" i="13" s="1"/>
  <c r="D656" i="13"/>
  <c r="D655" i="13" s="1"/>
  <c r="D834" i="13"/>
  <c r="D724" i="13"/>
  <c r="D723" i="13" s="1"/>
  <c r="D836" i="13"/>
  <c r="D1151" i="13"/>
  <c r="D60" i="13"/>
  <c r="D59" i="13" s="1"/>
  <c r="D94" i="13"/>
  <c r="D74" i="13"/>
  <c r="D87" i="13"/>
  <c r="D119" i="13"/>
  <c r="D258" i="13"/>
  <c r="D257" i="13" s="1"/>
  <c r="D815" i="13"/>
  <c r="D390" i="13"/>
  <c r="D389" i="13" s="1"/>
  <c r="D1149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906" i="13"/>
  <c r="C906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91" i="13"/>
  <c r="C991" i="13" s="1"/>
  <c r="D530" i="13"/>
  <c r="C530" i="13" s="1"/>
  <c r="D206" i="13"/>
  <c r="D208" i="13"/>
  <c r="D212" i="13"/>
  <c r="C212" i="13" s="1"/>
  <c r="D586" i="13"/>
  <c r="C586" i="13" s="1"/>
  <c r="D1069" i="13"/>
  <c r="C1069" i="13" s="1"/>
  <c r="D240" i="13"/>
  <c r="C240" i="13" s="1"/>
  <c r="D246" i="13"/>
  <c r="D368" i="13"/>
  <c r="D371" i="13"/>
  <c r="D373" i="13"/>
  <c r="D796" i="13"/>
  <c r="D376" i="13"/>
  <c r="D379" i="13"/>
  <c r="D384" i="13"/>
  <c r="C384" i="13" s="1"/>
  <c r="D818" i="13"/>
  <c r="C818" i="13" s="1"/>
  <c r="D393" i="13"/>
  <c r="C393" i="13" s="1"/>
  <c r="D801" i="13"/>
  <c r="D832" i="13"/>
  <c r="C832" i="13" s="1"/>
  <c r="J325" i="13"/>
  <c r="J323" i="13" s="1"/>
  <c r="I35" i="13"/>
  <c r="H325" i="13"/>
  <c r="H323" i="13" s="1"/>
  <c r="H285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H677" i="13" s="1"/>
  <c r="G681" i="13"/>
  <c r="J680" i="13"/>
  <c r="G680" i="13"/>
  <c r="G678" i="13" s="1"/>
  <c r="G677" i="13" s="1"/>
  <c r="J439" i="13"/>
  <c r="I120" i="13"/>
  <c r="H120" i="13"/>
  <c r="G120" i="13"/>
  <c r="F120" i="13"/>
  <c r="E120" i="13"/>
  <c r="J678" i="13" l="1"/>
  <c r="J677" i="13" s="1"/>
  <c r="D814" i="13"/>
  <c r="D793" i="13"/>
  <c r="C1171" i="13"/>
  <c r="J120" i="13"/>
  <c r="J425" i="13"/>
  <c r="J285" i="13" s="1"/>
  <c r="D1148" i="13"/>
  <c r="D833" i="13"/>
  <c r="D824" i="13"/>
  <c r="D857" i="13"/>
  <c r="C409" i="13"/>
  <c r="D399" i="13"/>
  <c r="D362" i="13"/>
  <c r="C288" i="13"/>
  <c r="D286" i="13"/>
  <c r="V1201" i="13"/>
  <c r="C813" i="13"/>
  <c r="C812" i="13" s="1"/>
  <c r="C464" i="13"/>
  <c r="I10" i="13"/>
  <c r="I8" i="13" s="1"/>
  <c r="F35" i="13"/>
  <c r="F10" i="13" s="1"/>
  <c r="H35" i="13"/>
  <c r="H10" i="13" s="1"/>
  <c r="H8" i="13" s="1"/>
  <c r="J35" i="13"/>
  <c r="J10" i="13" s="1"/>
  <c r="E35" i="13"/>
  <c r="E10" i="13" s="1"/>
  <c r="G35" i="13"/>
  <c r="G10" i="13" s="1"/>
  <c r="C287" i="13"/>
  <c r="C815" i="13"/>
  <c r="C814" i="13" s="1"/>
  <c r="C836" i="13"/>
  <c r="C1126" i="13"/>
  <c r="C319" i="13"/>
  <c r="C318" i="13" s="1"/>
  <c r="C738" i="13"/>
  <c r="C737" i="13" s="1"/>
  <c r="C724" i="13"/>
  <c r="C827" i="13"/>
  <c r="C824" i="13" s="1"/>
  <c r="C1123" i="13"/>
  <c r="C1122" i="13" s="1"/>
  <c r="C732" i="13"/>
  <c r="C725" i="13"/>
  <c r="C390" i="13"/>
  <c r="C1151" i="13"/>
  <c r="C1149" i="13"/>
  <c r="C834" i="13"/>
  <c r="C833" i="13" s="1"/>
  <c r="C858" i="13"/>
  <c r="C857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J8" i="13" l="1"/>
  <c r="C286" i="13"/>
  <c r="D678" i="13"/>
  <c r="D120" i="13"/>
  <c r="D425" i="13"/>
  <c r="C723" i="13"/>
  <c r="E8" i="13"/>
  <c r="V264" i="13"/>
  <c r="V439" i="13"/>
  <c r="C325" i="13"/>
  <c r="C323" i="13" s="1"/>
  <c r="D35" i="13"/>
  <c r="D10" i="13" s="1"/>
  <c r="C12" i="13"/>
  <c r="C680" i="13"/>
  <c r="C678" i="13" s="1"/>
  <c r="C267" i="13"/>
  <c r="C266" i="13" s="1"/>
  <c r="V267" i="13"/>
  <c r="C439" i="13"/>
  <c r="D1168" i="13"/>
  <c r="D1167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R331" i="13"/>
  <c r="R328" i="13" s="1"/>
  <c r="R285" i="13" s="1"/>
  <c r="C1168" i="13" l="1"/>
  <c r="C1167" i="13" s="1"/>
  <c r="V331" i="13"/>
  <c r="D331" i="13"/>
  <c r="D328" i="13" s="1"/>
  <c r="D997" i="13"/>
  <c r="D865" i="13" s="1"/>
  <c r="D1128" i="13"/>
  <c r="D1127" i="13" s="1"/>
  <c r="D332" i="13"/>
  <c r="C332" i="13" l="1"/>
  <c r="C997" i="13"/>
  <c r="C1128" i="13"/>
  <c r="C1127" i="13" s="1"/>
  <c r="C331" i="13"/>
  <c r="C328" i="13" s="1"/>
  <c r="D838" i="13"/>
  <c r="D837" i="13" s="1"/>
  <c r="N630" i="13"/>
  <c r="C838" i="13" l="1"/>
  <c r="C757" i="13"/>
  <c r="V757" i="13"/>
  <c r="C756" i="13"/>
  <c r="V756" i="13"/>
  <c r="C753" i="13"/>
  <c r="V753" i="13"/>
  <c r="V631" i="13"/>
  <c r="C344" i="13"/>
  <c r="C343" i="13" s="1"/>
  <c r="V344" i="13"/>
  <c r="D759" i="13"/>
  <c r="D758" i="13" s="1"/>
  <c r="D677" i="13" s="1"/>
  <c r="D631" i="13"/>
  <c r="D630" i="13" s="1"/>
  <c r="C752" i="13" l="1"/>
  <c r="V752" i="13"/>
  <c r="C631" i="13"/>
  <c r="C630" i="13" s="1"/>
  <c r="C759" i="13"/>
  <c r="C758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635" i="13" s="1"/>
  <c r="C1143" i="13"/>
  <c r="C1140" i="13" s="1"/>
  <c r="V246" i="13"/>
  <c r="C227" i="13"/>
  <c r="C194" i="13"/>
  <c r="V156" i="13"/>
  <c r="R116" i="13"/>
  <c r="C413" i="13"/>
  <c r="C111" i="13"/>
  <c r="C403" i="13"/>
  <c r="C399" i="13" s="1"/>
  <c r="V106" i="13"/>
  <c r="N66" i="13"/>
  <c r="N49" i="13"/>
  <c r="C34" i="13"/>
  <c r="C33" i="13" s="1"/>
  <c r="C735" i="13"/>
  <c r="C731" i="13" s="1"/>
  <c r="C290" i="13"/>
  <c r="C208" i="13"/>
  <c r="C1097" i="13"/>
  <c r="C182" i="13"/>
  <c r="V220" i="13"/>
  <c r="C604" i="13"/>
  <c r="S372" i="13"/>
  <c r="S371" i="13"/>
  <c r="P367" i="13"/>
  <c r="P369" i="13"/>
  <c r="C282" i="13"/>
  <c r="C280" i="13"/>
  <c r="P164" i="13"/>
  <c r="V164" i="13"/>
  <c r="C868" i="13"/>
  <c r="C907" i="13"/>
  <c r="C871" i="13"/>
  <c r="C349" i="13"/>
  <c r="C348" i="13" s="1"/>
  <c r="C704" i="13"/>
  <c r="C685" i="13"/>
  <c r="C355" i="13"/>
  <c r="C352" i="13" s="1"/>
  <c r="C27" i="13"/>
  <c r="C26" i="13" s="1"/>
  <c r="C720" i="13"/>
  <c r="C717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6" i="13"/>
  <c r="S375" i="13"/>
  <c r="P378" i="13"/>
  <c r="S378" i="13"/>
  <c r="P379" i="13"/>
  <c r="S379" i="13"/>
  <c r="C380" i="13"/>
  <c r="C381" i="13"/>
  <c r="P795" i="13"/>
  <c r="S795" i="13"/>
  <c r="P798" i="13"/>
  <c r="S798" i="13"/>
  <c r="P799" i="13"/>
  <c r="S799" i="13"/>
  <c r="P800" i="13"/>
  <c r="S800" i="13"/>
  <c r="P801" i="13"/>
  <c r="S801" i="13"/>
  <c r="S802" i="13"/>
  <c r="S803" i="13"/>
  <c r="P804" i="13"/>
  <c r="C806" i="13"/>
  <c r="S807" i="13"/>
  <c r="S808" i="13"/>
  <c r="S809" i="13"/>
  <c r="S810" i="13"/>
  <c r="S793" i="13" l="1"/>
  <c r="S677" i="13" s="1"/>
  <c r="S362" i="13"/>
  <c r="S285" i="13" s="1"/>
  <c r="C647" i="13"/>
  <c r="P362" i="13"/>
  <c r="P285" i="13" s="1"/>
  <c r="P793" i="13"/>
  <c r="P677" i="13" s="1"/>
  <c r="C683" i="13"/>
  <c r="C388" i="13"/>
  <c r="D382" i="13"/>
  <c r="D285" i="13" s="1"/>
  <c r="D8" i="13" s="1"/>
  <c r="C320" i="13"/>
  <c r="N68" i="13"/>
  <c r="R68" i="13"/>
  <c r="C270" i="13"/>
  <c r="C387" i="13"/>
  <c r="V373" i="13"/>
  <c r="C1108" i="13"/>
  <c r="C306" i="13"/>
  <c r="C289" i="13" s="1"/>
  <c r="R104" i="13"/>
  <c r="V46" i="13"/>
  <c r="C52" i="13"/>
  <c r="R49" i="13"/>
  <c r="C888" i="13"/>
  <c r="R120" i="13"/>
  <c r="C196" i="13"/>
  <c r="L120" i="13"/>
  <c r="L10" i="13" s="1"/>
  <c r="L8" i="13" s="1"/>
  <c r="S68" i="13"/>
  <c r="S10" i="13" s="1"/>
  <c r="S8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1000" i="13"/>
  <c r="V1000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9" i="13"/>
  <c r="C837" i="13" s="1"/>
  <c r="V839" i="13"/>
  <c r="C246" i="13"/>
  <c r="C106" i="13"/>
  <c r="C117" i="13"/>
  <c r="C1125" i="13"/>
  <c r="C1124" i="13" s="1"/>
  <c r="C364" i="13"/>
  <c r="C373" i="13"/>
  <c r="C82" i="13"/>
  <c r="C80" i="13"/>
  <c r="C69" i="13"/>
  <c r="C1076" i="13"/>
  <c r="C79" i="13"/>
  <c r="C75" i="13"/>
  <c r="C448" i="13"/>
  <c r="C425" i="13" s="1"/>
  <c r="C546" i="13"/>
  <c r="C369" i="13"/>
  <c r="C245" i="13"/>
  <c r="C386" i="13"/>
  <c r="C382" i="13" s="1"/>
  <c r="C810" i="13"/>
  <c r="C803" i="13"/>
  <c r="C809" i="13"/>
  <c r="C802" i="13"/>
  <c r="C796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801" i="13"/>
  <c r="C799" i="13"/>
  <c r="C795" i="13"/>
  <c r="C46" i="13"/>
  <c r="C45" i="13" s="1"/>
  <c r="C398" i="13"/>
  <c r="C397" i="13" s="1"/>
  <c r="C164" i="13"/>
  <c r="C367" i="13"/>
  <c r="C808" i="13"/>
  <c r="C377" i="13"/>
  <c r="C83" i="13"/>
  <c r="C76" i="13"/>
  <c r="C897" i="13"/>
  <c r="C865" i="13" s="1"/>
  <c r="C963" i="13"/>
  <c r="C371" i="13"/>
  <c r="C800" i="13"/>
  <c r="C798" i="13"/>
  <c r="C1163" i="13"/>
  <c r="C1161" i="13" s="1"/>
  <c r="C716" i="13"/>
  <c r="C714" i="13" s="1"/>
  <c r="C807" i="13"/>
  <c r="C804" i="13"/>
  <c r="C379" i="13"/>
  <c r="C378" i="13"/>
  <c r="C375" i="13"/>
  <c r="C77" i="13"/>
  <c r="C74" i="13"/>
  <c r="C691" i="13"/>
  <c r="C395" i="13"/>
  <c r="C389" i="13" s="1"/>
  <c r="C372" i="13"/>
  <c r="C253" i="13"/>
  <c r="C1152" i="13"/>
  <c r="C1148" i="13" s="1"/>
  <c r="V26" i="13"/>
  <c r="V346" i="13"/>
  <c r="V420" i="13"/>
  <c r="V672" i="13"/>
  <c r="V772" i="13"/>
  <c r="V779" i="13"/>
  <c r="V857" i="13"/>
  <c r="V1156" i="13"/>
  <c r="V118" i="13"/>
  <c r="V721" i="13"/>
  <c r="V43" i="13"/>
  <c r="V266" i="13"/>
  <c r="V309" i="13"/>
  <c r="V737" i="13"/>
  <c r="V768" i="13"/>
  <c r="V833" i="13"/>
  <c r="V860" i="13"/>
  <c r="V1132" i="13"/>
  <c r="V1154" i="13"/>
  <c r="V1199" i="13"/>
  <c r="C362" i="13" l="1"/>
  <c r="C285" i="13" s="1"/>
  <c r="C793" i="13"/>
  <c r="C677" i="13" s="1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4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V89" i="13" l="1"/>
  <c r="V10" i="13"/>
  <c r="C10" i="13"/>
  <c r="C8" i="13" s="1"/>
  <c r="V38" i="13"/>
  <c r="V33" i="13"/>
  <c r="V96" i="13"/>
  <c r="V251" i="13"/>
  <c r="V49" i="13"/>
  <c r="V104" i="13"/>
  <c r="V11" i="13"/>
  <c r="V120" i="13"/>
  <c r="V255" i="13" l="1"/>
  <c r="V45" i="13"/>
  <c r="V270" i="13"/>
  <c r="V758" i="13"/>
  <c r="V35" i="13" l="1"/>
  <c r="V68" i="13"/>
  <c r="V242" i="13" l="1"/>
  <c r="V739" i="13"/>
</calcChain>
</file>

<file path=xl/sharedStrings.xml><?xml version="1.0" encoding="utf-8"?>
<sst xmlns="http://schemas.openxmlformats.org/spreadsheetml/2006/main" count="2284" uniqueCount="2044">
  <si>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</si>
  <si>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</si>
  <si>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</si>
  <si>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</si>
  <si>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</si>
  <si>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</si>
  <si>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</si>
  <si>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</si>
  <si>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</si>
  <si>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</si>
  <si>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</si>
  <si>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</si>
  <si>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</si>
  <si>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</si>
  <si>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</si>
  <si>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</si>
  <si>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</si>
  <si>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</si>
  <si>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</si>
  <si>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</si>
  <si>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</si>
  <si>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</si>
  <si>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</si>
  <si>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</si>
  <si>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</si>
  <si>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</si>
  <si>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</si>
  <si>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</si>
  <si>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</si>
  <si>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</si>
  <si>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</si>
  <si>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</si>
  <si>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</si>
  <si>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</si>
  <si>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</si>
  <si>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</si>
  <si>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</si>
  <si>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</si>
  <si>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</si>
  <si>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</si>
  <si>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</si>
  <si>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</si>
  <si>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</si>
  <si>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</si>
  <si>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</si>
  <si>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</si>
  <si>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</si>
  <si>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</si>
  <si>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</si>
  <si>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</si>
  <si>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</si>
  <si>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</si>
  <si>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</si>
  <si>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</si>
  <si>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</si>
  <si>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</si>
  <si>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</si>
  <si>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</si>
  <si>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</si>
  <si>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</si>
  <si>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</si>
  <si>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</si>
  <si>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</si>
  <si>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</si>
  <si>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</si>
  <si>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</si>
  <si>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</si>
  <si>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</si>
  <si>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</si>
  <si>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</si>
  <si>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</si>
  <si>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</si>
  <si>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</si>
  <si>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</si>
  <si>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</si>
  <si>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</si>
  <si>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</si>
  <si>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</si>
  <si>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</si>
  <si>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</si>
  <si>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</si>
  <si>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</si>
  <si>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</si>
  <si>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</si>
  <si>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</si>
  <si>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</si>
  <si>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</si>
  <si>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</si>
  <si>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</si>
  <si>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</si>
  <si>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</si>
  <si>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</si>
  <si>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</si>
  <si>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</si>
  <si>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</si>
  <si>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</si>
  <si>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</si>
  <si>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</si>
  <si>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</si>
  <si>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</si>
  <si>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</si>
  <si>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</si>
  <si>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</si>
  <si>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</si>
  <si>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</si>
  <si>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</si>
  <si>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</si>
  <si>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</si>
  <si>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</si>
  <si>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</si>
  <si>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</si>
  <si>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</si>
  <si>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</si>
  <si>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</si>
  <si>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</si>
  <si>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</si>
  <si>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</si>
  <si>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</si>
  <si>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</si>
  <si>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</si>
  <si>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</si>
  <si>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</si>
  <si>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</si>
  <si>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</si>
  <si>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</si>
  <si>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</si>
  <si>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</si>
  <si>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</si>
  <si>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</si>
  <si>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</si>
  <si>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</si>
  <si>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</si>
  <si>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</si>
  <si>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</si>
  <si>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</si>
  <si>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</si>
  <si>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</si>
  <si>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</si>
  <si>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</si>
  <si>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</si>
  <si>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</si>
  <si>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</si>
  <si>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</si>
  <si>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</si>
  <si>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</si>
  <si>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</si>
  <si>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</si>
  <si>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</si>
  <si>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</si>
  <si>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</si>
  <si>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</si>
  <si>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</si>
  <si>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</si>
  <si>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</si>
  <si>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</si>
  <si>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</si>
  <si>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</si>
  <si>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</si>
  <si>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</si>
  <si>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</si>
  <si>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</si>
  <si>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</si>
  <si>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</si>
  <si>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</si>
  <si>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</si>
  <si>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</si>
  <si>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</si>
  <si>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</si>
  <si>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</si>
  <si>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</si>
  <si>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</si>
  <si>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</si>
  <si>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</si>
  <si>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</si>
  <si>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</si>
  <si>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</si>
  <si>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</si>
  <si>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</si>
  <si>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</si>
  <si>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</si>
  <si>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</si>
  <si>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</si>
  <si>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</si>
  <si>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</si>
  <si>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</si>
  <si>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</si>
  <si>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</si>
  <si>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</si>
  <si>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</si>
  <si>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</si>
  <si>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</si>
  <si>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</si>
  <si>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</si>
  <si>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</si>
  <si>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</si>
  <si>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</si>
  <si>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</si>
  <si>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</si>
  <si>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</si>
  <si>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</si>
  <si>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</si>
  <si>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</si>
  <si>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</si>
  <si>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</si>
  <si>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</si>
  <si>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</si>
  <si>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</si>
  <si>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</si>
  <si>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</si>
  <si>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</si>
  <si>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</si>
  <si>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</si>
  <si>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</si>
  <si>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</si>
  <si>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</si>
  <si>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</si>
  <si>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</si>
  <si>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</si>
  <si>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</si>
  <si>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</si>
  <si>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</si>
  <si>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</si>
  <si>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</si>
  <si>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</si>
  <si>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</si>
  <si>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</si>
  <si>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</si>
  <si>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</si>
  <si>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</si>
  <si>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</si>
  <si>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</si>
  <si>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</si>
  <si>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</si>
  <si>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</si>
  <si>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</si>
  <si>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</si>
  <si>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</si>
  <si>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</si>
  <si>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</si>
  <si>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</si>
  <si>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</si>
  <si>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</si>
  <si>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</si>
  <si>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</si>
  <si>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</si>
  <si>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</si>
  <si>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</si>
  <si>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</si>
  <si>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</si>
  <si>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</si>
  <si>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</si>
  <si>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</si>
  <si>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</si>
  <si>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</si>
  <si>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</si>
  <si>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</si>
  <si>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</si>
  <si>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</si>
  <si>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</si>
  <si>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</si>
  <si>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</si>
  <si>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</si>
  <si>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</si>
  <si>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</si>
  <si>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</si>
  <si>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</si>
  <si>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</si>
  <si>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</si>
  <si>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</si>
  <si>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</si>
  <si>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</si>
  <si>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</si>
  <si>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</si>
  <si>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</si>
  <si>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</si>
  <si>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</si>
  <si>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</si>
  <si>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</si>
  <si>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</si>
  <si>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</si>
  <si>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</si>
  <si>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</si>
  <si>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</si>
  <si>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</si>
  <si>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</si>
  <si>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</si>
  <si>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</si>
  <si>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</si>
  <si>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</si>
  <si>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</si>
  <si>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</si>
  <si>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</si>
  <si>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</si>
  <si>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</si>
  <si>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</si>
  <si>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</si>
  <si>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</si>
  <si>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</si>
  <si>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</si>
  <si>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</si>
  <si>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</si>
  <si>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</si>
  <si>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</si>
  <si>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</si>
  <si>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</si>
  <si>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</si>
  <si>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</si>
  <si>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</si>
  <si>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</si>
  <si>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</si>
  <si>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</si>
  <si>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</si>
  <si>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</si>
  <si>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</si>
  <si>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</si>
  <si>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</si>
  <si>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</si>
  <si>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</si>
  <si>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</si>
  <si>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</si>
  <si>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</si>
  <si>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</si>
  <si>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</si>
  <si>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</si>
  <si>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</si>
  <si>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</si>
  <si>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</si>
  <si>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</si>
  <si>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</si>
  <si>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</si>
  <si>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</si>
  <si>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</si>
  <si>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</si>
  <si>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</si>
  <si>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</si>
  <si>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</si>
  <si>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</si>
  <si>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</si>
  <si>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</si>
  <si>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</si>
  <si>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</si>
  <si>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</si>
  <si>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</si>
  <si>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</si>
  <si>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</si>
  <si>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</si>
  <si>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</si>
  <si>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</si>
  <si>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</si>
  <si>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</si>
  <si>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</si>
  <si>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</si>
  <si>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</si>
  <si>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</si>
  <si>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</si>
  <si>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</si>
  <si>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</si>
  <si>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</si>
  <si>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</si>
  <si>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</si>
  <si>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</si>
  <si>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</si>
  <si>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</si>
  <si>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</si>
  <si>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</si>
  <si>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</si>
  <si>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</si>
  <si>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</si>
  <si>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</si>
  <si>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</si>
  <si>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</si>
  <si>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</si>
  <si>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</si>
  <si>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</si>
  <si>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</si>
  <si>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</si>
  <si>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</si>
  <si>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</si>
  <si>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</si>
  <si>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</si>
  <si>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</si>
  <si>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</si>
  <si>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</si>
  <si>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</si>
  <si>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</si>
  <si>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</si>
  <si>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</si>
  <si>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</si>
  <si>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</si>
  <si>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</si>
  <si>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</si>
  <si>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</si>
  <si>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</si>
  <si>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</si>
  <si>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</si>
  <si>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</si>
  <si>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</si>
  <si>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</si>
  <si>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</si>
  <si>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</si>
  <si>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</si>
  <si>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</si>
  <si>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</si>
  <si>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</si>
  <si>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</si>
  <si>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</si>
  <si>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</si>
  <si>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</si>
  <si>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</si>
  <si>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</si>
  <si>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</si>
  <si>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</si>
  <si>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</si>
  <si>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</si>
  <si>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</si>
  <si>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</si>
  <si>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</si>
  <si>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</si>
  <si>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</si>
  <si>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</si>
  <si>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</si>
  <si>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</si>
  <si>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</si>
  <si>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</si>
  <si>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</si>
  <si>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</si>
  <si>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</si>
  <si>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</si>
  <si>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</si>
  <si>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</si>
  <si>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</si>
  <si>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</si>
  <si>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</si>
  <si>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</si>
  <si>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</si>
  <si>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</si>
  <si>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</si>
  <si>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</si>
  <si>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</si>
  <si>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</si>
  <si>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</si>
  <si>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</si>
  <si>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</si>
  <si>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</si>
  <si>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</si>
  <si>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</si>
  <si>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</si>
  <si>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</si>
  <si>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</si>
  <si>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</si>
  <si>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</si>
  <si>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</si>
  <si>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</si>
  <si>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</si>
  <si>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</si>
  <si>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</si>
  <si>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</si>
  <si>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</si>
  <si>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</si>
  <si>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</si>
  <si>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</si>
  <si>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</si>
  <si>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</si>
  <si>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</si>
  <si>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</si>
  <si>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</si>
  <si>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</si>
  <si>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</si>
  <si>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</si>
  <si>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</si>
  <si>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</si>
  <si>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</si>
  <si>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</si>
  <si>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</si>
  <si>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</si>
  <si>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</si>
  <si>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</si>
  <si>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</si>
  <si>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</si>
  <si>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</si>
  <si>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</si>
  <si>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</si>
  <si>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</si>
  <si>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</si>
  <si>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</si>
  <si>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</si>
  <si>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</si>
  <si>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</si>
  <si>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</si>
  <si>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</si>
  <si>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</si>
  <si>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</si>
  <si>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</si>
  <si>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</si>
  <si>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</si>
  <si>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</si>
  <si>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</si>
  <si>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</si>
  <si>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</si>
  <si>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</si>
  <si>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</si>
  <si>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</si>
  <si>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</si>
  <si>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</si>
  <si>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</si>
  <si>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</si>
  <si>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</si>
  <si>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</si>
  <si>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</si>
  <si>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</si>
  <si>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</si>
  <si>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</si>
  <si>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</si>
  <si>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</si>
  <si>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</si>
  <si>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</si>
  <si>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</si>
  <si>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</si>
  <si>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</si>
  <si>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</si>
  <si>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</si>
  <si>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</si>
  <si>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</si>
  <si>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</si>
  <si>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</si>
  <si>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</si>
  <si>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</si>
  <si>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</si>
  <si>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</si>
  <si>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</si>
  <si>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</si>
  <si>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</si>
  <si>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</si>
  <si>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</si>
  <si>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</si>
  <si>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</si>
  <si>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</si>
  <si>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</si>
  <si>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</si>
  <si>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</si>
  <si>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</si>
  <si>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</si>
  <si>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</si>
  <si>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</si>
  <si>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</si>
  <si>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</si>
  <si>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</si>
  <si>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</si>
  <si>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</si>
  <si>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</si>
  <si>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</si>
  <si>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</si>
  <si>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</si>
  <si>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</si>
  <si>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</si>
  <si>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</si>
  <si>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</si>
  <si>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</si>
  <si>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</si>
  <si>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</si>
  <si>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</si>
  <si>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</si>
  <si>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</si>
  <si>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</si>
  <si>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</si>
  <si>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</si>
  <si>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</si>
  <si>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</si>
  <si>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</si>
  <si>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</si>
  <si>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</si>
  <si>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</si>
  <si>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</si>
  <si>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</si>
  <si>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</si>
  <si>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</si>
  <si>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</si>
  <si>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</si>
  <si>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</si>
  <si>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</si>
  <si>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</si>
  <si>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</si>
  <si>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</si>
  <si>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</si>
  <si>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</si>
  <si>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</si>
  <si>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</si>
  <si>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</si>
  <si>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</si>
  <si>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</si>
  <si>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</si>
  <si>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</si>
  <si>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</si>
  <si>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</si>
  <si>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</si>
  <si>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</si>
  <si>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</si>
  <si>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</si>
  <si>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</si>
  <si>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</si>
  <si>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</si>
  <si>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</si>
  <si>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</si>
  <si>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</si>
  <si>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</si>
  <si>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</si>
  <si>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</si>
  <si>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</si>
  <si>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</si>
  <si>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</si>
  <si>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</si>
  <si>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</si>
  <si>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</si>
  <si>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</si>
  <si>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</si>
  <si>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</si>
  <si>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</si>
  <si>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</si>
  <si>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</si>
  <si>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</si>
  <si>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</si>
  <si>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</si>
  <si>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</si>
  <si>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</si>
  <si>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</si>
  <si>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</si>
  <si>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</si>
  <si>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</si>
  <si>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</si>
  <si>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</si>
  <si>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</si>
  <si>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</si>
  <si>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</si>
  <si>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</si>
  <si>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</si>
  <si>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</si>
  <si>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</si>
  <si>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</si>
  <si>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</si>
  <si>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</si>
  <si>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</si>
  <si>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</si>
  <si>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</si>
  <si>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</si>
  <si>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</si>
  <si>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</si>
  <si>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</si>
  <si>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</si>
  <si>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</si>
  <si>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</si>
  <si>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</si>
  <si>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</si>
  <si>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</si>
  <si>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</si>
  <si>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</si>
  <si>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</si>
  <si>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</si>
  <si>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</si>
  <si>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</si>
  <si>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</si>
  <si>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</si>
  <si>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</si>
  <si>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</si>
  <si>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</si>
  <si>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</si>
  <si>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</si>
  <si>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</si>
  <si>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</si>
  <si>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</si>
  <si>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</si>
  <si>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</si>
  <si>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</si>
  <si>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</si>
  <si>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</si>
  <si>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</si>
  <si>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</si>
  <si>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</si>
  <si>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</si>
  <si>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</si>
  <si>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</si>
  <si>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</si>
  <si>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</si>
  <si>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</si>
  <si>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</si>
  <si>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</si>
  <si>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</si>
  <si>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</si>
  <si>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</si>
  <si>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</si>
  <si>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</si>
  <si>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</si>
  <si>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</si>
  <si>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</si>
  <si>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</si>
  <si>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</si>
  <si>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</si>
  <si>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</si>
  <si>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</si>
  <si>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</si>
  <si>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</si>
  <si>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</si>
  <si>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</si>
  <si>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</si>
  <si>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</si>
  <si>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</si>
  <si>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</si>
  <si>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</si>
  <si>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</si>
  <si>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</si>
  <si>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</si>
  <si>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</si>
  <si>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</si>
  <si>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</si>
  <si>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</si>
  <si>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</si>
  <si>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</si>
  <si>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</si>
  <si>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</si>
  <si>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</si>
  <si>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</si>
  <si>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</si>
  <si>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</si>
  <si>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</si>
  <si>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</si>
  <si>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</si>
  <si>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</si>
  <si>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</si>
  <si>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</si>
  <si>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</si>
  <si>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</si>
  <si>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</si>
  <si>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</si>
  <si>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</si>
  <si>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</si>
  <si>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</si>
  <si>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</si>
  <si>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</si>
  <si>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</si>
  <si>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</si>
  <si>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</si>
  <si>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</si>
  <si>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</si>
  <si>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</si>
  <si>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</si>
  <si>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</si>
  <si>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</si>
  <si>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</si>
  <si>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</si>
  <si>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</si>
  <si>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</si>
  <si>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</si>
  <si>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</si>
  <si>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</si>
  <si>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</si>
  <si>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</si>
  <si>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</si>
  <si>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</si>
  <si>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</si>
  <si>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</si>
  <si>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</si>
  <si>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</si>
  <si>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</si>
  <si>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</si>
  <si>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</si>
  <si>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</si>
  <si>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</si>
  <si>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</si>
  <si>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</si>
  <si>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</si>
  <si>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</si>
  <si>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</si>
  <si>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</si>
  <si>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</si>
  <si>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</si>
  <si>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</si>
  <si>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</si>
  <si>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</si>
  <si>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</si>
  <si>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</si>
  <si>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</si>
  <si>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</si>
  <si>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</si>
  <si>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</si>
  <si>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</si>
  <si>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</si>
  <si>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</si>
  <si>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</si>
  <si>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</si>
  <si>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</si>
  <si>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</si>
  <si>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</si>
  <si>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</si>
  <si>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</si>
  <si>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</si>
  <si>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</si>
  <si>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</si>
  <si>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</si>
  <si>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</si>
  <si>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</si>
  <si>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</si>
  <si>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</si>
  <si>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</si>
  <si>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</si>
  <si>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</si>
  <si>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</si>
  <si>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</si>
  <si>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</si>
  <si>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</si>
  <si>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</si>
  <si>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</si>
  <si>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</si>
  <si>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</si>
  <si>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</si>
  <si>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</si>
  <si>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</si>
  <si>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</si>
  <si>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</si>
  <si>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</si>
  <si>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</si>
  <si>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</si>
  <si>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</si>
  <si>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</si>
  <si>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</si>
  <si>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</si>
  <si>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</si>
  <si>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</si>
  <si>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</si>
  <si>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</si>
  <si>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</si>
  <si>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</si>
  <si>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</si>
  <si>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</si>
  <si>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</si>
  <si>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</si>
  <si>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</si>
  <si>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</si>
  <si>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</si>
  <si>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</si>
  <si>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</si>
  <si>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</si>
  <si>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</si>
  <si>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</si>
  <si>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</si>
  <si>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</si>
  <si>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</si>
  <si>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</si>
  <si>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</si>
  <si>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</si>
  <si>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</si>
  <si>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</si>
  <si>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</si>
  <si>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</si>
  <si>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</si>
  <si>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</si>
  <si>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</si>
  <si>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</si>
  <si>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</si>
  <si>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</si>
  <si>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</si>
  <si>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</si>
  <si>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</si>
  <si>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</si>
  <si>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</si>
  <si>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</si>
  <si>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</si>
  <si>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</si>
  <si>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</si>
  <si>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</si>
  <si>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</si>
  <si>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</si>
  <si>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</si>
  <si>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</si>
  <si>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</si>
  <si>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</si>
  <si>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</si>
  <si>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</si>
  <si>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</si>
  <si>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</si>
  <si>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</si>
  <si>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</si>
  <si>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</si>
  <si>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</si>
  <si>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</si>
  <si>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</si>
  <si>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</si>
  <si>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</si>
  <si>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</si>
  <si>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</si>
  <si>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</si>
  <si>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</si>
  <si>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</si>
  <si>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</si>
  <si>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</si>
  <si>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</si>
  <si>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</si>
  <si>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</si>
  <si>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</si>
  <si>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</si>
  <si>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</si>
  <si>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</si>
  <si>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</si>
  <si>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</si>
  <si>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</si>
  <si>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</si>
  <si>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</si>
  <si>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</si>
  <si>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</si>
  <si>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</si>
  <si>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</si>
  <si>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</si>
  <si>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</si>
  <si>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</si>
  <si>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</si>
  <si>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</si>
  <si>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</si>
  <si>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</si>
  <si>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</si>
  <si>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</si>
  <si>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</si>
  <si>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</si>
  <si>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</si>
  <si>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</si>
  <si>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</si>
  <si>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</si>
  <si>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</si>
  <si>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</si>
  <si>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</si>
  <si>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</si>
  <si>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</si>
  <si>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</si>
  <si>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</si>
  <si>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</si>
  <si>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</si>
  <si>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</si>
  <si>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</si>
  <si>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</si>
  <si>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</si>
  <si>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</si>
  <si>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</si>
  <si>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</si>
  <si>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</si>
  <si>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</si>
  <si>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</si>
  <si>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</si>
  <si>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</si>
  <si>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</si>
  <si>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</si>
  <si>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</si>
  <si>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</si>
  <si>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</si>
  <si>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</si>
  <si>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</si>
  <si>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</si>
  <si>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</si>
  <si>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</si>
  <si>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</si>
  <si>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</si>
  <si>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</si>
  <si>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</si>
  <si>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</si>
  <si>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</si>
  <si>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</si>
  <si>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</si>
  <si>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</si>
  <si>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</si>
  <si>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</si>
  <si>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</si>
  <si>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</si>
  <si>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</si>
  <si>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</si>
  <si>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</si>
  <si>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</si>
  <si>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</si>
  <si>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</si>
  <si>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</si>
  <si>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</si>
  <si>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</si>
  <si>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</si>
  <si>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</si>
  <si>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</si>
  <si>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</si>
  <si>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</si>
  <si>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</si>
  <si>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</si>
  <si>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</si>
  <si>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</si>
  <si>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</si>
  <si>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</si>
  <si>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</si>
  <si>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</si>
  <si>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</si>
  <si>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</si>
  <si>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</si>
  <si>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</si>
  <si>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</si>
  <si>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</si>
  <si>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</si>
  <si>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</si>
  <si>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</si>
  <si>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</si>
  <si>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</si>
  <si>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</si>
  <si>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</si>
  <si>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</si>
  <si>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</si>
  <si>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</si>
  <si>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</si>
  <si>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</si>
  <si>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</si>
  <si>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</si>
  <si>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</si>
  <si>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</si>
  <si>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</si>
  <si>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</si>
  <si>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</si>
  <si>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</si>
  <si>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</si>
  <si>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</si>
  <si>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</si>
  <si>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</si>
  <si>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</si>
  <si>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</si>
  <si>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</si>
  <si>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</si>
  <si>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</si>
  <si>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</si>
  <si>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</si>
  <si>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</si>
  <si>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</si>
  <si>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</si>
  <si>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</si>
  <si>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</si>
  <si>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</si>
  <si>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</si>
  <si>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</si>
  <si>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</si>
  <si>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</si>
  <si>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</si>
  <si>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</si>
  <si>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</si>
  <si>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</si>
  <si>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</si>
  <si>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</si>
  <si>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</si>
  <si>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</si>
  <si>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</si>
  <si>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</si>
  <si>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</si>
  <si>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</si>
  <si>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</si>
  <si>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</si>
  <si>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</si>
  <si>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</si>
  <si>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</si>
  <si>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</si>
  <si>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</si>
  <si>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</si>
  <si>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</si>
  <si>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</si>
  <si>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</si>
  <si>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</si>
  <si>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</si>
  <si>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</si>
  <si>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</si>
  <si>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</si>
  <si>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</si>
  <si>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</si>
  <si>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</si>
  <si>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</si>
  <si>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</si>
  <si>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</si>
  <si>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</si>
  <si>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</si>
  <si>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</si>
  <si>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</si>
  <si>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</si>
  <si>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</si>
  <si>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</si>
  <si>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</si>
  <si>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</si>
  <si>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</si>
  <si>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</si>
  <si>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</si>
  <si>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</si>
  <si>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</si>
  <si>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</si>
  <si>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</si>
  <si>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</si>
  <si>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</si>
  <si>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</si>
  <si>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</si>
  <si>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</si>
  <si>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</si>
  <si>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</si>
  <si>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</si>
  <si>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</si>
  <si>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</si>
  <si>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</si>
  <si>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</si>
  <si>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</si>
  <si>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</si>
  <si>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</si>
  <si>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</si>
  <si>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</si>
  <si>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</si>
  <si>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</si>
  <si>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</si>
  <si>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</si>
  <si>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</si>
  <si>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</si>
  <si>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</si>
  <si>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</si>
  <si>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</si>
  <si>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</si>
  <si>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</si>
  <si>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</si>
  <si>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</si>
  <si>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</si>
  <si>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</si>
  <si>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</si>
  <si>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</si>
  <si>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</si>
  <si>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</si>
  <si>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</si>
  <si>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</si>
  <si>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</si>
  <si>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</si>
  <si>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</si>
  <si>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</si>
  <si>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</si>
  <si>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</si>
  <si>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</si>
  <si>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</si>
  <si>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</si>
  <si>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</si>
  <si>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</si>
  <si>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</si>
  <si>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</si>
  <si>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</si>
  <si>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</si>
  <si>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</si>
  <si>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</si>
  <si>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</si>
  <si>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</si>
  <si>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</si>
  <si>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</si>
  <si>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</si>
  <si>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</si>
  <si>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</si>
  <si>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</si>
  <si>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</si>
  <si>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</si>
  <si>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</si>
  <si>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</si>
  <si>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</si>
  <si>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</si>
  <si>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</si>
  <si>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</si>
  <si>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</si>
  <si>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</si>
  <si>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</si>
  <si>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</si>
  <si>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</si>
  <si>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</si>
  <si>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</si>
  <si>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</si>
  <si>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</si>
  <si>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</si>
  <si>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</si>
  <si>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</si>
  <si>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</si>
  <si>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</si>
  <si>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</si>
  <si>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</si>
  <si>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</si>
  <si>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</si>
  <si>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</si>
  <si>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</si>
  <si>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</si>
  <si>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</si>
  <si>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</si>
  <si>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</si>
  <si>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</si>
  <si>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</si>
  <si>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</si>
  <si>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</si>
  <si>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</si>
  <si>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</si>
  <si>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</si>
  <si>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</si>
  <si>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</si>
  <si>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</si>
  <si>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</si>
  <si>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</si>
  <si>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</si>
  <si>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</si>
  <si>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</si>
  <si>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</si>
  <si>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</si>
  <si>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</si>
  <si>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</si>
  <si>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</si>
  <si>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</si>
  <si>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</si>
  <si>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</si>
  <si>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</si>
  <si>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</si>
  <si>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</si>
  <si>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</si>
  <si>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</si>
  <si>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</si>
  <si>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</si>
  <si>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</si>
  <si>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</si>
  <si>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</si>
  <si>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</si>
  <si>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</si>
  <si>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</si>
  <si>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</si>
  <si>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</si>
  <si>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</si>
  <si>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</si>
  <si>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Черняховского, д. 14</t>
  </si>
  <si>
    <t>Г. Смоленск, ул. 2-я Киевская, д. 5</t>
  </si>
  <si>
    <t>Г. Смоленск, набережная Горького, д. 1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</si>
  <si>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</si>
  <si>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</si>
  <si>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</si>
  <si>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</si>
  <si>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</si>
  <si>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</si>
  <si>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</si>
  <si>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</si>
  <si>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</si>
  <si>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</si>
  <si>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</si>
  <si>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</si>
  <si>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</si>
  <si>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</si>
  <si>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</si>
  <si>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</si>
  <si>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</si>
  <si>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</si>
  <si>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</si>
  <si>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</si>
  <si>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</si>
  <si>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</si>
  <si>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</si>
  <si>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</si>
  <si>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</si>
  <si>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</si>
  <si>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</si>
  <si>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</si>
  <si>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</si>
  <si>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</si>
  <si>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</si>
  <si>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</si>
  <si>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</si>
  <si>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</si>
  <si>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</si>
  <si>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</si>
  <si>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</si>
  <si>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</si>
  <si>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</si>
  <si>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</si>
  <si>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</si>
  <si>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</si>
  <si>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</si>
  <si>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</si>
  <si>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</si>
  <si>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</si>
  <si>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</si>
  <si>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</si>
  <si>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</si>
  <si>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</si>
  <si>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</si>
  <si>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</si>
  <si>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</si>
  <si>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</si>
  <si>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</si>
  <si>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</si>
  <si>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</si>
  <si>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</si>
  <si>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</si>
  <si>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</si>
  <si>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</si>
  <si>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</si>
  <si>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</si>
  <si>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</si>
  <si>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</si>
  <si>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</si>
  <si>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</si>
  <si>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</si>
  <si>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</si>
  <si>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</si>
  <si>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</si>
  <si>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</si>
  <si>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</si>
  <si>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</si>
  <si>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</si>
  <si>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</si>
  <si>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</si>
  <si>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</si>
  <si>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</si>
  <si>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</si>
  <si>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</si>
  <si>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</si>
  <si>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</si>
  <si>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</si>
  <si>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</si>
  <si>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</si>
  <si>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</si>
  <si>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</si>
  <si>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</si>
  <si>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</si>
  <si>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</si>
  <si>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</si>
  <si>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</si>
  <si>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</si>
  <si>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</si>
  <si>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</si>
  <si>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</si>
  <si>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</si>
  <si>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</si>
  <si>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</si>
  <si>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</si>
  <si>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</si>
  <si>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</si>
  <si>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</si>
  <si>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</si>
  <si>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</si>
  <si>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</si>
  <si>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</si>
  <si>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</si>
  <si>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</si>
  <si>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</si>
  <si>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</si>
  <si>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</si>
  <si>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</si>
  <si>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</si>
  <si>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</si>
  <si>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</si>
  <si>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</si>
  <si>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</si>
  <si>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</si>
  <si>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</si>
  <si>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</si>
  <si>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</si>
  <si>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</si>
  <si>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</si>
  <si>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</si>
  <si>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</si>
  <si>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</si>
  <si>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</si>
  <si>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</si>
  <si>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</si>
  <si>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</si>
  <si>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</si>
  <si>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</si>
  <si>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</si>
  <si>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</si>
  <si>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</si>
  <si>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</si>
  <si>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</si>
  <si>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</si>
  <si>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</si>
  <si>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</si>
  <si>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</si>
  <si>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</si>
  <si>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</si>
  <si>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</si>
  <si>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</si>
  <si>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</si>
  <si>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</si>
  <si>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</si>
  <si>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</si>
  <si>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</si>
  <si>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</si>
  <si>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</si>
  <si>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</si>
  <si>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</si>
  <si>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</si>
  <si>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</si>
  <si>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</si>
  <si>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</si>
  <si>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</si>
  <si>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</si>
  <si>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</si>
  <si>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</si>
  <si>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</si>
  <si>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</si>
  <si>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</si>
  <si>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</si>
  <si>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</si>
  <si>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</si>
  <si>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</si>
  <si>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</si>
  <si>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</si>
  <si>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</si>
  <si>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</si>
  <si>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</si>
  <si>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</si>
  <si>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</si>
  <si>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</si>
  <si>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</si>
  <si>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</si>
  <si>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</si>
  <si>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</si>
  <si>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</si>
  <si>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</si>
  <si>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</si>
  <si>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</si>
  <si>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</si>
  <si>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</si>
  <si>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</si>
  <si>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</si>
  <si>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</si>
  <si>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</si>
  <si>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</si>
  <si>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</si>
  <si>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</si>
  <si>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</si>
  <si>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</si>
  <si>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</si>
  <si>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</si>
  <si>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</si>
  <si>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</si>
  <si>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</si>
  <si>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</si>
  <si>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</si>
  <si>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</si>
  <si>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</si>
  <si>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</si>
  <si>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</si>
  <si>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</si>
  <si>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</si>
  <si>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</si>
  <si>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</si>
  <si>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</si>
  <si>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</si>
  <si>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</si>
  <si>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</si>
  <si>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</si>
  <si>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</si>
  <si>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</si>
  <si>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</si>
  <si>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</si>
  <si>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</si>
  <si>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</si>
  <si>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</si>
  <si>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</si>
  <si>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</si>
  <si>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</si>
  <si>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</si>
  <si>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</si>
  <si>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</si>
  <si>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</si>
  <si>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</si>
  <si>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</si>
  <si>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</si>
  <si>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</si>
  <si>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</si>
  <si>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</si>
  <si>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</si>
  <si>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</si>
  <si>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</si>
  <si>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</si>
  <si>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</si>
  <si>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</si>
  <si>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</si>
  <si>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</si>
  <si>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</si>
  <si>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</si>
  <si>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</si>
  <si>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</si>
  <si>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</si>
  <si>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</si>
  <si>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</si>
  <si>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</si>
  <si>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</si>
  <si>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</si>
  <si>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</si>
  <si>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</si>
  <si>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</si>
  <si>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</si>
  <si>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</si>
  <si>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</si>
  <si>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</si>
  <si>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</si>
  <si>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</si>
  <si>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</si>
  <si>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</si>
  <si>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</si>
  <si>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</si>
  <si>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</si>
  <si>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</si>
  <si>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</si>
  <si>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</si>
  <si>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</si>
  <si>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</si>
  <si>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</si>
  <si>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</si>
  <si>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</si>
  <si>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</si>
  <si>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</si>
  <si>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</si>
  <si>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</si>
  <si>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</si>
  <si>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</si>
  <si>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</si>
  <si>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</si>
  <si>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</si>
  <si>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</si>
  <si>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</si>
  <si>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</si>
  <si>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</si>
  <si>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</si>
  <si>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</si>
  <si>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</si>
  <si>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</si>
  <si>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</si>
  <si>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</si>
  <si>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</si>
  <si>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</si>
  <si>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</si>
  <si>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</si>
  <si>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</si>
  <si>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</si>
  <si>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</si>
  <si>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</si>
  <si>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</si>
  <si>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</si>
  <si>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</si>
  <si>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</si>
  <si>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</si>
  <si>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</si>
  <si>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</si>
  <si>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</si>
  <si>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</si>
  <si>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</si>
  <si>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</si>
  <si>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</si>
  <si>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</si>
  <si>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</si>
  <si>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</si>
  <si>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</si>
  <si>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</si>
  <si>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</si>
  <si>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</si>
  <si>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</si>
  <si>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</si>
  <si>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</si>
  <si>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</si>
  <si>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</si>
  <si>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</si>
  <si>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</si>
  <si>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</si>
  <si>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</si>
  <si>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</si>
  <si>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</si>
  <si>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</si>
  <si>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</si>
  <si>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</si>
  <si>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</si>
  <si>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</si>
  <si>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</si>
  <si>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</si>
  <si>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</si>
  <si>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</si>
  <si>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</si>
  <si>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</si>
  <si>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</si>
  <si>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</si>
  <si>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</si>
  <si>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</si>
  <si>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</si>
  <si>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</si>
  <si>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</si>
  <si>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</si>
  <si>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</si>
  <si>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</si>
  <si>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</si>
  <si>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</si>
  <si>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</si>
  <si>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</si>
  <si>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</si>
  <si>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</si>
  <si>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</si>
  <si>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</si>
  <si>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</si>
  <si>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</si>
  <si>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</si>
  <si>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</si>
  <si>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</si>
  <si>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</si>
  <si>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</si>
  <si>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</si>
  <si>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</si>
  <si>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</si>
  <si>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</si>
  <si>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</si>
  <si>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</si>
  <si>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</si>
  <si>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</si>
  <si>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</si>
  <si>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</si>
  <si>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</si>
  <si>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</si>
  <si>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</si>
  <si>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</si>
  <si>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</si>
  <si>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</si>
  <si>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</si>
  <si>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</si>
  <si>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</si>
  <si>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</si>
  <si>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</si>
  <si>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</si>
  <si>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</si>
  <si>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</si>
  <si>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</si>
  <si>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</si>
  <si>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</si>
  <si>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</si>
  <si>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</si>
  <si>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</si>
  <si>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</si>
  <si>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</si>
  <si>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</si>
  <si>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</si>
  <si>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</si>
  <si>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</si>
  <si>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</si>
  <si>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</si>
  <si>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</si>
  <si>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</si>
  <si>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</si>
  <si>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</si>
  <si>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</si>
  <si>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</si>
  <si>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</si>
  <si>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</si>
  <si>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</si>
  <si>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</si>
  <si>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</si>
  <si>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</si>
  <si>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</si>
  <si>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</si>
  <si>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</si>
  <si>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</si>
  <si>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</si>
  <si>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</si>
  <si>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</si>
  <si>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</si>
  <si>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</si>
  <si>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</si>
  <si>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</si>
  <si>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</si>
  <si>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</si>
  <si>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</si>
  <si>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</si>
  <si>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</si>
  <si>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</si>
  <si>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</si>
  <si>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</si>
  <si>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</si>
  <si>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</si>
  <si>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</si>
  <si>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</si>
  <si>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</si>
  <si>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</si>
  <si>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</si>
  <si>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</si>
  <si>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</si>
  <si>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</si>
  <si>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</si>
  <si>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</si>
  <si>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</si>
  <si>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</si>
  <si>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</si>
  <si>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</si>
  <si>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</si>
  <si>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</si>
  <si>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</si>
  <si>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</si>
  <si>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</si>
  <si>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</si>
  <si>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</si>
  <si>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</si>
  <si>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</si>
  <si>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</si>
  <si>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</si>
  <si>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</si>
  <si>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</si>
  <si>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</si>
  <si>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</si>
  <si>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</si>
  <si>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</si>
  <si>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</si>
  <si>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</si>
  <si>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</si>
  <si>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</si>
  <si>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</si>
  <si>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</si>
  <si>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</si>
  <si>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</si>
  <si>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</si>
  <si>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</si>
  <si>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</si>
  <si>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</si>
  <si>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</si>
  <si>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</si>
  <si>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</si>
  <si>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</si>
  <si>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</si>
  <si>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</si>
  <si>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</si>
  <si>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</si>
  <si>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</si>
  <si>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</si>
  <si>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</si>
  <si>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</si>
  <si>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</si>
  <si>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</si>
  <si>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</si>
  <si>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</si>
  <si>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</si>
  <si>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</si>
  <si>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</si>
  <si>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</si>
  <si>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</si>
  <si>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</si>
  <si>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</si>
  <si>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</si>
  <si>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</si>
  <si>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</si>
  <si>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</si>
  <si>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</si>
  <si>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</si>
  <si>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</si>
  <si>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</si>
  <si>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</si>
  <si>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</si>
  <si>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</si>
  <si>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</si>
  <si>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</si>
  <si>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</si>
  <si>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</si>
  <si>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</si>
  <si>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</si>
  <si>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</si>
  <si>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</si>
  <si>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</si>
  <si>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</si>
  <si>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</si>
  <si>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</si>
  <si>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</si>
  <si>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</si>
  <si>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</si>
  <si>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</si>
  <si>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</si>
  <si>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</si>
  <si>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</si>
  <si>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</si>
  <si>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</si>
  <si>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</si>
  <si>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</si>
  <si>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</si>
  <si>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</si>
  <si>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</si>
  <si>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</si>
  <si>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</si>
  <si>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</si>
  <si>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</si>
  <si>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</si>
  <si>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</si>
  <si>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</si>
  <si>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</si>
  <si>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</si>
  <si>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</si>
  <si>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</si>
  <si>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</si>
  <si>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</si>
  <si>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</si>
  <si>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</si>
  <si>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</si>
  <si>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</si>
  <si>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</si>
  <si>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</si>
  <si>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</si>
  <si>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</si>
  <si>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</si>
  <si>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</si>
  <si>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</si>
  <si>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</si>
  <si>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</si>
  <si>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</si>
  <si>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</si>
  <si>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</si>
  <si>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</si>
  <si>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</si>
  <si>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</si>
  <si>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</si>
  <si>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</si>
  <si>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</si>
  <si>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</si>
  <si>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</si>
  <si>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</si>
  <si>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</si>
  <si>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</si>
  <si>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</si>
  <si>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</si>
  <si>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</si>
  <si>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</si>
  <si>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</si>
  <si>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</si>
  <si>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</si>
  <si>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</si>
  <si>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</si>
  <si>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</si>
  <si>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</si>
  <si>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</si>
  <si>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</si>
  <si>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</si>
  <si>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</si>
  <si>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</si>
  <si>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</si>
  <si>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</si>
  <si>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</si>
  <si>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</si>
  <si>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</si>
  <si>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</si>
  <si>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</si>
  <si>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</si>
  <si>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</si>
  <si>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</si>
  <si>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</si>
  <si>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</si>
  <si>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</si>
  <si>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</si>
  <si>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</si>
  <si>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</si>
  <si>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</si>
  <si>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</si>
  <si>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</si>
  <si>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</si>
  <si>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</si>
  <si>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</si>
  <si>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</si>
  <si>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</si>
  <si>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</si>
  <si>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</si>
  <si>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</si>
  <si>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</si>
  <si>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</si>
  <si>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</si>
  <si>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</si>
  <si>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</si>
  <si>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</si>
  <si>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</si>
  <si>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</si>
  <si>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</si>
  <si>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</si>
  <si>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</si>
  <si>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</si>
  <si>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</si>
  <si>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</si>
  <si>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</si>
  <si>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</si>
  <si>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</si>
  <si>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</si>
  <si>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</si>
  <si>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</si>
  <si>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</si>
  <si>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</si>
  <si>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</si>
  <si>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</si>
  <si>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</si>
  <si>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</si>
  <si>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</si>
  <si>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</si>
  <si>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</si>
  <si>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</si>
  <si>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</si>
  <si>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</si>
  <si>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</si>
  <si>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</si>
  <si>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</si>
  <si>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</si>
  <si>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</si>
  <si>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</si>
  <si>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</si>
  <si>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</si>
  <si>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</si>
  <si>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</si>
  <si>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</si>
  <si>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</si>
  <si>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</si>
  <si>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</si>
  <si>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</si>
  <si>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</si>
  <si>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</si>
  <si>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</si>
  <si>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</si>
  <si>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</si>
  <si>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</si>
  <si>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</si>
  <si>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</si>
  <si>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</si>
  <si>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</si>
  <si>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</si>
  <si>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</si>
  <si>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</si>
  <si>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</si>
  <si>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</si>
  <si>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</si>
  <si>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</si>
  <si>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</si>
  <si>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</si>
  <si>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</si>
  <si>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</si>
  <si>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</si>
  <si>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</si>
  <si>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</si>
  <si>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</si>
  <si>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</si>
  <si>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</si>
  <si>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</si>
  <si>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</si>
  <si>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</si>
  <si>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</si>
  <si>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</si>
  <si>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</si>
  <si>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</si>
  <si>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</si>
  <si>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</si>
  <si>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</si>
  <si>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</si>
  <si>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</si>
  <si>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</si>
  <si>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</si>
  <si>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</si>
  <si>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</si>
  <si>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</si>
  <si>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</si>
  <si>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</si>
  <si>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</si>
  <si>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</si>
  <si>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</si>
  <si>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</si>
  <si>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</si>
  <si>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</si>
  <si>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</si>
  <si>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</si>
  <si>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</si>
  <si>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</si>
  <si>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</si>
  <si>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</si>
  <si>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</si>
  <si>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</si>
  <si>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</si>
  <si>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</si>
  <si>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</si>
  <si>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</si>
  <si>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</si>
  <si>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</si>
  <si>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</si>
  <si>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</si>
  <si>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</si>
  <si>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</si>
  <si>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</si>
  <si>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</si>
  <si>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</si>
  <si>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</si>
  <si>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</si>
  <si>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</si>
  <si>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</si>
  <si>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</si>
  <si>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</si>
  <si>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</si>
  <si>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</si>
  <si>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</si>
  <si>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</si>
  <si>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</si>
  <si>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</si>
  <si>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</si>
  <si>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</si>
  <si>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</si>
  <si>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</si>
  <si>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</si>
  <si>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</si>
  <si>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</si>
  <si>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</si>
  <si>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</si>
  <si>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</si>
  <si>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</si>
  <si>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</si>
  <si>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</si>
  <si>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</si>
  <si>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</si>
  <si>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</si>
  <si>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</si>
  <si>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</si>
  <si>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</si>
  <si>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</si>
  <si>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</si>
  <si>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</si>
  <si>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</si>
  <si>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</si>
  <si>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</si>
  <si>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</si>
  <si>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</si>
  <si>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</si>
  <si>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</si>
  <si>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</si>
  <si>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</si>
  <si>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</si>
  <si>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</si>
  <si>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</si>
  <si>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</si>
  <si>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</si>
  <si>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</si>
  <si>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</si>
  <si>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</si>
  <si>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</si>
  <si>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</si>
  <si>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</si>
  <si>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</si>
  <si>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</si>
  <si>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</si>
  <si>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</si>
  <si>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</si>
  <si>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</si>
  <si>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</si>
  <si>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</si>
  <si>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</si>
  <si>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</si>
  <si>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</si>
  <si>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</si>
  <si>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</si>
  <si>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</si>
  <si>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</si>
  <si>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</si>
  <si>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С. Первомайский, пер. Советский,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</si>
</sst>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4" fillId="0" borderId="1" xfId="1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204"/>
  <sheetViews>
    <sheetView tabSelected="1" view="pageBreakPreview" topLeftCell="A1184" zoomScale="56" zoomScaleNormal="50" zoomScaleSheetLayoutView="56" zoomScalePageLayoutView="40" workbookViewId="0">
      <selection activeCell="B3" sqref="B3:B6"/>
    </sheetView>
  </sheetViews>
  <sheetFormatPr defaultColWidth="9.140625" defaultRowHeight="15.75" x14ac:dyDescent="0.25"/>
  <cols>
    <col min="1" max="1" width="6.42578125" style="42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29.42578125" style="6" customWidth="1"/>
    <col min="23" max="16384" width="9.140625" style="7"/>
  </cols>
  <sheetData>
    <row r="1" spans="1:22" ht="19.5" customHeight="1" x14ac:dyDescent="0.2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2" ht="19.5" customHeight="1" x14ac:dyDescent="0.25">
      <c r="A2" s="35"/>
      <c r="B2" s="47"/>
      <c r="C2" s="47"/>
      <c r="D2" s="47"/>
      <c r="E2" s="47"/>
      <c r="F2" s="47"/>
      <c r="G2" s="47"/>
      <c r="H2" s="47"/>
      <c r="I2" s="47"/>
      <c r="J2" s="47"/>
      <c r="K2" s="9"/>
      <c r="L2" s="47"/>
      <c r="M2" s="47"/>
      <c r="N2" s="47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5" t="s">
        <v>16</v>
      </c>
      <c r="B3" s="68" t="s">
        <v>15</v>
      </c>
      <c r="C3" s="59" t="s">
        <v>13</v>
      </c>
      <c r="D3" s="62" t="s">
        <v>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79" t="s">
        <v>12</v>
      </c>
      <c r="U3" s="80"/>
    </row>
    <row r="4" spans="1:22" ht="31.5" customHeight="1" x14ac:dyDescent="0.25">
      <c r="A4" s="66"/>
      <c r="B4" s="68"/>
      <c r="C4" s="60"/>
      <c r="D4" s="69" t="s">
        <v>918</v>
      </c>
      <c r="E4" s="70"/>
      <c r="F4" s="70"/>
      <c r="G4" s="70"/>
      <c r="H4" s="70"/>
      <c r="I4" s="70"/>
      <c r="J4" s="71"/>
      <c r="K4" s="73" t="s">
        <v>912</v>
      </c>
      <c r="L4" s="74"/>
      <c r="M4" s="73" t="s">
        <v>8</v>
      </c>
      <c r="N4" s="74"/>
      <c r="O4" s="73" t="s">
        <v>6</v>
      </c>
      <c r="P4" s="74"/>
      <c r="Q4" s="73" t="s">
        <v>9</v>
      </c>
      <c r="R4" s="74"/>
      <c r="S4" s="59" t="s">
        <v>14</v>
      </c>
      <c r="T4" s="72" t="s">
        <v>5</v>
      </c>
      <c r="U4" s="62" t="s">
        <v>3</v>
      </c>
    </row>
    <row r="5" spans="1:22" ht="190.5" customHeight="1" x14ac:dyDescent="0.25">
      <c r="A5" s="66"/>
      <c r="B5" s="68"/>
      <c r="C5" s="61"/>
      <c r="D5" s="46" t="s">
        <v>917</v>
      </c>
      <c r="E5" s="48" t="s">
        <v>940</v>
      </c>
      <c r="F5" s="48" t="s">
        <v>941</v>
      </c>
      <c r="G5" s="48" t="s">
        <v>913</v>
      </c>
      <c r="H5" s="48" t="s">
        <v>914</v>
      </c>
      <c r="I5" s="48" t="s">
        <v>915</v>
      </c>
      <c r="J5" s="48" t="s">
        <v>916</v>
      </c>
      <c r="K5" s="75"/>
      <c r="L5" s="76"/>
      <c r="M5" s="75"/>
      <c r="N5" s="76"/>
      <c r="O5" s="75"/>
      <c r="P5" s="76"/>
      <c r="Q5" s="75"/>
      <c r="R5" s="76"/>
      <c r="S5" s="61"/>
      <c r="T5" s="72"/>
      <c r="U5" s="62"/>
    </row>
    <row r="6" spans="1:22" ht="18" customHeight="1" x14ac:dyDescent="0.25">
      <c r="A6" s="67"/>
      <c r="B6" s="68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36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5.9" customHeight="1" x14ac:dyDescent="0.25">
      <c r="A8" s="77" t="s">
        <v>26</v>
      </c>
      <c r="B8" s="77"/>
      <c r="C8" s="2">
        <f>C10+C285+C677</f>
        <v>4137742428.1399999</v>
      </c>
      <c r="D8" s="2">
        <f t="shared" ref="D8:U8" si="0">D10+D285+D677</f>
        <v>923967206.79999995</v>
      </c>
      <c r="E8" s="2">
        <f t="shared" si="0"/>
        <v>221379906.50999999</v>
      </c>
      <c r="F8" s="2">
        <f t="shared" si="0"/>
        <v>445154882.65999997</v>
      </c>
      <c r="G8" s="2">
        <f t="shared" si="0"/>
        <v>89833685.789999992</v>
      </c>
      <c r="H8" s="2">
        <f t="shared" si="0"/>
        <v>78053508.920000002</v>
      </c>
      <c r="I8" s="2">
        <f t="shared" si="0"/>
        <v>89545222.920000002</v>
      </c>
      <c r="J8" s="2">
        <f t="shared" si="0"/>
        <v>0</v>
      </c>
      <c r="K8" s="43">
        <f t="shared" si="0"/>
        <v>49</v>
      </c>
      <c r="L8" s="2">
        <f t="shared" si="0"/>
        <v>95897974.480000004</v>
      </c>
      <c r="M8" s="2">
        <f t="shared" si="0"/>
        <v>400785.98</v>
      </c>
      <c r="N8" s="2">
        <f t="shared" si="0"/>
        <v>2193781782.3799996</v>
      </c>
      <c r="O8" s="2">
        <f t="shared" si="0"/>
        <v>8128.0599999999995</v>
      </c>
      <c r="P8" s="2">
        <f t="shared" si="0"/>
        <v>8768930.6799999997</v>
      </c>
      <c r="Q8" s="2">
        <f t="shared" si="0"/>
        <v>288730.11</v>
      </c>
      <c r="R8" s="2">
        <f t="shared" si="0"/>
        <v>818089997.04999995</v>
      </c>
      <c r="S8" s="2">
        <f t="shared" si="0"/>
        <v>5442008.5800000001</v>
      </c>
      <c r="T8" s="2">
        <f t="shared" si="0"/>
        <v>678303.6</v>
      </c>
      <c r="U8" s="2">
        <f t="shared" si="0"/>
        <v>91116224.569999993</v>
      </c>
    </row>
    <row r="9" spans="1:22" s="16" customFormat="1" ht="24.95" customHeight="1" x14ac:dyDescent="0.25">
      <c r="A9" s="63" t="s">
        <v>25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15"/>
    </row>
    <row r="10" spans="1:22" ht="24.95" customHeight="1" x14ac:dyDescent="0.25">
      <c r="A10" s="78" t="s">
        <v>205</v>
      </c>
      <c r="B10" s="78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8">
        <f>D10+L10+N10+P10+R10+S10+T10+U10</f>
        <v>634485512.4000001</v>
      </c>
    </row>
    <row r="11" spans="1:22" ht="45" customHeight="1" x14ac:dyDescent="0.25">
      <c r="A11" s="54" t="s">
        <v>0</v>
      </c>
      <c r="B11" s="54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C11+C289+C683</f>
        <v>341904347.03999996</v>
      </c>
    </row>
    <row r="12" spans="1:22" ht="27" customHeight="1" x14ac:dyDescent="0.25">
      <c r="A12" s="37" t="s">
        <v>815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7" customHeight="1" x14ac:dyDescent="0.25">
      <c r="A13" s="37" t="s">
        <v>816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7" customHeight="1" x14ac:dyDescent="0.25">
      <c r="A14" s="37" t="s">
        <v>952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7" customHeight="1" x14ac:dyDescent="0.25">
      <c r="A15" s="37" t="s">
        <v>953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7" customHeight="1" x14ac:dyDescent="0.25">
      <c r="A16" s="37" t="s">
        <v>954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7" customHeight="1" x14ac:dyDescent="0.25">
      <c r="A17" s="37" t="s">
        <v>955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7" customHeight="1" x14ac:dyDescent="0.25">
      <c r="A18" s="37" t="s">
        <v>956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7" customHeight="1" x14ac:dyDescent="0.25">
      <c r="A19" s="37" t="s">
        <v>957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7" customHeight="1" x14ac:dyDescent="0.25">
      <c r="A20" s="37" t="s">
        <v>958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7" customHeight="1" x14ac:dyDescent="0.25">
      <c r="A21" s="37" t="s">
        <v>959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7" customHeight="1" x14ac:dyDescent="0.25">
      <c r="A22" s="37" t="s">
        <v>960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7" customHeight="1" x14ac:dyDescent="0.25">
      <c r="A23" s="37" t="s">
        <v>961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4" t="s">
        <v>819</v>
      </c>
      <c r="B24" s="54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30" customHeight="1" x14ac:dyDescent="0.25">
      <c r="A25" s="37" t="s">
        <v>962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4" t="s">
        <v>847</v>
      </c>
      <c r="B26" s="54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5.15" customHeight="1" x14ac:dyDescent="0.25">
      <c r="A27" s="37" t="s">
        <v>963</v>
      </c>
      <c r="B27" s="8" t="s">
        <v>848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4" t="s">
        <v>74</v>
      </c>
      <c r="B28" s="54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C28+C311+C717</f>
        <v>25715299.25</v>
      </c>
    </row>
    <row r="29" spans="1:22" ht="25.15" customHeight="1" x14ac:dyDescent="0.25">
      <c r="A29" s="36" t="s">
        <v>964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4" t="s">
        <v>2</v>
      </c>
      <c r="B30" s="54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C30+C315+C723</f>
        <v>20996502.149999999</v>
      </c>
    </row>
    <row r="31" spans="1:22" ht="25.15" customHeight="1" x14ac:dyDescent="0.25">
      <c r="A31" s="37" t="s">
        <v>965</v>
      </c>
      <c r="B31" s="8" t="s">
        <v>77</v>
      </c>
      <c r="C31" s="2">
        <f t="shared" si="3"/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>N31/M31</f>
        <v>#DIV/0!</v>
      </c>
    </row>
    <row r="32" spans="1:22" s="6" customFormat="1" ht="25.15" customHeight="1" x14ac:dyDescent="0.25">
      <c r="A32" s="37" t="s">
        <v>966</v>
      </c>
      <c r="B32" s="8" t="s">
        <v>78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>N32/M32</f>
        <v>3690.0416129032255</v>
      </c>
    </row>
    <row r="33" spans="1:22" ht="45" customHeight="1" x14ac:dyDescent="0.25">
      <c r="A33" s="54" t="s">
        <v>810</v>
      </c>
      <c r="B33" s="54"/>
      <c r="C33" s="2">
        <f>SUM(C34)</f>
        <v>239642.18</v>
      </c>
      <c r="D33" s="2">
        <f t="shared" ref="D33:U33" si="9">SUM(D34)</f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4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18">
        <f>C33+C320+C731</f>
        <v>25190453.469999999</v>
      </c>
    </row>
    <row r="34" spans="1:22" ht="25.15" customHeight="1" x14ac:dyDescent="0.25">
      <c r="A34" s="37" t="s">
        <v>967</v>
      </c>
      <c r="B34" s="8" t="s">
        <v>87</v>
      </c>
      <c r="C34" s="2">
        <f t="shared" si="3"/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>N34/M34</f>
        <v>2348.1979999999999</v>
      </c>
    </row>
    <row r="35" spans="1:22" ht="45" customHeight="1" x14ac:dyDescent="0.25">
      <c r="A35" s="54" t="s">
        <v>93</v>
      </c>
      <c r="B35" s="54"/>
      <c r="C35" s="2">
        <f>SUM(C36:C37)</f>
        <v>6845927.2100000009</v>
      </c>
      <c r="D35" s="2">
        <f t="shared" ref="D35:U35" si="10">SUM(D36:D37)</f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4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18">
        <f>C35+C323+C741</f>
        <v>27641377.680000003</v>
      </c>
    </row>
    <row r="36" spans="1:22" ht="25.15" customHeight="1" x14ac:dyDescent="0.25">
      <c r="A36" s="36" t="s">
        <v>968</v>
      </c>
      <c r="B36" s="8" t="s">
        <v>96</v>
      </c>
      <c r="C36" s="2">
        <f t="shared" si="3"/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>N36/M36</f>
        <v>#DIV/0!</v>
      </c>
    </row>
    <row r="37" spans="1:22" ht="25.15" customHeight="1" x14ac:dyDescent="0.25">
      <c r="A37" s="36" t="s">
        <v>969</v>
      </c>
      <c r="B37" s="8" t="s">
        <v>99</v>
      </c>
      <c r="C37" s="2">
        <f t="shared" si="3"/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>N37/M37</f>
        <v>#DIV/0!</v>
      </c>
    </row>
    <row r="38" spans="1:22" ht="45" customHeight="1" x14ac:dyDescent="0.25">
      <c r="A38" s="54" t="s">
        <v>102</v>
      </c>
      <c r="B38" s="54"/>
      <c r="C38" s="2">
        <f>SUM(C39:C42)</f>
        <v>14891706.060000001</v>
      </c>
      <c r="D38" s="2">
        <f t="shared" ref="D38:U38" si="11">SUM(D39:D42)</f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4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18">
        <f>C38+C328+C745</f>
        <v>57862457.090000004</v>
      </c>
    </row>
    <row r="39" spans="1:22" ht="25.15" customHeight="1" x14ac:dyDescent="0.25">
      <c r="A39" s="37" t="s">
        <v>970</v>
      </c>
      <c r="B39" s="8" t="s">
        <v>108</v>
      </c>
      <c r="C39" s="2">
        <f t="shared" si="3"/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>N39/M39</f>
        <v>5507.4843070980205</v>
      </c>
    </row>
    <row r="40" spans="1:22" ht="25.15" customHeight="1" x14ac:dyDescent="0.25">
      <c r="A40" s="37" t="s">
        <v>971</v>
      </c>
      <c r="B40" s="8" t="s">
        <v>110</v>
      </c>
      <c r="C40" s="2">
        <f t="shared" si="3"/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>N40/M40</f>
        <v>4703.4990654928397</v>
      </c>
    </row>
    <row r="41" spans="1:22" ht="25.15" customHeight="1" x14ac:dyDescent="0.25">
      <c r="A41" s="37" t="s">
        <v>972</v>
      </c>
      <c r="B41" s="8" t="s">
        <v>111</v>
      </c>
      <c r="C41" s="2">
        <f t="shared" si="3"/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>N41/M41</f>
        <v>4386.8403005248219</v>
      </c>
    </row>
    <row r="42" spans="1:22" ht="25.15" customHeight="1" x14ac:dyDescent="0.25">
      <c r="A42" s="37" t="s">
        <v>973</v>
      </c>
      <c r="B42" s="8" t="s">
        <v>112</v>
      </c>
      <c r="C42" s="2">
        <f t="shared" si="3"/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>N42/M42</f>
        <v>4677.7081168249424</v>
      </c>
    </row>
    <row r="43" spans="1:22" ht="45" customHeight="1" x14ac:dyDescent="0.25">
      <c r="A43" s="54" t="s">
        <v>903</v>
      </c>
      <c r="B43" s="54"/>
      <c r="C43" s="2">
        <f>SUM(C44)</f>
        <v>2818731.24</v>
      </c>
      <c r="D43" s="2">
        <f t="shared" ref="D43:U43" si="12">SUM(D44)</f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4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18">
        <f>C43</f>
        <v>2818731.24</v>
      </c>
    </row>
    <row r="44" spans="1:22" ht="25.15" customHeight="1" x14ac:dyDescent="0.25">
      <c r="A44" s="36" t="s">
        <v>974</v>
      </c>
      <c r="B44" s="8" t="s">
        <v>904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4" t="s">
        <v>124</v>
      </c>
      <c r="B45" s="54"/>
      <c r="C45" s="2">
        <f>SUM(C46)</f>
        <v>3111460.64</v>
      </c>
      <c r="D45" s="2">
        <f t="shared" ref="D45:U45" si="13">SUM(D46)</f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4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18">
        <f>C45+C338+C760</f>
        <v>17442945.98</v>
      </c>
    </row>
    <row r="46" spans="1:22" ht="25.15" customHeight="1" x14ac:dyDescent="0.25">
      <c r="A46" s="36" t="s">
        <v>975</v>
      </c>
      <c r="B46" s="8" t="s">
        <v>842</v>
      </c>
      <c r="C46" s="2">
        <f t="shared" si="3"/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>N46/M46</f>
        <v>3295.2310000000002</v>
      </c>
    </row>
    <row r="47" spans="1:22" ht="45" customHeight="1" x14ac:dyDescent="0.25">
      <c r="A47" s="54" t="s">
        <v>131</v>
      </c>
      <c r="B47" s="54"/>
      <c r="C47" s="2">
        <f>SUM(C48)</f>
        <v>43691.17</v>
      </c>
      <c r="D47" s="2">
        <f t="shared" ref="D47:U47" si="14">SUM(D48)</f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4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18">
        <f>C47+C343</f>
        <v>6400053.5300000003</v>
      </c>
    </row>
    <row r="48" spans="1:22" ht="25.15" customHeight="1" x14ac:dyDescent="0.25">
      <c r="A48" s="37" t="s">
        <v>976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4" t="s">
        <v>133</v>
      </c>
      <c r="B49" s="54"/>
      <c r="C49" s="2">
        <f>SUM(C50:C52)</f>
        <v>16217698.190000001</v>
      </c>
      <c r="D49" s="2">
        <f t="shared" ref="D49:U49" si="15">SUM(D50:D52)</f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4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18">
        <f>C49+C348</f>
        <v>19589472.590000004</v>
      </c>
    </row>
    <row r="50" spans="1:22" ht="25.15" customHeight="1" x14ac:dyDescent="0.25">
      <c r="A50" s="37" t="s">
        <v>977</v>
      </c>
      <c r="B50" s="8" t="s">
        <v>134</v>
      </c>
      <c r="C50" s="2">
        <f t="shared" si="3"/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>N50/M50</f>
        <v>3139.2932110670827</v>
      </c>
    </row>
    <row r="51" spans="1:22" ht="25.15" customHeight="1" x14ac:dyDescent="0.25">
      <c r="A51" s="37" t="s">
        <v>978</v>
      </c>
      <c r="B51" s="8" t="s">
        <v>135</v>
      </c>
      <c r="C51" s="2">
        <f t="shared" si="3"/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>N51/M51</f>
        <v>3036.5339801332671</v>
      </c>
    </row>
    <row r="52" spans="1:22" ht="25.15" customHeight="1" x14ac:dyDescent="0.25">
      <c r="A52" s="37" t="s">
        <v>979</v>
      </c>
      <c r="B52" s="8" t="s">
        <v>136</v>
      </c>
      <c r="C52" s="2">
        <f t="shared" si="3"/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>N52/M52</f>
        <v>2302.5015550465464</v>
      </c>
    </row>
    <row r="53" spans="1:22" ht="45" customHeight="1" x14ac:dyDescent="0.25">
      <c r="A53" s="54" t="s">
        <v>825</v>
      </c>
      <c r="B53" s="54"/>
      <c r="C53" s="2">
        <f>SUM(C54)</f>
        <v>1199702.6400000001</v>
      </c>
      <c r="D53" s="2">
        <f t="shared" ref="D53:U53" si="16">SUM(D54)</f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4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18">
        <f>C53</f>
        <v>1199702.6400000001</v>
      </c>
    </row>
    <row r="54" spans="1:22" ht="25.15" customHeight="1" x14ac:dyDescent="0.25">
      <c r="A54" s="37" t="s">
        <v>980</v>
      </c>
      <c r="B54" s="8" t="s">
        <v>826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55" t="s">
        <v>132</v>
      </c>
      <c r="B55" s="56"/>
      <c r="C55" s="2">
        <f>SUM(C56)</f>
        <v>1474519.93</v>
      </c>
      <c r="D55" s="2">
        <f t="shared" ref="D55:U55" si="17">SUM(D56)</f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4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18" t="e">
        <f>C55+#REF!</f>
        <v>#REF!</v>
      </c>
    </row>
    <row r="56" spans="1:22" ht="25.15" customHeight="1" x14ac:dyDescent="0.25">
      <c r="A56" s="37" t="s">
        <v>981</v>
      </c>
      <c r="B56" s="8" t="s">
        <v>896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4" t="s">
        <v>139</v>
      </c>
      <c r="B57" s="54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4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18">
        <f>C57+C352</f>
        <v>6986981.0300000012</v>
      </c>
    </row>
    <row r="58" spans="1:22" ht="25.15" customHeight="1" x14ac:dyDescent="0.25">
      <c r="A58" s="37" t="s">
        <v>982</v>
      </c>
      <c r="B58" s="8" t="s">
        <v>141</v>
      </c>
      <c r="C58" s="2">
        <f t="shared" si="3"/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>N58/M58</f>
        <v>1583.2684626475143</v>
      </c>
    </row>
    <row r="59" spans="1:22" ht="45" customHeight="1" x14ac:dyDescent="0.25">
      <c r="A59" s="54" t="s">
        <v>145</v>
      </c>
      <c r="B59" s="54"/>
      <c r="C59" s="2">
        <f>SUM(C60)</f>
        <v>4680715.3900000006</v>
      </c>
      <c r="D59" s="2">
        <f t="shared" ref="D59:U59" si="19">SUM(D60)</f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4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18">
        <f>C59</f>
        <v>4680715.3900000006</v>
      </c>
    </row>
    <row r="60" spans="1:22" ht="25.15" customHeight="1" x14ac:dyDescent="0.25">
      <c r="A60" s="37" t="s">
        <v>983</v>
      </c>
      <c r="B60" s="8" t="s">
        <v>841</v>
      </c>
      <c r="C60" s="2">
        <f t="shared" ref="C60:C121" si="20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4" t="s">
        <v>148</v>
      </c>
      <c r="B61" s="54"/>
      <c r="C61" s="2">
        <f>SUM(C62:C63)</f>
        <v>4603498.0599999996</v>
      </c>
      <c r="D61" s="2">
        <f t="shared" ref="D61:U61" si="21">SUM(D62:D63)</f>
        <v>0</v>
      </c>
      <c r="E61" s="2">
        <f t="shared" si="21"/>
        <v>0</v>
      </c>
      <c r="F61" s="2">
        <f t="shared" si="21"/>
        <v>0</v>
      </c>
      <c r="G61" s="2">
        <f t="shared" si="21"/>
        <v>0</v>
      </c>
      <c r="H61" s="2">
        <f t="shared" si="21"/>
        <v>0</v>
      </c>
      <c r="I61" s="2">
        <f t="shared" si="21"/>
        <v>0</v>
      </c>
      <c r="J61" s="2">
        <f t="shared" si="21"/>
        <v>0</v>
      </c>
      <c r="K61" s="14">
        <f t="shared" si="21"/>
        <v>0</v>
      </c>
      <c r="L61" s="2">
        <f t="shared" si="21"/>
        <v>0</v>
      </c>
      <c r="M61" s="2">
        <f t="shared" si="21"/>
        <v>1228.1500000000001</v>
      </c>
      <c r="N61" s="2">
        <f t="shared" si="21"/>
        <v>4458689.3599999994</v>
      </c>
      <c r="O61" s="2">
        <f t="shared" si="21"/>
        <v>0</v>
      </c>
      <c r="P61" s="2">
        <f t="shared" si="21"/>
        <v>0</v>
      </c>
      <c r="Q61" s="2">
        <f t="shared" si="21"/>
        <v>0</v>
      </c>
      <c r="R61" s="2">
        <f t="shared" si="21"/>
        <v>0</v>
      </c>
      <c r="S61" s="2">
        <f t="shared" si="21"/>
        <v>0</v>
      </c>
      <c r="T61" s="2">
        <f t="shared" si="21"/>
        <v>0</v>
      </c>
      <c r="U61" s="2">
        <f t="shared" si="21"/>
        <v>144808.70000000001</v>
      </c>
      <c r="V61" s="18">
        <f>C61+C356+C781</f>
        <v>38051544.590000004</v>
      </c>
    </row>
    <row r="62" spans="1:22" ht="25.15" customHeight="1" x14ac:dyDescent="0.25">
      <c r="A62" s="37" t="s">
        <v>984</v>
      </c>
      <c r="B62" s="8" t="s">
        <v>153</v>
      </c>
      <c r="C62" s="2">
        <f t="shared" si="20"/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>N62/M62</f>
        <v>4164.8231512025432</v>
      </c>
    </row>
    <row r="63" spans="1:22" ht="25.15" customHeight="1" x14ac:dyDescent="0.25">
      <c r="A63" s="37" t="s">
        <v>985</v>
      </c>
      <c r="B63" s="8" t="s">
        <v>156</v>
      </c>
      <c r="C63" s="2">
        <f t="shared" si="20"/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>N63/M63</f>
        <v>2501.1014955640053</v>
      </c>
    </row>
    <row r="64" spans="1:22" ht="45" customHeight="1" x14ac:dyDescent="0.25">
      <c r="A64" s="54" t="s">
        <v>944</v>
      </c>
      <c r="B64" s="54"/>
      <c r="C64" s="2">
        <f>SUM(C65)</f>
        <v>1038347.45</v>
      </c>
      <c r="D64" s="2">
        <f t="shared" ref="D64:U64" si="22">SUM(D65)</f>
        <v>0</v>
      </c>
      <c r="E64" s="2">
        <f t="shared" si="22"/>
        <v>0</v>
      </c>
      <c r="F64" s="2">
        <f t="shared" si="22"/>
        <v>0</v>
      </c>
      <c r="G64" s="2">
        <f t="shared" si="22"/>
        <v>0</v>
      </c>
      <c r="H64" s="2">
        <f t="shared" si="22"/>
        <v>0</v>
      </c>
      <c r="I64" s="2">
        <f t="shared" si="22"/>
        <v>0</v>
      </c>
      <c r="J64" s="2">
        <f t="shared" si="22"/>
        <v>0</v>
      </c>
      <c r="K64" s="14">
        <f t="shared" si="22"/>
        <v>0</v>
      </c>
      <c r="L64" s="2">
        <f t="shared" si="22"/>
        <v>0</v>
      </c>
      <c r="M64" s="2">
        <f t="shared" si="22"/>
        <v>297</v>
      </c>
      <c r="N64" s="2">
        <f t="shared" si="22"/>
        <v>989234.72</v>
      </c>
      <c r="O64" s="2">
        <f t="shared" si="22"/>
        <v>0</v>
      </c>
      <c r="P64" s="2">
        <f t="shared" si="22"/>
        <v>0</v>
      </c>
      <c r="Q64" s="2">
        <f t="shared" si="22"/>
        <v>0</v>
      </c>
      <c r="R64" s="2">
        <f t="shared" si="22"/>
        <v>0</v>
      </c>
      <c r="S64" s="2">
        <f t="shared" si="22"/>
        <v>0</v>
      </c>
      <c r="T64" s="2">
        <f t="shared" si="22"/>
        <v>0</v>
      </c>
      <c r="U64" s="2">
        <f t="shared" si="22"/>
        <v>49112.73</v>
      </c>
      <c r="V64" s="18">
        <f>C64+C360+C789</f>
        <v>4213687.8499999996</v>
      </c>
    </row>
    <row r="65" spans="1:22" ht="25.15" customHeight="1" x14ac:dyDescent="0.25">
      <c r="A65" s="37" t="s">
        <v>986</v>
      </c>
      <c r="B65" s="8" t="s">
        <v>157</v>
      </c>
      <c r="C65" s="2">
        <f t="shared" si="20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4" t="s">
        <v>160</v>
      </c>
      <c r="B66" s="54"/>
      <c r="C66" s="2">
        <f>SUM(C67)</f>
        <v>2269053.58</v>
      </c>
      <c r="D66" s="2">
        <f t="shared" ref="D66:U66" si="23">SUM(D67)</f>
        <v>0</v>
      </c>
      <c r="E66" s="2">
        <f t="shared" si="23"/>
        <v>0</v>
      </c>
      <c r="F66" s="2">
        <f t="shared" si="23"/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14">
        <f t="shared" si="23"/>
        <v>0</v>
      </c>
      <c r="L66" s="2">
        <f t="shared" si="23"/>
        <v>0</v>
      </c>
      <c r="M66" s="2">
        <f t="shared" si="23"/>
        <v>710</v>
      </c>
      <c r="N66" s="2">
        <f t="shared" si="23"/>
        <v>2234087.79</v>
      </c>
      <c r="O66" s="2">
        <f t="shared" si="23"/>
        <v>0</v>
      </c>
      <c r="P66" s="2">
        <f t="shared" si="23"/>
        <v>0</v>
      </c>
      <c r="Q66" s="2">
        <f t="shared" si="23"/>
        <v>0</v>
      </c>
      <c r="R66" s="2">
        <f t="shared" si="23"/>
        <v>0</v>
      </c>
      <c r="S66" s="2">
        <f t="shared" si="23"/>
        <v>0</v>
      </c>
      <c r="T66" s="2">
        <f t="shared" si="23"/>
        <v>0</v>
      </c>
      <c r="U66" s="2">
        <f t="shared" si="23"/>
        <v>34965.79</v>
      </c>
      <c r="V66" s="18">
        <f>C66</f>
        <v>2269053.58</v>
      </c>
    </row>
    <row r="67" spans="1:22" ht="25.15" customHeight="1" x14ac:dyDescent="0.25">
      <c r="A67" s="37" t="s">
        <v>987</v>
      </c>
      <c r="B67" s="8" t="s">
        <v>161</v>
      </c>
      <c r="C67" s="2">
        <f t="shared" si="20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4" t="s">
        <v>162</v>
      </c>
      <c r="B68" s="54"/>
      <c r="C68" s="2">
        <f>SUM(C69:C85)</f>
        <v>94628257.640000015</v>
      </c>
      <c r="D68" s="2">
        <f t="shared" ref="D68:T68" si="24">SUM(D70:D85)</f>
        <v>23558992.600000001</v>
      </c>
      <c r="E68" s="2">
        <f t="shared" si="24"/>
        <v>3114461.6900000004</v>
      </c>
      <c r="F68" s="2">
        <f t="shared" si="24"/>
        <v>12001018.830000002</v>
      </c>
      <c r="G68" s="2">
        <f t="shared" si="24"/>
        <v>1803595.94</v>
      </c>
      <c r="H68" s="2">
        <f t="shared" si="24"/>
        <v>4526478.5600000005</v>
      </c>
      <c r="I68" s="2">
        <f t="shared" si="24"/>
        <v>2113437.58</v>
      </c>
      <c r="J68" s="2">
        <f t="shared" si="24"/>
        <v>0</v>
      </c>
      <c r="K68" s="14">
        <f t="shared" si="24"/>
        <v>0</v>
      </c>
      <c r="L68" s="2">
        <f t="shared" si="24"/>
        <v>0</v>
      </c>
      <c r="M68" s="2">
        <f t="shared" si="24"/>
        <v>7767.29</v>
      </c>
      <c r="N68" s="2">
        <f>SUM(N69:N85)</f>
        <v>32004630.640000001</v>
      </c>
      <c r="O68" s="2">
        <f t="shared" si="24"/>
        <v>0</v>
      </c>
      <c r="P68" s="2">
        <f t="shared" si="24"/>
        <v>0</v>
      </c>
      <c r="Q68" s="2">
        <f t="shared" si="24"/>
        <v>12887.32</v>
      </c>
      <c r="R68" s="2">
        <f>SUM(R69:R85)</f>
        <v>36515734.180000007</v>
      </c>
      <c r="S68" s="2">
        <f t="shared" si="24"/>
        <v>0</v>
      </c>
      <c r="T68" s="2">
        <f t="shared" si="24"/>
        <v>0</v>
      </c>
      <c r="U68" s="2">
        <f>SUM(U69:U85)</f>
        <v>2548900.2199999997</v>
      </c>
      <c r="V68" s="18">
        <f>C68+C362+C793</f>
        <v>326610244.38</v>
      </c>
    </row>
    <row r="69" spans="1:22" ht="25.15" customHeight="1" x14ac:dyDescent="0.25">
      <c r="A69" s="37" t="s">
        <v>1013</v>
      </c>
      <c r="B69" s="21" t="s">
        <v>164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5.15" customHeight="1" x14ac:dyDescent="0.25">
      <c r="A70" s="37" t="s">
        <v>1014</v>
      </c>
      <c r="B70" s="21" t="s">
        <v>165</v>
      </c>
      <c r="C70" s="2">
        <f t="shared" si="20"/>
        <v>16536342.01</v>
      </c>
      <c r="D70" s="3">
        <f t="shared" ref="D70:D85" si="25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26">N70/M70</f>
        <v>2811.6659122991782</v>
      </c>
    </row>
    <row r="71" spans="1:22" ht="25.15" customHeight="1" x14ac:dyDescent="0.25">
      <c r="A71" s="37" t="s">
        <v>1015</v>
      </c>
      <c r="B71" s="21" t="s">
        <v>168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5.15" customHeight="1" x14ac:dyDescent="0.25">
      <c r="A72" s="37" t="s">
        <v>1016</v>
      </c>
      <c r="B72" s="21" t="s">
        <v>169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5.15" customHeight="1" x14ac:dyDescent="0.25">
      <c r="A73" s="37" t="s">
        <v>1017</v>
      </c>
      <c r="B73" s="21" t="s">
        <v>166</v>
      </c>
      <c r="C73" s="2">
        <f t="shared" si="20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26"/>
        <v>3187.0423408584443</v>
      </c>
    </row>
    <row r="74" spans="1:22" ht="25.15" customHeight="1" x14ac:dyDescent="0.25">
      <c r="A74" s="37" t="s">
        <v>1018</v>
      </c>
      <c r="B74" s="21" t="s">
        <v>167</v>
      </c>
      <c r="C74" s="2">
        <f t="shared" si="20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26"/>
        <v>#DIV/0!</v>
      </c>
    </row>
    <row r="75" spans="1:22" ht="25.15" customHeight="1" x14ac:dyDescent="0.25">
      <c r="A75" s="37" t="s">
        <v>1019</v>
      </c>
      <c r="B75" s="1" t="s">
        <v>170</v>
      </c>
      <c r="C75" s="2">
        <f t="shared" si="20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S885</f>
        <v>0</v>
      </c>
      <c r="T75" s="3">
        <v>0</v>
      </c>
      <c r="U75" s="3">
        <v>184333.66</v>
      </c>
      <c r="V75" s="6">
        <f t="shared" si="26"/>
        <v>4134.5059701492537</v>
      </c>
    </row>
    <row r="76" spans="1:22" ht="25.15" customHeight="1" x14ac:dyDescent="0.25">
      <c r="A76" s="37" t="s">
        <v>1020</v>
      </c>
      <c r="B76" s="1" t="s">
        <v>171</v>
      </c>
      <c r="C76" s="2">
        <f t="shared" si="20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S922</f>
        <v>0</v>
      </c>
      <c r="T76" s="3">
        <v>0</v>
      </c>
      <c r="U76" s="3">
        <v>164922.54999999999</v>
      </c>
      <c r="V76" s="6">
        <f t="shared" si="26"/>
        <v>3832.6437613019893</v>
      </c>
    </row>
    <row r="77" spans="1:22" ht="25.15" customHeight="1" x14ac:dyDescent="0.25">
      <c r="A77" s="37" t="s">
        <v>1021</v>
      </c>
      <c r="B77" s="1" t="s">
        <v>814</v>
      </c>
      <c r="C77" s="2">
        <f t="shared" si="20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2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28">Q77*2605</f>
        <v>0</v>
      </c>
      <c r="S77" s="3">
        <v>0</v>
      </c>
      <c r="T77" s="3">
        <v>0</v>
      </c>
      <c r="U77" s="3">
        <v>58827.5</v>
      </c>
      <c r="V77" s="6" t="e">
        <f t="shared" si="26"/>
        <v>#DIV/0!</v>
      </c>
    </row>
    <row r="78" spans="1:22" ht="25.15" customHeight="1" x14ac:dyDescent="0.25">
      <c r="A78" s="37" t="s">
        <v>1022</v>
      </c>
      <c r="B78" s="1" t="s">
        <v>172</v>
      </c>
      <c r="C78" s="2">
        <f t="shared" si="20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S923</f>
        <v>0</v>
      </c>
      <c r="T78" s="3">
        <v>0</v>
      </c>
      <c r="U78" s="3">
        <v>198000</v>
      </c>
      <c r="V78" s="6">
        <f t="shared" si="26"/>
        <v>4524.8304369747893</v>
      </c>
    </row>
    <row r="79" spans="1:22" ht="25.15" customHeight="1" x14ac:dyDescent="0.25">
      <c r="A79" s="37" t="s">
        <v>1023</v>
      </c>
      <c r="B79" s="1" t="s">
        <v>173</v>
      </c>
      <c r="C79" s="2">
        <f t="shared" si="20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S924</f>
        <v>0</v>
      </c>
      <c r="T79" s="3">
        <v>0</v>
      </c>
      <c r="U79" s="3">
        <v>198000</v>
      </c>
      <c r="V79" s="6">
        <f t="shared" si="26"/>
        <v>4174.937695121951</v>
      </c>
    </row>
    <row r="80" spans="1:22" ht="25.15" customHeight="1" x14ac:dyDescent="0.25">
      <c r="A80" s="37" t="s">
        <v>1024</v>
      </c>
      <c r="B80" s="1" t="s">
        <v>174</v>
      </c>
      <c r="C80" s="2">
        <f t="shared" si="20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28"/>
        <v>0</v>
      </c>
      <c r="S80" s="3">
        <v>0</v>
      </c>
      <c r="T80" s="3">
        <v>0</v>
      </c>
      <c r="U80" s="3">
        <v>124764.64</v>
      </c>
      <c r="V80" s="6" t="e">
        <f t="shared" si="26"/>
        <v>#DIV/0!</v>
      </c>
    </row>
    <row r="81" spans="1:22" ht="25.15" customHeight="1" x14ac:dyDescent="0.25">
      <c r="A81" s="37" t="s">
        <v>1025</v>
      </c>
      <c r="B81" s="1" t="s">
        <v>175</v>
      </c>
      <c r="C81" s="2">
        <f t="shared" si="20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 t="shared" si="2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26"/>
        <v>5300</v>
      </c>
    </row>
    <row r="82" spans="1:22" ht="25.15" customHeight="1" x14ac:dyDescent="0.25">
      <c r="A82" s="37" t="s">
        <v>1026</v>
      </c>
      <c r="B82" s="1" t="s">
        <v>176</v>
      </c>
      <c r="C82" s="2">
        <f t="shared" si="20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S860</f>
        <v>0</v>
      </c>
      <c r="T82" s="3">
        <v>0</v>
      </c>
      <c r="U82" s="3">
        <v>140954.04</v>
      </c>
      <c r="V82" s="6" t="e">
        <f t="shared" si="26"/>
        <v>#DIV/0!</v>
      </c>
    </row>
    <row r="83" spans="1:22" ht="25.15" customHeight="1" x14ac:dyDescent="0.25">
      <c r="A83" s="37" t="s">
        <v>1027</v>
      </c>
      <c r="B83" s="21" t="s">
        <v>177</v>
      </c>
      <c r="C83" s="2">
        <f t="shared" si="20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27"/>
        <v>0</v>
      </c>
      <c r="O83" s="3">
        <v>0</v>
      </c>
      <c r="P83" s="3">
        <v>0</v>
      </c>
      <c r="Q83" s="3">
        <v>0</v>
      </c>
      <c r="R83" s="3">
        <f t="shared" si="28"/>
        <v>0</v>
      </c>
      <c r="S83" s="3">
        <f>S861</f>
        <v>0</v>
      </c>
      <c r="T83" s="3">
        <v>0</v>
      </c>
      <c r="U83" s="3">
        <v>52206.080000000002</v>
      </c>
      <c r="V83" s="6" t="e">
        <f t="shared" si="26"/>
        <v>#DIV/0!</v>
      </c>
    </row>
    <row r="84" spans="1:22" ht="25.15" customHeight="1" x14ac:dyDescent="0.25">
      <c r="A84" s="37" t="s">
        <v>1028</v>
      </c>
      <c r="B84" s="21" t="s">
        <v>178</v>
      </c>
      <c r="C84" s="2">
        <f t="shared" si="20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27"/>
        <v>0</v>
      </c>
      <c r="O84" s="3">
        <v>0</v>
      </c>
      <c r="P84" s="3">
        <v>0</v>
      </c>
      <c r="Q84" s="3">
        <v>0</v>
      </c>
      <c r="R84" s="3">
        <f t="shared" si="28"/>
        <v>0</v>
      </c>
      <c r="S84" s="3">
        <f>S862</f>
        <v>0</v>
      </c>
      <c r="T84" s="3">
        <v>0</v>
      </c>
      <c r="U84" s="3">
        <v>49933.51</v>
      </c>
      <c r="V84" s="6" t="e">
        <f t="shared" si="26"/>
        <v>#DIV/0!</v>
      </c>
    </row>
    <row r="85" spans="1:22" ht="25.15" customHeight="1" x14ac:dyDescent="0.25">
      <c r="A85" s="37" t="s">
        <v>1029</v>
      </c>
      <c r="B85" s="8" t="s">
        <v>879</v>
      </c>
      <c r="C85" s="2">
        <f t="shared" si="20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26"/>
        <v>#DIV/0!</v>
      </c>
    </row>
    <row r="86" spans="1:22" ht="45" customHeight="1" x14ac:dyDescent="0.25">
      <c r="A86" s="54" t="s">
        <v>220</v>
      </c>
      <c r="B86" s="54"/>
      <c r="C86" s="2">
        <f>SUM(C87:C88)</f>
        <v>2602069.1</v>
      </c>
      <c r="D86" s="2">
        <f t="shared" ref="D86:U86" si="29">SUM(D87:D88)</f>
        <v>454084.26000000007</v>
      </c>
      <c r="E86" s="2">
        <f t="shared" si="29"/>
        <v>145809.64000000001</v>
      </c>
      <c r="F86" s="2">
        <f t="shared" si="29"/>
        <v>202522</v>
      </c>
      <c r="G86" s="2">
        <f t="shared" si="29"/>
        <v>48192.91</v>
      </c>
      <c r="H86" s="2">
        <f t="shared" si="29"/>
        <v>0</v>
      </c>
      <c r="I86" s="2">
        <f t="shared" si="29"/>
        <v>57559.71</v>
      </c>
      <c r="J86" s="2">
        <f t="shared" si="29"/>
        <v>0</v>
      </c>
      <c r="K86" s="14">
        <f t="shared" si="29"/>
        <v>0</v>
      </c>
      <c r="L86" s="2">
        <f t="shared" si="29"/>
        <v>0</v>
      </c>
      <c r="M86" s="2">
        <f t="shared" si="29"/>
        <v>240</v>
      </c>
      <c r="N86" s="2">
        <f t="shared" si="29"/>
        <v>1032050.92</v>
      </c>
      <c r="O86" s="2">
        <f t="shared" si="29"/>
        <v>0</v>
      </c>
      <c r="P86" s="2">
        <f t="shared" si="29"/>
        <v>0</v>
      </c>
      <c r="Q86" s="2">
        <f t="shared" si="29"/>
        <v>408.6</v>
      </c>
      <c r="R86" s="2">
        <f t="shared" si="29"/>
        <v>1063447.25</v>
      </c>
      <c r="S86" s="2">
        <f t="shared" si="29"/>
        <v>0</v>
      </c>
      <c r="T86" s="2">
        <f t="shared" si="29"/>
        <v>0</v>
      </c>
      <c r="U86" s="2">
        <f t="shared" si="29"/>
        <v>52486.67</v>
      </c>
      <c r="V86" s="18">
        <f>C86+C812</f>
        <v>7375454.0999999996</v>
      </c>
    </row>
    <row r="87" spans="1:22" ht="25.15" customHeight="1" x14ac:dyDescent="0.25">
      <c r="A87" s="37" t="s">
        <v>1030</v>
      </c>
      <c r="B87" s="8" t="s">
        <v>221</v>
      </c>
      <c r="C87" s="2">
        <f t="shared" si="20"/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>N87/M87</f>
        <v>4300.2121666666671</v>
      </c>
    </row>
    <row r="88" spans="1:22" ht="25.15" customHeight="1" x14ac:dyDescent="0.25">
      <c r="A88" s="37" t="s">
        <v>1031</v>
      </c>
      <c r="B88" s="8" t="s">
        <v>222</v>
      </c>
      <c r="C88" s="2">
        <f t="shared" si="20"/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>N88/M88</f>
        <v>#DIV/0!</v>
      </c>
    </row>
    <row r="89" spans="1:22" ht="45" customHeight="1" x14ac:dyDescent="0.25">
      <c r="A89" s="54" t="s">
        <v>219</v>
      </c>
      <c r="B89" s="54"/>
      <c r="C89" s="2">
        <f>SUM(C90:C95)</f>
        <v>5065932.63</v>
      </c>
      <c r="D89" s="2">
        <f t="shared" ref="D89:U89" si="30">SUM(D90:D95)</f>
        <v>203812.47</v>
      </c>
      <c r="E89" s="2">
        <f t="shared" si="30"/>
        <v>203812.47</v>
      </c>
      <c r="F89" s="2">
        <f t="shared" si="30"/>
        <v>0</v>
      </c>
      <c r="G89" s="2">
        <f t="shared" si="30"/>
        <v>0</v>
      </c>
      <c r="H89" s="2">
        <f t="shared" si="30"/>
        <v>0</v>
      </c>
      <c r="I89" s="2">
        <f t="shared" si="30"/>
        <v>0</v>
      </c>
      <c r="J89" s="2">
        <f t="shared" si="30"/>
        <v>0</v>
      </c>
      <c r="K89" s="14">
        <f t="shared" si="30"/>
        <v>0</v>
      </c>
      <c r="L89" s="2">
        <f t="shared" si="30"/>
        <v>0</v>
      </c>
      <c r="M89" s="2">
        <f t="shared" si="30"/>
        <v>370</v>
      </c>
      <c r="N89" s="2">
        <f t="shared" si="30"/>
        <v>1939364.18</v>
      </c>
      <c r="O89" s="2">
        <f t="shared" si="30"/>
        <v>0</v>
      </c>
      <c r="P89" s="2">
        <f t="shared" si="30"/>
        <v>0</v>
      </c>
      <c r="Q89" s="2">
        <f t="shared" si="30"/>
        <v>1390.05</v>
      </c>
      <c r="R89" s="2">
        <f t="shared" si="30"/>
        <v>2774118.74</v>
      </c>
      <c r="S89" s="2">
        <f t="shared" si="30"/>
        <v>0</v>
      </c>
      <c r="T89" s="2">
        <f t="shared" si="30"/>
        <v>0</v>
      </c>
      <c r="U89" s="2">
        <f t="shared" si="30"/>
        <v>148637.24</v>
      </c>
      <c r="V89" s="18">
        <f>C89+C382+C814</f>
        <v>56849462.18</v>
      </c>
    </row>
    <row r="90" spans="1:22" ht="25.15" customHeight="1" x14ac:dyDescent="0.25">
      <c r="A90" s="37" t="s">
        <v>1032</v>
      </c>
      <c r="B90" s="8" t="s">
        <v>210</v>
      </c>
      <c r="C90" s="2">
        <f t="shared" si="20"/>
        <v>61829.57</v>
      </c>
      <c r="D90" s="3">
        <f t="shared" ref="D90:D95" si="31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32">N90/M90</f>
        <v>#DIV/0!</v>
      </c>
    </row>
    <row r="91" spans="1:22" ht="25.15" customHeight="1" x14ac:dyDescent="0.25">
      <c r="A91" s="37" t="s">
        <v>1033</v>
      </c>
      <c r="B91" s="8" t="s">
        <v>213</v>
      </c>
      <c r="C91" s="2">
        <f t="shared" si="20"/>
        <v>32637.59</v>
      </c>
      <c r="D91" s="3">
        <f t="shared" si="31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32"/>
        <v>#DIV/0!</v>
      </c>
    </row>
    <row r="92" spans="1:22" ht="25.15" customHeight="1" x14ac:dyDescent="0.25">
      <c r="A92" s="37" t="s">
        <v>1034</v>
      </c>
      <c r="B92" s="8" t="s">
        <v>891</v>
      </c>
      <c r="C92" s="2">
        <f t="shared" si="20"/>
        <v>1326633.6000000001</v>
      </c>
      <c r="D92" s="3">
        <f t="shared" si="31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32"/>
        <v>#DIV/0!</v>
      </c>
    </row>
    <row r="93" spans="1:22" ht="25.15" customHeight="1" x14ac:dyDescent="0.25">
      <c r="A93" s="37" t="s">
        <v>1035</v>
      </c>
      <c r="B93" s="8" t="s">
        <v>214</v>
      </c>
      <c r="C93" s="2">
        <f t="shared" si="20"/>
        <v>54170.080000000002</v>
      </c>
      <c r="D93" s="3">
        <f t="shared" si="31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32"/>
        <v>#DIV/0!</v>
      </c>
    </row>
    <row r="94" spans="1:22" ht="25.15" customHeight="1" x14ac:dyDescent="0.25">
      <c r="A94" s="37" t="s">
        <v>1036</v>
      </c>
      <c r="B94" s="8" t="s">
        <v>892</v>
      </c>
      <c r="C94" s="2">
        <f t="shared" si="20"/>
        <v>2637062.5499999998</v>
      </c>
      <c r="D94" s="3">
        <f t="shared" si="31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32"/>
        <v>5241.5248108108108</v>
      </c>
    </row>
    <row r="95" spans="1:22" ht="25.15" customHeight="1" x14ac:dyDescent="0.25">
      <c r="A95" s="37" t="s">
        <v>1037</v>
      </c>
      <c r="B95" s="8" t="s">
        <v>893</v>
      </c>
      <c r="C95" s="2">
        <f t="shared" si="20"/>
        <v>953599.24</v>
      </c>
      <c r="D95" s="3">
        <f t="shared" si="31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32"/>
        <v>#DIV/0!</v>
      </c>
    </row>
    <row r="96" spans="1:22" ht="45" customHeight="1" x14ac:dyDescent="0.25">
      <c r="A96" s="54" t="s">
        <v>223</v>
      </c>
      <c r="B96" s="54"/>
      <c r="C96" s="2">
        <f>SUM(C97:C103)</f>
        <v>10285380.459999999</v>
      </c>
      <c r="D96" s="2">
        <f t="shared" ref="D96:T96" si="33">SUM(D98:D103)</f>
        <v>3102953.3</v>
      </c>
      <c r="E96" s="2">
        <f t="shared" si="33"/>
        <v>359199.98</v>
      </c>
      <c r="F96" s="2">
        <f t="shared" si="33"/>
        <v>1930196.5299999998</v>
      </c>
      <c r="G96" s="2">
        <f t="shared" si="33"/>
        <v>165331.20000000001</v>
      </c>
      <c r="H96" s="2">
        <f t="shared" si="33"/>
        <v>648225.59000000008</v>
      </c>
      <c r="I96" s="2">
        <f t="shared" si="33"/>
        <v>0</v>
      </c>
      <c r="J96" s="2">
        <f t="shared" si="33"/>
        <v>0</v>
      </c>
      <c r="K96" s="14">
        <f t="shared" si="33"/>
        <v>0</v>
      </c>
      <c r="L96" s="2">
        <f t="shared" si="33"/>
        <v>0</v>
      </c>
      <c r="M96" s="2">
        <f t="shared" si="33"/>
        <v>1610</v>
      </c>
      <c r="N96" s="2">
        <f>SUM(N97:N103)</f>
        <v>5424455.4399999995</v>
      </c>
      <c r="O96" s="2">
        <f t="shared" si="33"/>
        <v>0</v>
      </c>
      <c r="P96" s="2">
        <f t="shared" si="33"/>
        <v>0</v>
      </c>
      <c r="Q96" s="2">
        <f t="shared" si="33"/>
        <v>660</v>
      </c>
      <c r="R96" s="2">
        <f>SUM(R97:R103)</f>
        <v>1240574.96</v>
      </c>
      <c r="S96" s="2">
        <f t="shared" si="33"/>
        <v>0</v>
      </c>
      <c r="T96" s="2">
        <f t="shared" si="33"/>
        <v>0</v>
      </c>
      <c r="U96" s="2">
        <f>SUM(U97:U103)</f>
        <v>517396.75999999995</v>
      </c>
      <c r="V96" s="18">
        <f>C96+C389+C824</f>
        <v>58014734.619999997</v>
      </c>
    </row>
    <row r="97" spans="1:22" ht="25.15" customHeight="1" x14ac:dyDescent="0.25">
      <c r="A97" s="37" t="s">
        <v>1038</v>
      </c>
      <c r="B97" s="8" t="s">
        <v>229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5.15" customHeight="1" x14ac:dyDescent="0.25">
      <c r="A98" s="37" t="s">
        <v>1039</v>
      </c>
      <c r="B98" s="8" t="s">
        <v>226</v>
      </c>
      <c r="C98" s="2">
        <f t="shared" si="20"/>
        <v>1896196.86</v>
      </c>
      <c r="D98" s="3">
        <f t="shared" ref="D98:D103" si="34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35">N98/M98</f>
        <v>#DIV/0!</v>
      </c>
    </row>
    <row r="99" spans="1:22" ht="25.15" customHeight="1" x14ac:dyDescent="0.25">
      <c r="A99" s="37" t="s">
        <v>1040</v>
      </c>
      <c r="B99" s="8" t="s">
        <v>227</v>
      </c>
      <c r="C99" s="2">
        <f t="shared" si="20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35"/>
        <v>2851.0027797833936</v>
      </c>
    </row>
    <row r="100" spans="1:22" ht="25.15" customHeight="1" x14ac:dyDescent="0.25">
      <c r="A100" s="37" t="s">
        <v>1041</v>
      </c>
      <c r="B100" s="8" t="s">
        <v>228</v>
      </c>
      <c r="C100" s="2">
        <f t="shared" si="20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35"/>
        <v>#DIV/0!</v>
      </c>
    </row>
    <row r="101" spans="1:22" ht="25.15" customHeight="1" x14ac:dyDescent="0.25">
      <c r="A101" s="37" t="s">
        <v>1042</v>
      </c>
      <c r="B101" s="8" t="s">
        <v>235</v>
      </c>
      <c r="C101" s="2">
        <f t="shared" si="20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35"/>
        <v>#DIV/0!</v>
      </c>
    </row>
    <row r="102" spans="1:22" ht="25.15" customHeight="1" x14ac:dyDescent="0.25">
      <c r="A102" s="37" t="s">
        <v>1043</v>
      </c>
      <c r="B102" s="8" t="s">
        <v>236</v>
      </c>
      <c r="C102" s="2">
        <f t="shared" si="20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35"/>
        <v>4513.0365737051789</v>
      </c>
    </row>
    <row r="103" spans="1:22" ht="25.15" customHeight="1" x14ac:dyDescent="0.25">
      <c r="A103" s="37" t="s">
        <v>1044</v>
      </c>
      <c r="B103" s="8" t="s">
        <v>237</v>
      </c>
      <c r="C103" s="2">
        <f t="shared" si="20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35"/>
        <v>#DIV/0!</v>
      </c>
    </row>
    <row r="104" spans="1:22" ht="45" customHeight="1" x14ac:dyDescent="0.25">
      <c r="A104" s="54" t="s">
        <v>265</v>
      </c>
      <c r="B104" s="54"/>
      <c r="C104" s="2">
        <f>SUM(C105:C113)</f>
        <v>21052476.790000003</v>
      </c>
      <c r="D104" s="2">
        <f t="shared" ref="D104:U104" si="36">SUM(D105:D113)</f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4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18">
        <f>C104+C399+C837</f>
        <v>231829675.43000001</v>
      </c>
    </row>
    <row r="105" spans="1:22" ht="25.15" customHeight="1" x14ac:dyDescent="0.25">
      <c r="A105" s="37" t="s">
        <v>1045</v>
      </c>
      <c r="B105" s="22" t="s">
        <v>241</v>
      </c>
      <c r="C105" s="2">
        <f t="shared" si="20"/>
        <v>11569870.460000001</v>
      </c>
      <c r="D105" s="3">
        <f t="shared" ref="D105:D113" si="37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38">N105/M105</f>
        <v>5093.990734030438</v>
      </c>
    </row>
    <row r="106" spans="1:22" ht="25.15" customHeight="1" x14ac:dyDescent="0.25">
      <c r="A106" s="37" t="s">
        <v>1046</v>
      </c>
      <c r="B106" s="22" t="s">
        <v>242</v>
      </c>
      <c r="C106" s="2">
        <f t="shared" si="20"/>
        <v>8428223.7300000004</v>
      </c>
      <c r="D106" s="3">
        <f t="shared" si="37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38"/>
        <v>4750.6406459948321</v>
      </c>
    </row>
    <row r="107" spans="1:22" ht="25.15" customHeight="1" x14ac:dyDescent="0.25">
      <c r="A107" s="37" t="s">
        <v>1047</v>
      </c>
      <c r="B107" s="22" t="s">
        <v>243</v>
      </c>
      <c r="C107" s="2">
        <f t="shared" si="20"/>
        <v>199000</v>
      </c>
      <c r="D107" s="3">
        <f t="shared" si="37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38"/>
        <v>#DIV/0!</v>
      </c>
    </row>
    <row r="108" spans="1:22" ht="25.15" customHeight="1" x14ac:dyDescent="0.25">
      <c r="A108" s="37" t="s">
        <v>988</v>
      </c>
      <c r="B108" s="8" t="s">
        <v>245</v>
      </c>
      <c r="C108" s="2">
        <f t="shared" si="20"/>
        <v>317122.92</v>
      </c>
      <c r="D108" s="3">
        <f t="shared" si="37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38"/>
        <v>#DIV/0!</v>
      </c>
    </row>
    <row r="109" spans="1:22" ht="25.15" customHeight="1" x14ac:dyDescent="0.25">
      <c r="A109" s="37" t="s">
        <v>1048</v>
      </c>
      <c r="B109" s="22" t="s">
        <v>244</v>
      </c>
      <c r="C109" s="2">
        <f t="shared" si="20"/>
        <v>62427.49</v>
      </c>
      <c r="D109" s="3">
        <f t="shared" si="37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38"/>
        <v>#DIV/0!</v>
      </c>
    </row>
    <row r="110" spans="1:22" ht="25.15" customHeight="1" x14ac:dyDescent="0.25">
      <c r="A110" s="37" t="s">
        <v>1049</v>
      </c>
      <c r="B110" s="22" t="s">
        <v>246</v>
      </c>
      <c r="C110" s="2">
        <f t="shared" si="20"/>
        <v>76336.39</v>
      </c>
      <c r="D110" s="3">
        <f t="shared" si="37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38"/>
        <v>#DIV/0!</v>
      </c>
    </row>
    <row r="111" spans="1:22" ht="25.15" customHeight="1" x14ac:dyDescent="0.25">
      <c r="A111" s="37" t="s">
        <v>1050</v>
      </c>
      <c r="B111" s="22" t="s">
        <v>247</v>
      </c>
      <c r="C111" s="2">
        <f t="shared" si="20"/>
        <v>199000</v>
      </c>
      <c r="D111" s="3">
        <f t="shared" si="37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38"/>
        <v>#DIV/0!</v>
      </c>
    </row>
    <row r="112" spans="1:22" ht="25.15" customHeight="1" x14ac:dyDescent="0.25">
      <c r="A112" s="37" t="s">
        <v>989</v>
      </c>
      <c r="B112" s="22" t="s">
        <v>256</v>
      </c>
      <c r="C112" s="2">
        <f t="shared" si="20"/>
        <v>81875.320000000007</v>
      </c>
      <c r="D112" s="3">
        <f t="shared" si="37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38"/>
        <v>#DIV/0!</v>
      </c>
    </row>
    <row r="113" spans="1:22" ht="25.15" customHeight="1" x14ac:dyDescent="0.25">
      <c r="A113" s="37" t="s">
        <v>1051</v>
      </c>
      <c r="B113" s="22" t="s">
        <v>259</v>
      </c>
      <c r="C113" s="2">
        <f t="shared" si="20"/>
        <v>118620.48</v>
      </c>
      <c r="D113" s="3">
        <f t="shared" si="37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38"/>
        <v>#DIV/0!</v>
      </c>
    </row>
    <row r="114" spans="1:22" ht="45" customHeight="1" x14ac:dyDescent="0.25">
      <c r="A114" s="54" t="s">
        <v>837</v>
      </c>
      <c r="B114" s="54"/>
      <c r="C114" s="2">
        <f>SUM(C115)</f>
        <v>1686325.08</v>
      </c>
      <c r="D114" s="2">
        <f t="shared" ref="D114:U114" si="39">SUM(D115)</f>
        <v>0</v>
      </c>
      <c r="E114" s="2">
        <f t="shared" si="39"/>
        <v>0</v>
      </c>
      <c r="F114" s="2">
        <f t="shared" si="39"/>
        <v>0</v>
      </c>
      <c r="G114" s="2">
        <f t="shared" si="39"/>
        <v>0</v>
      </c>
      <c r="H114" s="2">
        <f t="shared" si="39"/>
        <v>0</v>
      </c>
      <c r="I114" s="2">
        <f t="shared" si="39"/>
        <v>0</v>
      </c>
      <c r="J114" s="2">
        <f t="shared" si="39"/>
        <v>0</v>
      </c>
      <c r="K114" s="14">
        <f t="shared" si="39"/>
        <v>0</v>
      </c>
      <c r="L114" s="2">
        <f t="shared" si="39"/>
        <v>0</v>
      </c>
      <c r="M114" s="2">
        <f t="shared" si="39"/>
        <v>536.4</v>
      </c>
      <c r="N114" s="2">
        <f t="shared" si="39"/>
        <v>1654017.3</v>
      </c>
      <c r="O114" s="2">
        <f t="shared" si="39"/>
        <v>0</v>
      </c>
      <c r="P114" s="2">
        <f t="shared" si="39"/>
        <v>0</v>
      </c>
      <c r="Q114" s="2">
        <f t="shared" si="39"/>
        <v>0</v>
      </c>
      <c r="R114" s="2">
        <f t="shared" si="39"/>
        <v>0</v>
      </c>
      <c r="S114" s="2">
        <f t="shared" si="39"/>
        <v>0</v>
      </c>
      <c r="T114" s="2">
        <f t="shared" si="39"/>
        <v>0</v>
      </c>
      <c r="U114" s="2">
        <f t="shared" si="39"/>
        <v>32307.78</v>
      </c>
      <c r="V114" s="18">
        <f>C114+C416</f>
        <v>3666325.08</v>
      </c>
    </row>
    <row r="115" spans="1:22" ht="25.15" customHeight="1" x14ac:dyDescent="0.25">
      <c r="A115" s="37" t="s">
        <v>1052</v>
      </c>
      <c r="B115" s="22" t="s">
        <v>838</v>
      </c>
      <c r="C115" s="2">
        <f t="shared" si="20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4" t="s">
        <v>266</v>
      </c>
      <c r="B116" s="54"/>
      <c r="C116" s="2">
        <f>SUM(C117)</f>
        <v>166377.20000000001</v>
      </c>
      <c r="D116" s="2">
        <f t="shared" ref="D116:U116" si="40">SUM(D117)</f>
        <v>0</v>
      </c>
      <c r="E116" s="2">
        <f t="shared" si="40"/>
        <v>0</v>
      </c>
      <c r="F116" s="2">
        <f t="shared" si="40"/>
        <v>0</v>
      </c>
      <c r="G116" s="2">
        <f t="shared" si="40"/>
        <v>0</v>
      </c>
      <c r="H116" s="2">
        <f t="shared" si="40"/>
        <v>0</v>
      </c>
      <c r="I116" s="2">
        <f t="shared" si="40"/>
        <v>0</v>
      </c>
      <c r="J116" s="2">
        <f t="shared" si="40"/>
        <v>0</v>
      </c>
      <c r="K116" s="14">
        <f t="shared" si="40"/>
        <v>0</v>
      </c>
      <c r="L116" s="2">
        <f t="shared" si="40"/>
        <v>0</v>
      </c>
      <c r="M116" s="2">
        <f t="shared" si="40"/>
        <v>0</v>
      </c>
      <c r="N116" s="2">
        <f t="shared" si="40"/>
        <v>0</v>
      </c>
      <c r="O116" s="2">
        <f t="shared" si="40"/>
        <v>0</v>
      </c>
      <c r="P116" s="2">
        <f t="shared" si="40"/>
        <v>0</v>
      </c>
      <c r="Q116" s="2">
        <f t="shared" si="40"/>
        <v>0</v>
      </c>
      <c r="R116" s="2">
        <f t="shared" si="40"/>
        <v>0</v>
      </c>
      <c r="S116" s="2">
        <f t="shared" si="40"/>
        <v>0</v>
      </c>
      <c r="T116" s="2">
        <f t="shared" si="40"/>
        <v>0</v>
      </c>
      <c r="U116" s="2">
        <f t="shared" si="40"/>
        <v>166377.20000000001</v>
      </c>
      <c r="V116" s="18">
        <f>C116</f>
        <v>166377.20000000001</v>
      </c>
    </row>
    <row r="117" spans="1:22" ht="25.15" customHeight="1" x14ac:dyDescent="0.25">
      <c r="A117" s="37" t="s">
        <v>1053</v>
      </c>
      <c r="B117" s="22" t="s">
        <v>267</v>
      </c>
      <c r="C117" s="2">
        <f t="shared" si="20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4" t="s">
        <v>894</v>
      </c>
      <c r="B118" s="54"/>
      <c r="C118" s="2">
        <f>SUM(C119)</f>
        <v>2170164.9699999997</v>
      </c>
      <c r="D118" s="2">
        <f t="shared" ref="D118:U118" si="41">SUM(D119)</f>
        <v>280113.19</v>
      </c>
      <c r="E118" s="2">
        <f t="shared" si="41"/>
        <v>198739.27</v>
      </c>
      <c r="F118" s="2">
        <f t="shared" si="41"/>
        <v>0</v>
      </c>
      <c r="G118" s="2">
        <f t="shared" si="41"/>
        <v>0</v>
      </c>
      <c r="H118" s="2">
        <f t="shared" si="41"/>
        <v>0</v>
      </c>
      <c r="I118" s="2">
        <f t="shared" si="41"/>
        <v>81373.919999999998</v>
      </c>
      <c r="J118" s="2">
        <f t="shared" si="41"/>
        <v>0</v>
      </c>
      <c r="K118" s="14">
        <f t="shared" si="41"/>
        <v>0</v>
      </c>
      <c r="L118" s="2">
        <f t="shared" si="41"/>
        <v>0</v>
      </c>
      <c r="M118" s="2">
        <f t="shared" si="41"/>
        <v>0</v>
      </c>
      <c r="N118" s="2">
        <f t="shared" si="41"/>
        <v>0</v>
      </c>
      <c r="O118" s="2">
        <f t="shared" si="41"/>
        <v>0</v>
      </c>
      <c r="P118" s="2">
        <f t="shared" si="41"/>
        <v>0</v>
      </c>
      <c r="Q118" s="2">
        <f t="shared" si="41"/>
        <v>710</v>
      </c>
      <c r="R118" s="2">
        <f t="shared" si="41"/>
        <v>1743230.17</v>
      </c>
      <c r="S118" s="2">
        <f t="shared" si="41"/>
        <v>0</v>
      </c>
      <c r="T118" s="2">
        <f t="shared" si="41"/>
        <v>0</v>
      </c>
      <c r="U118" s="2">
        <f t="shared" si="41"/>
        <v>146821.60999999999</v>
      </c>
      <c r="V118" s="18">
        <f>C118</f>
        <v>2170164.9699999997</v>
      </c>
    </row>
    <row r="119" spans="1:22" ht="25.15" customHeight="1" x14ac:dyDescent="0.25">
      <c r="A119" s="37" t="s">
        <v>990</v>
      </c>
      <c r="B119" s="22" t="s">
        <v>895</v>
      </c>
      <c r="C119" s="2">
        <f t="shared" si="20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4" t="s">
        <v>372</v>
      </c>
      <c r="B120" s="54"/>
      <c r="C120" s="2">
        <f>SUM(C121:C236)</f>
        <v>305918620.67000008</v>
      </c>
      <c r="D120" s="2">
        <f t="shared" ref="D120:U120" si="42">SUM(D121:D236)</f>
        <v>113103388.14000002</v>
      </c>
      <c r="E120" s="2">
        <f t="shared" si="42"/>
        <v>17706561.520000003</v>
      </c>
      <c r="F120" s="2">
        <f t="shared" si="42"/>
        <v>69731826.920000002</v>
      </c>
      <c r="G120" s="2">
        <f t="shared" si="42"/>
        <v>8199732.6899999995</v>
      </c>
      <c r="H120" s="2">
        <f t="shared" si="42"/>
        <v>10460029.600000001</v>
      </c>
      <c r="I120" s="2">
        <f t="shared" si="42"/>
        <v>7005237.4100000001</v>
      </c>
      <c r="J120" s="2">
        <f t="shared" si="42"/>
        <v>0</v>
      </c>
      <c r="K120" s="14">
        <f t="shared" si="42"/>
        <v>2</v>
      </c>
      <c r="L120" s="2">
        <f t="shared" si="42"/>
        <v>3467713.03</v>
      </c>
      <c r="M120" s="2">
        <f t="shared" si="42"/>
        <v>25419.300000000007</v>
      </c>
      <c r="N120" s="2">
        <f t="shared" si="42"/>
        <v>116337857.07000002</v>
      </c>
      <c r="O120" s="2">
        <f t="shared" si="42"/>
        <v>1032</v>
      </c>
      <c r="P120" s="2">
        <f t="shared" si="42"/>
        <v>1229693.94</v>
      </c>
      <c r="Q120" s="2">
        <f t="shared" si="42"/>
        <v>25327.71</v>
      </c>
      <c r="R120" s="2">
        <f t="shared" si="42"/>
        <v>57600037.990000002</v>
      </c>
      <c r="S120" s="2">
        <f t="shared" si="42"/>
        <v>60982.93</v>
      </c>
      <c r="T120" s="2">
        <f t="shared" si="42"/>
        <v>678303.6</v>
      </c>
      <c r="U120" s="2">
        <f t="shared" si="42"/>
        <v>13440643.969999997</v>
      </c>
      <c r="V120" s="18">
        <f>C120+C425+C865</f>
        <v>2108118585.52</v>
      </c>
    </row>
    <row r="121" spans="1:22" ht="25.15" customHeight="1" x14ac:dyDescent="0.25">
      <c r="A121" s="37" t="s">
        <v>1054</v>
      </c>
      <c r="B121" s="8" t="s">
        <v>464</v>
      </c>
      <c r="C121" s="2">
        <f t="shared" si="20"/>
        <v>3323627.13</v>
      </c>
      <c r="D121" s="3">
        <f t="shared" ref="D121:D174" si="43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44">N121/M121</f>
        <v>4865.2083055975791</v>
      </c>
    </row>
    <row r="122" spans="1:22" ht="25.15" customHeight="1" x14ac:dyDescent="0.25">
      <c r="A122" s="37" t="s">
        <v>1055</v>
      </c>
      <c r="B122" s="8" t="s">
        <v>465</v>
      </c>
      <c r="C122" s="2">
        <f t="shared" ref="C122:C174" si="45">D122+L122+N122+P122+R122+S122+T122+U122</f>
        <v>3234332.3800000004</v>
      </c>
      <c r="D122" s="3">
        <f t="shared" si="43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44"/>
        <v>4998.4420095693786</v>
      </c>
    </row>
    <row r="123" spans="1:22" ht="25.15" customHeight="1" x14ac:dyDescent="0.25">
      <c r="A123" s="37" t="s">
        <v>1056</v>
      </c>
      <c r="B123" s="8" t="s">
        <v>480</v>
      </c>
      <c r="C123" s="2">
        <f t="shared" si="45"/>
        <v>4313501.8099999996</v>
      </c>
      <c r="D123" s="3">
        <f t="shared" si="43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44"/>
        <v>5196.6750368912926</v>
      </c>
    </row>
    <row r="124" spans="1:22" ht="25.15" customHeight="1" x14ac:dyDescent="0.25">
      <c r="A124" s="37" t="s">
        <v>1057</v>
      </c>
      <c r="B124" s="8" t="s">
        <v>422</v>
      </c>
      <c r="C124" s="2">
        <f t="shared" si="45"/>
        <v>163490.91</v>
      </c>
      <c r="D124" s="3">
        <f t="shared" si="43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44"/>
        <v>#DIV/0!</v>
      </c>
    </row>
    <row r="125" spans="1:22" ht="25.15" customHeight="1" x14ac:dyDescent="0.25">
      <c r="A125" s="37" t="s">
        <v>1058</v>
      </c>
      <c r="B125" s="8" t="s">
        <v>481</v>
      </c>
      <c r="C125" s="2">
        <f t="shared" si="45"/>
        <v>5015105.75</v>
      </c>
      <c r="D125" s="3">
        <f t="shared" si="43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44"/>
        <v>5299.9992508710802</v>
      </c>
    </row>
    <row r="126" spans="1:22" ht="25.15" customHeight="1" x14ac:dyDescent="0.25">
      <c r="A126" s="37" t="s">
        <v>1059</v>
      </c>
      <c r="B126" s="8" t="s">
        <v>416</v>
      </c>
      <c r="C126" s="2">
        <f t="shared" si="45"/>
        <v>173076.4</v>
      </c>
      <c r="D126" s="3">
        <f t="shared" si="43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44"/>
        <v>#DIV/0!</v>
      </c>
    </row>
    <row r="127" spans="1:22" ht="25.15" customHeight="1" x14ac:dyDescent="0.25">
      <c r="A127" s="37" t="s">
        <v>1060</v>
      </c>
      <c r="B127" s="23" t="s">
        <v>373</v>
      </c>
      <c r="C127" s="2">
        <f t="shared" si="45"/>
        <v>1822584.59</v>
      </c>
      <c r="D127" s="3">
        <f t="shared" si="43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44"/>
        <v>3913.8824922532094</v>
      </c>
    </row>
    <row r="128" spans="1:22" ht="25.15" customHeight="1" x14ac:dyDescent="0.25">
      <c r="A128" s="37" t="s">
        <v>1061</v>
      </c>
      <c r="B128" s="24" t="s">
        <v>875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5.15" customHeight="1" x14ac:dyDescent="0.25">
      <c r="A129" s="37" t="s">
        <v>1062</v>
      </c>
      <c r="B129" s="24" t="s">
        <v>876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5.15" customHeight="1" x14ac:dyDescent="0.25">
      <c r="A130" s="37" t="s">
        <v>1063</v>
      </c>
      <c r="B130" s="24" t="s">
        <v>877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5.15" customHeight="1" x14ac:dyDescent="0.25">
      <c r="A131" s="37" t="s">
        <v>1064</v>
      </c>
      <c r="B131" s="8" t="s">
        <v>417</v>
      </c>
      <c r="C131" s="2">
        <f t="shared" si="45"/>
        <v>39639.949999999997</v>
      </c>
      <c r="D131" s="3">
        <f t="shared" si="43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44"/>
        <v>#DIV/0!</v>
      </c>
    </row>
    <row r="132" spans="1:22" ht="25.15" customHeight="1" x14ac:dyDescent="0.25">
      <c r="A132" s="37" t="s">
        <v>1065</v>
      </c>
      <c r="B132" s="23" t="s">
        <v>418</v>
      </c>
      <c r="C132" s="2">
        <f t="shared" si="45"/>
        <v>55918.46</v>
      </c>
      <c r="D132" s="3">
        <f t="shared" si="43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44"/>
        <v>#DIV/0!</v>
      </c>
    </row>
    <row r="133" spans="1:22" ht="25.15" customHeight="1" x14ac:dyDescent="0.25">
      <c r="A133" s="37" t="s">
        <v>1066</v>
      </c>
      <c r="B133" s="23" t="s">
        <v>437</v>
      </c>
      <c r="C133" s="2">
        <f t="shared" si="45"/>
        <v>64358.54</v>
      </c>
      <c r="D133" s="3">
        <f t="shared" si="43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44"/>
        <v>#DIV/0!</v>
      </c>
    </row>
    <row r="134" spans="1:22" ht="25.15" customHeight="1" x14ac:dyDescent="0.25">
      <c r="A134" s="37" t="s">
        <v>1067</v>
      </c>
      <c r="B134" s="8" t="s">
        <v>482</v>
      </c>
      <c r="C134" s="2">
        <f t="shared" si="45"/>
        <v>2558331.8400000003</v>
      </c>
      <c r="D134" s="3">
        <f t="shared" si="43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44"/>
        <v>3539.6632843414359</v>
      </c>
    </row>
    <row r="135" spans="1:22" ht="25.15" customHeight="1" x14ac:dyDescent="0.25">
      <c r="A135" s="37" t="s">
        <v>1068</v>
      </c>
      <c r="B135" s="8" t="s">
        <v>483</v>
      </c>
      <c r="C135" s="2">
        <f t="shared" si="45"/>
        <v>53597.85</v>
      </c>
      <c r="D135" s="3">
        <f t="shared" si="43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44"/>
        <v>#DIV/0!</v>
      </c>
    </row>
    <row r="136" spans="1:22" ht="25.15" customHeight="1" x14ac:dyDescent="0.25">
      <c r="A136" s="37" t="s">
        <v>1069</v>
      </c>
      <c r="B136" s="8" t="s">
        <v>484</v>
      </c>
      <c r="C136" s="2">
        <f t="shared" si="45"/>
        <v>68863.03</v>
      </c>
      <c r="D136" s="3">
        <f t="shared" si="43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44"/>
        <v>#DIV/0!</v>
      </c>
    </row>
    <row r="137" spans="1:22" ht="25.15" customHeight="1" x14ac:dyDescent="0.25">
      <c r="A137" s="37" t="s">
        <v>1070</v>
      </c>
      <c r="B137" s="8" t="s">
        <v>466</v>
      </c>
      <c r="C137" s="2">
        <f t="shared" si="45"/>
        <v>84581.04</v>
      </c>
      <c r="D137" s="3">
        <f t="shared" si="43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44"/>
        <v>#DIV/0!</v>
      </c>
    </row>
    <row r="138" spans="1:22" ht="25.15" customHeight="1" x14ac:dyDescent="0.25">
      <c r="A138" s="37" t="s">
        <v>1071</v>
      </c>
      <c r="B138" s="8" t="s">
        <v>485</v>
      </c>
      <c r="C138" s="2">
        <f t="shared" si="45"/>
        <v>41774.69</v>
      </c>
      <c r="D138" s="3">
        <f t="shared" si="43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44"/>
        <v>#DIV/0!</v>
      </c>
    </row>
    <row r="139" spans="1:22" ht="25.15" customHeight="1" x14ac:dyDescent="0.25">
      <c r="A139" s="37" t="s">
        <v>1072</v>
      </c>
      <c r="B139" s="8" t="s">
        <v>410</v>
      </c>
      <c r="C139" s="2">
        <f t="shared" si="45"/>
        <v>95551.6</v>
      </c>
      <c r="D139" s="3">
        <f t="shared" si="43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44"/>
        <v>#DIV/0!</v>
      </c>
    </row>
    <row r="140" spans="1:22" ht="25.15" customHeight="1" x14ac:dyDescent="0.25">
      <c r="A140" s="37" t="s">
        <v>1073</v>
      </c>
      <c r="B140" s="23" t="s">
        <v>467</v>
      </c>
      <c r="C140" s="2">
        <f t="shared" si="45"/>
        <v>108492.72</v>
      </c>
      <c r="D140" s="3">
        <f t="shared" si="43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44"/>
        <v>#DIV/0!</v>
      </c>
    </row>
    <row r="141" spans="1:22" ht="25.15" customHeight="1" x14ac:dyDescent="0.25">
      <c r="A141" s="37" t="s">
        <v>1074</v>
      </c>
      <c r="B141" s="8" t="s">
        <v>382</v>
      </c>
      <c r="C141" s="2">
        <f t="shared" si="45"/>
        <v>3164401.52</v>
      </c>
      <c r="D141" s="3">
        <f t="shared" si="43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44"/>
        <v>5646.1239223134653</v>
      </c>
    </row>
    <row r="142" spans="1:22" ht="25.15" customHeight="1" x14ac:dyDescent="0.25">
      <c r="A142" s="37" t="s">
        <v>1075</v>
      </c>
      <c r="B142" s="8" t="s">
        <v>486</v>
      </c>
      <c r="C142" s="2">
        <f t="shared" si="45"/>
        <v>2763011.6300000004</v>
      </c>
      <c r="D142" s="3">
        <f t="shared" si="43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44"/>
        <v>5299.9767752583803</v>
      </c>
    </row>
    <row r="143" spans="1:22" ht="25.15" customHeight="1" x14ac:dyDescent="0.25">
      <c r="A143" s="37" t="s">
        <v>1076</v>
      </c>
      <c r="B143" s="8" t="s">
        <v>487</v>
      </c>
      <c r="C143" s="2">
        <f t="shared" si="45"/>
        <v>1935029.82</v>
      </c>
      <c r="D143" s="3">
        <f t="shared" si="43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44"/>
        <v>4350.7331244196839</v>
      </c>
    </row>
    <row r="144" spans="1:22" ht="25.15" customHeight="1" x14ac:dyDescent="0.25">
      <c r="A144" s="37" t="s">
        <v>1077</v>
      </c>
      <c r="B144" s="8" t="s">
        <v>451</v>
      </c>
      <c r="C144" s="2">
        <f t="shared" si="45"/>
        <v>1988523.26</v>
      </c>
      <c r="D144" s="3">
        <f t="shared" si="43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44"/>
        <v>5049.2714566156255</v>
      </c>
    </row>
    <row r="145" spans="1:22" ht="25.15" customHeight="1" x14ac:dyDescent="0.25">
      <c r="A145" s="37" t="s">
        <v>1078</v>
      </c>
      <c r="B145" s="8" t="s">
        <v>488</v>
      </c>
      <c r="C145" s="2">
        <f t="shared" si="45"/>
        <v>1313592.3500000001</v>
      </c>
      <c r="D145" s="3">
        <f t="shared" si="43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44"/>
        <v>4497.1620751341679</v>
      </c>
    </row>
    <row r="146" spans="1:22" ht="25.15" customHeight="1" x14ac:dyDescent="0.25">
      <c r="A146" s="37" t="s">
        <v>1079</v>
      </c>
      <c r="B146" s="8" t="s">
        <v>489</v>
      </c>
      <c r="C146" s="2">
        <f t="shared" si="45"/>
        <v>1315989.95</v>
      </c>
      <c r="D146" s="3">
        <f t="shared" si="43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44"/>
        <v>4513.8150537634401</v>
      </c>
    </row>
    <row r="147" spans="1:22" ht="25.15" customHeight="1" x14ac:dyDescent="0.25">
      <c r="A147" s="37" t="s">
        <v>1080</v>
      </c>
      <c r="B147" s="8" t="s">
        <v>429</v>
      </c>
      <c r="C147" s="2">
        <f t="shared" si="45"/>
        <v>58699.22</v>
      </c>
      <c r="D147" s="3">
        <f t="shared" si="43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44"/>
        <v>#DIV/0!</v>
      </c>
    </row>
    <row r="148" spans="1:22" ht="25.15" customHeight="1" x14ac:dyDescent="0.25">
      <c r="A148" s="37" t="s">
        <v>1081</v>
      </c>
      <c r="B148" s="8" t="s">
        <v>430</v>
      </c>
      <c r="C148" s="2">
        <f t="shared" si="45"/>
        <v>44647.56</v>
      </c>
      <c r="D148" s="3">
        <f t="shared" si="43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44"/>
        <v>#DIV/0!</v>
      </c>
    </row>
    <row r="149" spans="1:22" ht="25.15" customHeight="1" x14ac:dyDescent="0.25">
      <c r="A149" s="37" t="s">
        <v>1082</v>
      </c>
      <c r="B149" s="8" t="s">
        <v>387</v>
      </c>
      <c r="C149" s="2">
        <f t="shared" si="45"/>
        <v>47629.84</v>
      </c>
      <c r="D149" s="3">
        <f t="shared" si="43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44"/>
        <v>#DIV/0!</v>
      </c>
    </row>
    <row r="150" spans="1:22" ht="25.15" customHeight="1" x14ac:dyDescent="0.25">
      <c r="A150" s="37" t="s">
        <v>1083</v>
      </c>
      <c r="B150" s="8" t="s">
        <v>668</v>
      </c>
      <c r="C150" s="2">
        <f t="shared" si="45"/>
        <v>46183.66</v>
      </c>
      <c r="D150" s="3">
        <f t="shared" si="43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44"/>
        <v>#DIV/0!</v>
      </c>
    </row>
    <row r="151" spans="1:22" ht="25.15" customHeight="1" x14ac:dyDescent="0.25">
      <c r="A151" s="37" t="s">
        <v>1084</v>
      </c>
      <c r="B151" s="8" t="s">
        <v>438</v>
      </c>
      <c r="C151" s="2">
        <f t="shared" si="45"/>
        <v>2465982.14</v>
      </c>
      <c r="D151" s="3">
        <f t="shared" si="43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44"/>
        <v>#DIV/0!</v>
      </c>
    </row>
    <row r="152" spans="1:22" ht="25.15" customHeight="1" x14ac:dyDescent="0.25">
      <c r="A152" s="37" t="s">
        <v>1085</v>
      </c>
      <c r="B152" s="8" t="s">
        <v>452</v>
      </c>
      <c r="C152" s="2">
        <f t="shared" si="45"/>
        <v>2191313.1800000002</v>
      </c>
      <c r="D152" s="3">
        <f t="shared" si="43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44"/>
        <v>#DIV/0!</v>
      </c>
    </row>
    <row r="153" spans="1:22" ht="25.15" customHeight="1" x14ac:dyDescent="0.25">
      <c r="A153" s="37" t="s">
        <v>1086</v>
      </c>
      <c r="B153" s="23" t="s">
        <v>379</v>
      </c>
      <c r="C153" s="2">
        <f t="shared" si="45"/>
        <v>18021469.080000002</v>
      </c>
      <c r="D153" s="3">
        <f t="shared" si="43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44"/>
        <v>#DIV/0!</v>
      </c>
    </row>
    <row r="154" spans="1:22" ht="25.15" customHeight="1" x14ac:dyDescent="0.25">
      <c r="A154" s="37" t="s">
        <v>1087</v>
      </c>
      <c r="B154" s="24" t="s">
        <v>882</v>
      </c>
      <c r="C154" s="2">
        <f t="shared" si="45"/>
        <v>11052597.710000001</v>
      </c>
      <c r="D154" s="3">
        <f t="shared" si="43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44"/>
        <v>5271.9676259890675</v>
      </c>
    </row>
    <row r="155" spans="1:22" ht="25.15" customHeight="1" x14ac:dyDescent="0.25">
      <c r="A155" s="37" t="s">
        <v>1088</v>
      </c>
      <c r="B155" s="24" t="s">
        <v>884</v>
      </c>
      <c r="C155" s="2">
        <f t="shared" si="45"/>
        <v>4233066</v>
      </c>
      <c r="D155" s="3">
        <f t="shared" si="43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44"/>
        <v>5298.8277008310251</v>
      </c>
    </row>
    <row r="156" spans="1:22" ht="25.15" customHeight="1" x14ac:dyDescent="0.25">
      <c r="A156" s="37" t="s">
        <v>1089</v>
      </c>
      <c r="B156" s="23" t="s">
        <v>442</v>
      </c>
      <c r="C156" s="2">
        <f t="shared" si="45"/>
        <v>5449604.25</v>
      </c>
      <c r="D156" s="3">
        <f t="shared" si="43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44"/>
        <v>4592.1469103190002</v>
      </c>
    </row>
    <row r="157" spans="1:22" ht="25.15" customHeight="1" x14ac:dyDescent="0.25">
      <c r="A157" s="37" t="s">
        <v>1090</v>
      </c>
      <c r="B157" s="23" t="s">
        <v>419</v>
      </c>
      <c r="C157" s="2">
        <f t="shared" si="45"/>
        <v>57604.23</v>
      </c>
      <c r="D157" s="3">
        <f t="shared" si="43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44"/>
        <v>#DIV/0!</v>
      </c>
    </row>
    <row r="158" spans="1:22" ht="25.15" customHeight="1" x14ac:dyDescent="0.25">
      <c r="A158" s="37" t="s">
        <v>1091</v>
      </c>
      <c r="B158" s="23" t="s">
        <v>423</v>
      </c>
      <c r="C158" s="2">
        <f t="shared" si="45"/>
        <v>57288.18</v>
      </c>
      <c r="D158" s="3">
        <f t="shared" si="43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44"/>
        <v>#DIV/0!</v>
      </c>
    </row>
    <row r="159" spans="1:22" ht="25.15" customHeight="1" x14ac:dyDescent="0.25">
      <c r="A159" s="37" t="s">
        <v>1092</v>
      </c>
      <c r="B159" s="23" t="s">
        <v>453</v>
      </c>
      <c r="C159" s="2">
        <f t="shared" si="45"/>
        <v>47015.32</v>
      </c>
      <c r="D159" s="3">
        <f t="shared" si="43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44"/>
        <v>#DIV/0!</v>
      </c>
    </row>
    <row r="160" spans="1:22" ht="25.15" customHeight="1" x14ac:dyDescent="0.25">
      <c r="A160" s="37" t="s">
        <v>1093</v>
      </c>
      <c r="B160" s="8" t="s">
        <v>403</v>
      </c>
      <c r="C160" s="2">
        <f t="shared" si="45"/>
        <v>43169.63</v>
      </c>
      <c r="D160" s="3">
        <f t="shared" si="43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44"/>
        <v>#DIV/0!</v>
      </c>
    </row>
    <row r="161" spans="1:22" ht="25.15" customHeight="1" x14ac:dyDescent="0.25">
      <c r="A161" s="37" t="s">
        <v>1094</v>
      </c>
      <c r="B161" s="8" t="s">
        <v>404</v>
      </c>
      <c r="C161" s="2">
        <f t="shared" si="45"/>
        <v>44381.3</v>
      </c>
      <c r="D161" s="3">
        <f t="shared" si="43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44"/>
        <v>#DIV/0!</v>
      </c>
    </row>
    <row r="162" spans="1:22" ht="25.15" customHeight="1" x14ac:dyDescent="0.25">
      <c r="A162" s="37" t="s">
        <v>1095</v>
      </c>
      <c r="B162" s="8" t="s">
        <v>405</v>
      </c>
      <c r="C162" s="2">
        <f t="shared" si="45"/>
        <v>42168.68</v>
      </c>
      <c r="D162" s="3">
        <f t="shared" si="43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44"/>
        <v>#DIV/0!</v>
      </c>
    </row>
    <row r="163" spans="1:22" ht="25.15" customHeight="1" x14ac:dyDescent="0.25">
      <c r="A163" s="37" t="s">
        <v>1096</v>
      </c>
      <c r="B163" s="8" t="s">
        <v>402</v>
      </c>
      <c r="C163" s="2">
        <f t="shared" si="45"/>
        <v>44381.3</v>
      </c>
      <c r="D163" s="3">
        <f t="shared" si="43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44"/>
        <v>#DIV/0!</v>
      </c>
    </row>
    <row r="164" spans="1:22" ht="25.15" customHeight="1" x14ac:dyDescent="0.25">
      <c r="A164" s="37" t="s">
        <v>1097</v>
      </c>
      <c r="B164" s="8" t="s">
        <v>493</v>
      </c>
      <c r="C164" s="2">
        <f t="shared" si="45"/>
        <v>24442991.599999998</v>
      </c>
      <c r="D164" s="3">
        <f t="shared" si="43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44"/>
        <v>2949.1103359971739</v>
      </c>
    </row>
    <row r="165" spans="1:22" ht="25.15" customHeight="1" x14ac:dyDescent="0.25">
      <c r="A165" s="37" t="s">
        <v>1098</v>
      </c>
      <c r="B165" s="24" t="s">
        <v>900</v>
      </c>
      <c r="C165" s="2">
        <f t="shared" si="45"/>
        <v>1845974.65</v>
      </c>
      <c r="D165" s="3">
        <f t="shared" si="43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44"/>
        <v>4651.1755102040815</v>
      </c>
    </row>
    <row r="166" spans="1:22" ht="25.15" customHeight="1" x14ac:dyDescent="0.25">
      <c r="A166" s="37" t="s">
        <v>1099</v>
      </c>
      <c r="B166" s="8" t="s">
        <v>454</v>
      </c>
      <c r="C166" s="2">
        <f t="shared" si="45"/>
        <v>60640.68</v>
      </c>
      <c r="D166" s="3">
        <f t="shared" si="43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44"/>
        <v>#DIV/0!</v>
      </c>
    </row>
    <row r="167" spans="1:22" ht="25.15" customHeight="1" x14ac:dyDescent="0.25">
      <c r="A167" s="37" t="s">
        <v>1100</v>
      </c>
      <c r="B167" s="8" t="s">
        <v>443</v>
      </c>
      <c r="C167" s="2">
        <f t="shared" si="45"/>
        <v>21399145.73</v>
      </c>
      <c r="D167" s="3">
        <f t="shared" si="43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46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44"/>
        <v>#DIV/0!</v>
      </c>
    </row>
    <row r="168" spans="1:22" ht="25.15" customHeight="1" x14ac:dyDescent="0.25">
      <c r="A168" s="37" t="s">
        <v>1101</v>
      </c>
      <c r="B168" s="8" t="s">
        <v>432</v>
      </c>
      <c r="C168" s="2">
        <f t="shared" si="45"/>
        <v>128639.99</v>
      </c>
      <c r="D168" s="3">
        <f t="shared" si="43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46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44"/>
        <v>#DIV/0!</v>
      </c>
    </row>
    <row r="169" spans="1:22" ht="25.15" customHeight="1" x14ac:dyDescent="0.25">
      <c r="A169" s="37" t="s">
        <v>991</v>
      </c>
      <c r="B169" s="8" t="s">
        <v>424</v>
      </c>
      <c r="C169" s="2">
        <f t="shared" si="45"/>
        <v>200000</v>
      </c>
      <c r="D169" s="3">
        <f t="shared" si="43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46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44"/>
        <v>#DIV/0!</v>
      </c>
    </row>
    <row r="170" spans="1:22" ht="25.15" customHeight="1" x14ac:dyDescent="0.25">
      <c r="A170" s="37" t="s">
        <v>992</v>
      </c>
      <c r="B170" s="8" t="s">
        <v>411</v>
      </c>
      <c r="C170" s="2">
        <f t="shared" si="45"/>
        <v>2315708.7499999995</v>
      </c>
      <c r="D170" s="3">
        <f t="shared" si="43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46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44"/>
        <v>#DIV/0!</v>
      </c>
    </row>
    <row r="171" spans="1:22" ht="25.15" customHeight="1" x14ac:dyDescent="0.25">
      <c r="A171" s="37" t="s">
        <v>1102</v>
      </c>
      <c r="B171" s="8" t="s">
        <v>425</v>
      </c>
      <c r="C171" s="2">
        <f t="shared" si="45"/>
        <v>200000</v>
      </c>
      <c r="D171" s="3">
        <f t="shared" si="43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46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44"/>
        <v>#DIV/0!</v>
      </c>
    </row>
    <row r="172" spans="1:22" ht="25.15" customHeight="1" x14ac:dyDescent="0.25">
      <c r="A172" s="37" t="s">
        <v>993</v>
      </c>
      <c r="B172" s="8" t="s">
        <v>431</v>
      </c>
      <c r="C172" s="2">
        <f t="shared" si="45"/>
        <v>128923.69</v>
      </c>
      <c r="D172" s="3">
        <f t="shared" si="43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46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44"/>
        <v>#DIV/0!</v>
      </c>
    </row>
    <row r="173" spans="1:22" ht="25.15" customHeight="1" x14ac:dyDescent="0.25">
      <c r="A173" s="37" t="s">
        <v>994</v>
      </c>
      <c r="B173" s="8" t="s">
        <v>468</v>
      </c>
      <c r="C173" s="2">
        <f t="shared" si="45"/>
        <v>6825610.0200000005</v>
      </c>
      <c r="D173" s="3">
        <f t="shared" si="43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44"/>
        <v>#DIV/0!</v>
      </c>
    </row>
    <row r="174" spans="1:22" ht="25.15" customHeight="1" x14ac:dyDescent="0.25">
      <c r="A174" s="37" t="s">
        <v>1103</v>
      </c>
      <c r="B174" s="8" t="s">
        <v>391</v>
      </c>
      <c r="C174" s="2">
        <f t="shared" si="45"/>
        <v>200000</v>
      </c>
      <c r="D174" s="3">
        <f t="shared" si="43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44"/>
        <v>#DIV/0!</v>
      </c>
    </row>
    <row r="175" spans="1:22" ht="25.15" customHeight="1" x14ac:dyDescent="0.25">
      <c r="A175" s="37" t="s">
        <v>1104</v>
      </c>
      <c r="B175" s="23" t="s">
        <v>434</v>
      </c>
      <c r="C175" s="2">
        <f t="shared" ref="C175:C210" si="47">D175+L175+N175+P175+R175+S175+T175+U175</f>
        <v>200000</v>
      </c>
      <c r="D175" s="3">
        <f t="shared" ref="D175:D209" si="48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49">N175/M175</f>
        <v>#DIV/0!</v>
      </c>
    </row>
    <row r="176" spans="1:22" ht="25.15" customHeight="1" x14ac:dyDescent="0.25">
      <c r="A176" s="37" t="s">
        <v>1105</v>
      </c>
      <c r="B176" s="8" t="s">
        <v>469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49"/>
        <v>4537.3351607276354</v>
      </c>
    </row>
    <row r="177" spans="1:22" ht="25.15" customHeight="1" x14ac:dyDescent="0.25">
      <c r="A177" s="37" t="s">
        <v>1106</v>
      </c>
      <c r="B177" s="8" t="s">
        <v>455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49"/>
        <v>#DIV/0!</v>
      </c>
    </row>
    <row r="178" spans="1:22" ht="25.15" customHeight="1" x14ac:dyDescent="0.25">
      <c r="A178" s="37" t="s">
        <v>1107</v>
      </c>
      <c r="B178" s="8" t="s">
        <v>456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49"/>
        <v>#DIV/0!</v>
      </c>
    </row>
    <row r="179" spans="1:22" ht="25.15" customHeight="1" x14ac:dyDescent="0.25">
      <c r="A179" s="37" t="s">
        <v>1108</v>
      </c>
      <c r="B179" s="23" t="s">
        <v>439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49"/>
        <v>4332.3694015748033</v>
      </c>
    </row>
    <row r="180" spans="1:22" ht="25.15" customHeight="1" x14ac:dyDescent="0.25">
      <c r="A180" s="37" t="s">
        <v>1109</v>
      </c>
      <c r="B180" s="8" t="s">
        <v>412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49"/>
        <v>#DIV/0!</v>
      </c>
    </row>
    <row r="181" spans="1:22" ht="25.15" customHeight="1" x14ac:dyDescent="0.25">
      <c r="A181" s="37" t="s">
        <v>1110</v>
      </c>
      <c r="B181" s="8" t="s">
        <v>470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49"/>
        <v>#DIV/0!</v>
      </c>
    </row>
    <row r="182" spans="1:22" ht="25.15" customHeight="1" x14ac:dyDescent="0.25">
      <c r="A182" s="37" t="s">
        <v>1111</v>
      </c>
      <c r="B182" s="8" t="s">
        <v>440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49"/>
        <v>#DIV/0!</v>
      </c>
    </row>
    <row r="183" spans="1:22" ht="25.15" customHeight="1" x14ac:dyDescent="0.25">
      <c r="A183" s="37" t="s">
        <v>995</v>
      </c>
      <c r="B183" s="23" t="s">
        <v>471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49"/>
        <v>5115.7037556942187</v>
      </c>
    </row>
    <row r="184" spans="1:22" ht="25.15" customHeight="1" x14ac:dyDescent="0.25">
      <c r="A184" s="37" t="s">
        <v>1112</v>
      </c>
      <c r="B184" s="24" t="s">
        <v>889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5.15" customHeight="1" x14ac:dyDescent="0.25">
      <c r="A185" s="37" t="s">
        <v>1113</v>
      </c>
      <c r="B185" s="23" t="s">
        <v>385</v>
      </c>
      <c r="C185" s="2">
        <f t="shared" si="47"/>
        <v>78903.490000000005</v>
      </c>
      <c r="D185" s="3">
        <f t="shared" si="48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49"/>
        <v>#DIV/0!</v>
      </c>
    </row>
    <row r="186" spans="1:22" ht="25.15" customHeight="1" x14ac:dyDescent="0.25">
      <c r="A186" s="37" t="s">
        <v>1114</v>
      </c>
      <c r="B186" s="8" t="s">
        <v>380</v>
      </c>
      <c r="C186" s="2">
        <f t="shared" si="47"/>
        <v>65980.28</v>
      </c>
      <c r="D186" s="3">
        <f t="shared" si="48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49"/>
        <v>#DIV/0!</v>
      </c>
    </row>
    <row r="187" spans="1:22" ht="25.15" customHeight="1" x14ac:dyDescent="0.25">
      <c r="A187" s="37" t="s">
        <v>1115</v>
      </c>
      <c r="B187" s="8" t="s">
        <v>393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0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5.15" customHeight="1" x14ac:dyDescent="0.25">
      <c r="A188" s="37" t="s">
        <v>1116</v>
      </c>
      <c r="B188" s="8" t="s">
        <v>492</v>
      </c>
      <c r="C188" s="2">
        <f t="shared" si="47"/>
        <v>11697685.68</v>
      </c>
      <c r="D188" s="3">
        <f t="shared" si="48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0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49"/>
        <v>4614.2002518597983</v>
      </c>
    </row>
    <row r="189" spans="1:22" ht="25.15" customHeight="1" x14ac:dyDescent="0.25">
      <c r="A189" s="37" t="s">
        <v>1117</v>
      </c>
      <c r="B189" s="8" t="s">
        <v>887</v>
      </c>
      <c r="C189" s="2">
        <f t="shared" si="47"/>
        <v>367317.96</v>
      </c>
      <c r="D189" s="3">
        <f t="shared" si="48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0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49"/>
        <v>#DIV/0!</v>
      </c>
    </row>
    <row r="190" spans="1:22" ht="25.15" customHeight="1" x14ac:dyDescent="0.25">
      <c r="A190" s="37" t="s">
        <v>1118</v>
      </c>
      <c r="B190" s="8" t="s">
        <v>908</v>
      </c>
      <c r="C190" s="2">
        <f t="shared" si="47"/>
        <v>13956660.52</v>
      </c>
      <c r="D190" s="3">
        <f t="shared" si="48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0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49"/>
        <v>#DIV/0!</v>
      </c>
    </row>
    <row r="191" spans="1:22" ht="25.15" customHeight="1" x14ac:dyDescent="0.25">
      <c r="A191" s="37" t="s">
        <v>1119</v>
      </c>
      <c r="B191" s="8" t="s">
        <v>388</v>
      </c>
      <c r="C191" s="2">
        <f t="shared" si="47"/>
        <v>200000</v>
      </c>
      <c r="D191" s="3">
        <f t="shared" si="48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0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49"/>
        <v>#DIV/0!</v>
      </c>
    </row>
    <row r="192" spans="1:22" ht="25.15" customHeight="1" x14ac:dyDescent="0.25">
      <c r="A192" s="37" t="s">
        <v>1120</v>
      </c>
      <c r="B192" s="8" t="s">
        <v>383</v>
      </c>
      <c r="C192" s="2">
        <f t="shared" si="47"/>
        <v>186810.04</v>
      </c>
      <c r="D192" s="3">
        <f t="shared" si="48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0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49"/>
        <v>#DIV/0!</v>
      </c>
    </row>
    <row r="193" spans="1:22" ht="25.15" customHeight="1" x14ac:dyDescent="0.25">
      <c r="A193" s="37" t="s">
        <v>1121</v>
      </c>
      <c r="B193" s="24" t="s">
        <v>883</v>
      </c>
      <c r="C193" s="2">
        <f t="shared" si="47"/>
        <v>4548983.59</v>
      </c>
      <c r="D193" s="3">
        <f t="shared" si="48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49"/>
        <v>3641.6797598870057</v>
      </c>
    </row>
    <row r="194" spans="1:22" ht="25.15" customHeight="1" x14ac:dyDescent="0.25">
      <c r="A194" s="37" t="s">
        <v>1122</v>
      </c>
      <c r="B194" s="8" t="s">
        <v>495</v>
      </c>
      <c r="C194" s="2">
        <f t="shared" si="47"/>
        <v>4309443.47</v>
      </c>
      <c r="D194" s="3">
        <f t="shared" si="48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49"/>
        <v>#DIV/0!</v>
      </c>
    </row>
    <row r="195" spans="1:22" ht="25.15" customHeight="1" x14ac:dyDescent="0.25">
      <c r="A195" s="37" t="s">
        <v>1123</v>
      </c>
      <c r="B195" s="8" t="s">
        <v>457</v>
      </c>
      <c r="C195" s="2">
        <f t="shared" si="47"/>
        <v>80998.289999999994</v>
      </c>
      <c r="D195" s="3">
        <f t="shared" si="48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49"/>
        <v>#DIV/0!</v>
      </c>
    </row>
    <row r="196" spans="1:22" ht="25.15" customHeight="1" x14ac:dyDescent="0.25">
      <c r="A196" s="37" t="s">
        <v>1124</v>
      </c>
      <c r="B196" s="8" t="s">
        <v>909</v>
      </c>
      <c r="C196" s="2">
        <f t="shared" si="47"/>
        <v>268000</v>
      </c>
      <c r="D196" s="3">
        <f t="shared" si="48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49"/>
        <v>#DIV/0!</v>
      </c>
    </row>
    <row r="197" spans="1:22" ht="25.15" customHeight="1" x14ac:dyDescent="0.25">
      <c r="A197" s="37" t="s">
        <v>1125</v>
      </c>
      <c r="B197" s="8" t="s">
        <v>399</v>
      </c>
      <c r="C197" s="2">
        <f t="shared" si="47"/>
        <v>200000</v>
      </c>
      <c r="D197" s="3">
        <f t="shared" si="48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49"/>
        <v>#DIV/0!</v>
      </c>
    </row>
    <row r="198" spans="1:22" ht="25.15" customHeight="1" x14ac:dyDescent="0.25">
      <c r="A198" s="37" t="s">
        <v>1126</v>
      </c>
      <c r="B198" s="24" t="s">
        <v>874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5.15" customHeight="1" x14ac:dyDescent="0.25">
      <c r="A199" s="37" t="s">
        <v>1127</v>
      </c>
      <c r="B199" s="8" t="s">
        <v>473</v>
      </c>
      <c r="C199" s="2">
        <f t="shared" si="47"/>
        <v>2317624.1</v>
      </c>
      <c r="D199" s="3">
        <f t="shared" si="48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49"/>
        <v>4978.1390728476817</v>
      </c>
    </row>
    <row r="200" spans="1:22" ht="25.15" customHeight="1" x14ac:dyDescent="0.25">
      <c r="A200" s="37" t="s">
        <v>1128</v>
      </c>
      <c r="B200" s="8" t="s">
        <v>474</v>
      </c>
      <c r="C200" s="2">
        <f t="shared" si="47"/>
        <v>1057534.19</v>
      </c>
      <c r="D200" s="3">
        <f t="shared" si="48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49"/>
        <v>4026.9552695092516</v>
      </c>
    </row>
    <row r="201" spans="1:22" ht="25.15" customHeight="1" x14ac:dyDescent="0.25">
      <c r="A201" s="37" t="s">
        <v>1129</v>
      </c>
      <c r="B201" s="8" t="s">
        <v>490</v>
      </c>
      <c r="C201" s="2">
        <f t="shared" si="47"/>
        <v>3327672.9299999997</v>
      </c>
      <c r="D201" s="3">
        <f t="shared" si="48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49"/>
        <v>5134.7432423917835</v>
      </c>
    </row>
    <row r="202" spans="1:22" ht="25.15" customHeight="1" x14ac:dyDescent="0.25">
      <c r="A202" s="37" t="s">
        <v>1130</v>
      </c>
      <c r="B202" s="8" t="s">
        <v>420</v>
      </c>
      <c r="C202" s="2">
        <f t="shared" si="47"/>
        <v>2462464.0900000003</v>
      </c>
      <c r="D202" s="3">
        <f t="shared" si="48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49"/>
        <v>#DIV/0!</v>
      </c>
    </row>
    <row r="203" spans="1:22" ht="25.15" customHeight="1" x14ac:dyDescent="0.25">
      <c r="A203" s="37" t="s">
        <v>1131</v>
      </c>
      <c r="B203" s="24" t="s">
        <v>910</v>
      </c>
      <c r="C203" s="2">
        <f t="shared" si="47"/>
        <v>117294.52</v>
      </c>
      <c r="D203" s="3">
        <f t="shared" si="48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49"/>
        <v>#DIV/0!</v>
      </c>
    </row>
    <row r="204" spans="1:22" ht="25.15" customHeight="1" x14ac:dyDescent="0.25">
      <c r="A204" s="37" t="s">
        <v>1132</v>
      </c>
      <c r="B204" s="8" t="s">
        <v>409</v>
      </c>
      <c r="C204" s="2">
        <f t="shared" si="47"/>
        <v>58789.59</v>
      </c>
      <c r="D204" s="3">
        <f t="shared" si="48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49"/>
        <v>#DIV/0!</v>
      </c>
    </row>
    <row r="205" spans="1:22" ht="25.15" customHeight="1" x14ac:dyDescent="0.25">
      <c r="A205" s="37" t="s">
        <v>996</v>
      </c>
      <c r="B205" s="8" t="s">
        <v>394</v>
      </c>
      <c r="C205" s="2">
        <f t="shared" si="47"/>
        <v>2630727.2000000002</v>
      </c>
      <c r="D205" s="3">
        <f t="shared" si="48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49"/>
        <v>#DIV/0!</v>
      </c>
    </row>
    <row r="206" spans="1:22" ht="25.15" customHeight="1" x14ac:dyDescent="0.25">
      <c r="A206" s="37" t="s">
        <v>1133</v>
      </c>
      <c r="B206" s="8" t="s">
        <v>491</v>
      </c>
      <c r="C206" s="2">
        <f t="shared" si="47"/>
        <v>20198852.490000002</v>
      </c>
      <c r="D206" s="3">
        <f t="shared" si="48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49"/>
        <v>4840.0854947869029</v>
      </c>
    </row>
    <row r="207" spans="1:22" ht="25.15" customHeight="1" x14ac:dyDescent="0.25">
      <c r="A207" s="37" t="s">
        <v>1134</v>
      </c>
      <c r="B207" s="8" t="s">
        <v>809</v>
      </c>
      <c r="C207" s="2">
        <f t="shared" si="47"/>
        <v>3611336.3299999996</v>
      </c>
      <c r="D207" s="3">
        <f t="shared" si="48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49"/>
        <v>#DIV/0!</v>
      </c>
    </row>
    <row r="208" spans="1:22" ht="25.15" customHeight="1" x14ac:dyDescent="0.25">
      <c r="A208" s="37" t="s">
        <v>1135</v>
      </c>
      <c r="B208" s="8" t="s">
        <v>401</v>
      </c>
      <c r="C208" s="2">
        <f t="shared" si="47"/>
        <v>2281426.62</v>
      </c>
      <c r="D208" s="3">
        <f t="shared" si="48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49"/>
        <v>#DIV/0!</v>
      </c>
    </row>
    <row r="209" spans="1:22" ht="25.15" customHeight="1" x14ac:dyDescent="0.25">
      <c r="A209" s="37" t="s">
        <v>1136</v>
      </c>
      <c r="B209" s="24" t="s">
        <v>866</v>
      </c>
      <c r="C209" s="2">
        <f t="shared" si="47"/>
        <v>3226159.2</v>
      </c>
      <c r="D209" s="3">
        <f t="shared" si="48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49"/>
        <v>#DIV/0!</v>
      </c>
    </row>
    <row r="210" spans="1:22" ht="25.15" customHeight="1" x14ac:dyDescent="0.25">
      <c r="A210" s="37" t="s">
        <v>1137</v>
      </c>
      <c r="B210" s="24" t="s">
        <v>888</v>
      </c>
      <c r="C210" s="2">
        <f t="shared" si="47"/>
        <v>3368829.6</v>
      </c>
      <c r="D210" s="3">
        <f t="shared" ref="D210:D236" si="51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49"/>
        <v>2177.779961342289</v>
      </c>
    </row>
    <row r="211" spans="1:22" ht="25.15" customHeight="1" x14ac:dyDescent="0.25">
      <c r="A211" s="37" t="s">
        <v>1138</v>
      </c>
      <c r="B211" s="24" t="s">
        <v>886</v>
      </c>
      <c r="C211" s="2">
        <f t="shared" ref="C211:C260" si="52">D211+L211+N211+P211+R211+S211+T211+U211</f>
        <v>4094363</v>
      </c>
      <c r="D211" s="3">
        <f t="shared" si="51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49"/>
        <v>#DIV/0!</v>
      </c>
    </row>
    <row r="212" spans="1:22" ht="25.15" customHeight="1" x14ac:dyDescent="0.25">
      <c r="A212" s="37" t="s">
        <v>1139</v>
      </c>
      <c r="B212" s="8" t="s">
        <v>435</v>
      </c>
      <c r="C212" s="2">
        <f t="shared" si="52"/>
        <v>338823.02999999997</v>
      </c>
      <c r="D212" s="3">
        <f t="shared" si="51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53">N212/M212</f>
        <v>#DIV/0!</v>
      </c>
    </row>
    <row r="213" spans="1:22" ht="25.15" customHeight="1" x14ac:dyDescent="0.25">
      <c r="A213" s="37" t="s">
        <v>1140</v>
      </c>
      <c r="B213" s="8" t="s">
        <v>441</v>
      </c>
      <c r="C213" s="2">
        <f t="shared" si="52"/>
        <v>1100401.56</v>
      </c>
      <c r="D213" s="3">
        <f t="shared" si="51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53"/>
        <v>4021.7486725663721</v>
      </c>
    </row>
    <row r="214" spans="1:22" ht="25.15" customHeight="1" x14ac:dyDescent="0.25">
      <c r="A214" s="37" t="s">
        <v>1141</v>
      </c>
      <c r="B214" s="8" t="s">
        <v>445</v>
      </c>
      <c r="C214" s="2">
        <f t="shared" si="52"/>
        <v>99358.51</v>
      </c>
      <c r="D214" s="3">
        <f t="shared" si="51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53"/>
        <v>#DIV/0!</v>
      </c>
    </row>
    <row r="215" spans="1:22" ht="25.15" customHeight="1" x14ac:dyDescent="0.25">
      <c r="A215" s="37" t="s">
        <v>1142</v>
      </c>
      <c r="B215" s="8" t="s">
        <v>426</v>
      </c>
      <c r="C215" s="2">
        <f t="shared" si="52"/>
        <v>104881.83</v>
      </c>
      <c r="D215" s="3">
        <f t="shared" si="51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53"/>
        <v>#DIV/0!</v>
      </c>
    </row>
    <row r="216" spans="1:22" ht="25.15" customHeight="1" x14ac:dyDescent="0.25">
      <c r="A216" s="37" t="s">
        <v>1143</v>
      </c>
      <c r="B216" s="23" t="s">
        <v>446</v>
      </c>
      <c r="C216" s="2">
        <f t="shared" si="52"/>
        <v>6160573.5499999998</v>
      </c>
      <c r="D216" s="3">
        <f t="shared" si="51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53"/>
        <v>5034.6326649471666</v>
      </c>
    </row>
    <row r="217" spans="1:22" ht="25.15" customHeight="1" x14ac:dyDescent="0.25">
      <c r="A217" s="37" t="s">
        <v>1144</v>
      </c>
      <c r="B217" s="8" t="s">
        <v>475</v>
      </c>
      <c r="C217" s="2">
        <f t="shared" si="52"/>
        <v>3600310.75</v>
      </c>
      <c r="D217" s="3">
        <f t="shared" si="51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53"/>
        <v>5101.9482407676651</v>
      </c>
    </row>
    <row r="218" spans="1:22" ht="25.15" customHeight="1" x14ac:dyDescent="0.25">
      <c r="A218" s="37" t="s">
        <v>997</v>
      </c>
      <c r="B218" s="8" t="s">
        <v>395</v>
      </c>
      <c r="C218" s="2">
        <f t="shared" si="52"/>
        <v>164909.60999999999</v>
      </c>
      <c r="D218" s="3">
        <f t="shared" si="51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53"/>
        <v>#DIV/0!</v>
      </c>
    </row>
    <row r="219" spans="1:22" ht="25.15" customHeight="1" x14ac:dyDescent="0.25">
      <c r="A219" s="37" t="s">
        <v>1145</v>
      </c>
      <c r="B219" s="8" t="s">
        <v>448</v>
      </c>
      <c r="C219" s="2">
        <f t="shared" si="52"/>
        <v>4921900.3999999994</v>
      </c>
      <c r="D219" s="3">
        <f t="shared" si="51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53"/>
        <v>#DIV/0!</v>
      </c>
    </row>
    <row r="220" spans="1:22" ht="25.15" customHeight="1" x14ac:dyDescent="0.25">
      <c r="A220" s="37" t="s">
        <v>1146</v>
      </c>
      <c r="B220" s="8" t="s">
        <v>459</v>
      </c>
      <c r="C220" s="2">
        <f t="shared" si="52"/>
        <v>12226422.870000001</v>
      </c>
      <c r="D220" s="3">
        <f t="shared" si="51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53"/>
        <v>5272.3918395748988</v>
      </c>
    </row>
    <row r="221" spans="1:22" ht="25.15" customHeight="1" x14ac:dyDescent="0.25">
      <c r="A221" s="37" t="s">
        <v>1147</v>
      </c>
      <c r="B221" s="23" t="s">
        <v>449</v>
      </c>
      <c r="C221" s="2">
        <f t="shared" si="52"/>
        <v>4823836.51</v>
      </c>
      <c r="D221" s="3">
        <f t="shared" si="51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53"/>
        <v>4896.4427320125133</v>
      </c>
    </row>
    <row r="222" spans="1:22" ht="25.15" customHeight="1" x14ac:dyDescent="0.25">
      <c r="A222" s="37" t="s">
        <v>1148</v>
      </c>
      <c r="B222" s="8" t="s">
        <v>460</v>
      </c>
      <c r="C222" s="2">
        <f t="shared" si="52"/>
        <v>54862.78</v>
      </c>
      <c r="D222" s="3">
        <f t="shared" si="51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53"/>
        <v>#DIV/0!</v>
      </c>
    </row>
    <row r="223" spans="1:22" ht="25.15" customHeight="1" x14ac:dyDescent="0.25">
      <c r="A223" s="37" t="s">
        <v>1149</v>
      </c>
      <c r="B223" s="8" t="s">
        <v>476</v>
      </c>
      <c r="C223" s="2">
        <f t="shared" si="52"/>
        <v>1824644.4600000002</v>
      </c>
      <c r="D223" s="3">
        <f t="shared" si="51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53"/>
        <v>4552.9635824742272</v>
      </c>
    </row>
    <row r="224" spans="1:22" ht="25.15" customHeight="1" x14ac:dyDescent="0.25">
      <c r="A224" s="37" t="s">
        <v>1150</v>
      </c>
      <c r="B224" s="8" t="s">
        <v>396</v>
      </c>
      <c r="C224" s="2">
        <f t="shared" si="52"/>
        <v>75456.38</v>
      </c>
      <c r="D224" s="3">
        <f t="shared" si="51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53"/>
        <v>#DIV/0!</v>
      </c>
    </row>
    <row r="225" spans="1:22" ht="25.15" customHeight="1" x14ac:dyDescent="0.25">
      <c r="A225" s="37" t="s">
        <v>998</v>
      </c>
      <c r="B225" s="8" t="s">
        <v>477</v>
      </c>
      <c r="C225" s="2">
        <f t="shared" si="52"/>
        <v>2965032.13</v>
      </c>
      <c r="D225" s="3">
        <f t="shared" si="51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53"/>
        <v>4881.4706849315071</v>
      </c>
    </row>
    <row r="226" spans="1:22" ht="25.15" customHeight="1" x14ac:dyDescent="0.25">
      <c r="A226" s="37" t="s">
        <v>999</v>
      </c>
      <c r="B226" s="8" t="s">
        <v>461</v>
      </c>
      <c r="C226" s="2">
        <f t="shared" si="52"/>
        <v>2904799.21</v>
      </c>
      <c r="D226" s="3">
        <f t="shared" si="51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53"/>
        <v>4778.2834680134674</v>
      </c>
    </row>
    <row r="227" spans="1:22" ht="25.15" customHeight="1" x14ac:dyDescent="0.25">
      <c r="A227" s="37" t="s">
        <v>1151</v>
      </c>
      <c r="B227" s="8" t="s">
        <v>378</v>
      </c>
      <c r="C227" s="2">
        <f t="shared" si="52"/>
        <v>2062847.55</v>
      </c>
      <c r="D227" s="3">
        <f t="shared" si="51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53"/>
        <v>#DIV/0!</v>
      </c>
    </row>
    <row r="228" spans="1:22" ht="25.15" customHeight="1" x14ac:dyDescent="0.25">
      <c r="A228" s="37" t="s">
        <v>1152</v>
      </c>
      <c r="B228" s="8" t="s">
        <v>450</v>
      </c>
      <c r="C228" s="2">
        <f t="shared" si="52"/>
        <v>72988.7</v>
      </c>
      <c r="D228" s="3">
        <f t="shared" si="51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53"/>
        <v>#DIV/0!</v>
      </c>
    </row>
    <row r="229" spans="1:22" ht="25.15" customHeight="1" x14ac:dyDescent="0.25">
      <c r="A229" s="37" t="s">
        <v>1153</v>
      </c>
      <c r="B229" s="8" t="s">
        <v>436</v>
      </c>
      <c r="C229" s="2">
        <f t="shared" si="52"/>
        <v>6267141.54</v>
      </c>
      <c r="D229" s="3">
        <f t="shared" si="51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53"/>
        <v>5230.0817686343744</v>
      </c>
    </row>
    <row r="230" spans="1:22" ht="25.15" customHeight="1" x14ac:dyDescent="0.25">
      <c r="A230" s="37" t="s">
        <v>1154</v>
      </c>
      <c r="B230" s="8" t="s">
        <v>462</v>
      </c>
      <c r="C230" s="2">
        <f t="shared" si="52"/>
        <v>3566948.55</v>
      </c>
      <c r="D230" s="3">
        <f t="shared" ref="D230:D235" si="54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53"/>
        <v>5031.924877697842</v>
      </c>
    </row>
    <row r="231" spans="1:22" ht="25.15" customHeight="1" x14ac:dyDescent="0.25">
      <c r="A231" s="37" t="s">
        <v>1155</v>
      </c>
      <c r="B231" s="24" t="s">
        <v>863</v>
      </c>
      <c r="C231" s="2">
        <f>D231+L231+N231+P231+R231+S231+T231+U231</f>
        <v>5179580.74</v>
      </c>
      <c r="D231" s="3">
        <f t="shared" si="54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53"/>
        <v>4983.7368120300753</v>
      </c>
    </row>
    <row r="232" spans="1:22" ht="25.15" customHeight="1" x14ac:dyDescent="0.25">
      <c r="A232" s="37" t="s">
        <v>1156</v>
      </c>
      <c r="B232" s="8" t="s">
        <v>463</v>
      </c>
      <c r="C232" s="2">
        <f t="shared" si="52"/>
        <v>39357.33</v>
      </c>
      <c r="D232" s="3">
        <f t="shared" si="54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53"/>
        <v>#DIV/0!</v>
      </c>
    </row>
    <row r="233" spans="1:22" ht="25.15" customHeight="1" x14ac:dyDescent="0.25">
      <c r="A233" s="37" t="s">
        <v>1157</v>
      </c>
      <c r="B233" s="8" t="s">
        <v>478</v>
      </c>
      <c r="C233" s="2">
        <f t="shared" si="52"/>
        <v>1742990.48</v>
      </c>
      <c r="D233" s="3">
        <f t="shared" si="54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53"/>
        <v>4535.4692485985333</v>
      </c>
    </row>
    <row r="234" spans="1:22" ht="25.15" customHeight="1" x14ac:dyDescent="0.25">
      <c r="A234" s="37" t="s">
        <v>1158</v>
      </c>
      <c r="B234" s="8" t="s">
        <v>413</v>
      </c>
      <c r="C234" s="2">
        <f t="shared" si="52"/>
        <v>42605.66</v>
      </c>
      <c r="D234" s="3">
        <f t="shared" si="54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53"/>
        <v>#DIV/0!</v>
      </c>
    </row>
    <row r="235" spans="1:22" ht="25.15" customHeight="1" x14ac:dyDescent="0.25">
      <c r="A235" s="37" t="s">
        <v>1000</v>
      </c>
      <c r="B235" s="8" t="s">
        <v>427</v>
      </c>
      <c r="C235" s="2">
        <f t="shared" si="52"/>
        <v>46635.76</v>
      </c>
      <c r="D235" s="3">
        <f t="shared" si="54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53"/>
        <v>#DIV/0!</v>
      </c>
    </row>
    <row r="236" spans="1:22" ht="25.15" customHeight="1" x14ac:dyDescent="0.25">
      <c r="A236" s="37" t="s">
        <v>1159</v>
      </c>
      <c r="B236" s="8" t="s">
        <v>428</v>
      </c>
      <c r="C236" s="2">
        <f t="shared" si="52"/>
        <v>2255774.0699999998</v>
      </c>
      <c r="D236" s="3">
        <f t="shared" si="51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53"/>
        <v>#DIV/0!</v>
      </c>
    </row>
    <row r="237" spans="1:22" ht="45" customHeight="1" x14ac:dyDescent="0.25">
      <c r="A237" s="54" t="s">
        <v>300</v>
      </c>
      <c r="B237" s="54"/>
      <c r="C237" s="2">
        <f>SUM(C238:C241)</f>
        <v>2538146.2999999998</v>
      </c>
      <c r="D237" s="2">
        <f t="shared" ref="D237:U237" si="55">SUM(D238:D241)</f>
        <v>2538146.2999999998</v>
      </c>
      <c r="E237" s="2">
        <f t="shared" si="55"/>
        <v>0</v>
      </c>
      <c r="F237" s="2">
        <f t="shared" si="55"/>
        <v>1951709.6399999997</v>
      </c>
      <c r="G237" s="2">
        <f t="shared" si="55"/>
        <v>276757.42</v>
      </c>
      <c r="H237" s="2">
        <f t="shared" si="55"/>
        <v>0</v>
      </c>
      <c r="I237" s="2">
        <f t="shared" si="55"/>
        <v>309679.24</v>
      </c>
      <c r="J237" s="2">
        <f t="shared" si="55"/>
        <v>0</v>
      </c>
      <c r="K237" s="14">
        <f t="shared" si="55"/>
        <v>0</v>
      </c>
      <c r="L237" s="2">
        <f t="shared" si="55"/>
        <v>0</v>
      </c>
      <c r="M237" s="2">
        <f t="shared" si="55"/>
        <v>0</v>
      </c>
      <c r="N237" s="2">
        <f t="shared" si="55"/>
        <v>0</v>
      </c>
      <c r="O237" s="2">
        <f t="shared" si="55"/>
        <v>0</v>
      </c>
      <c r="P237" s="2">
        <f t="shared" si="55"/>
        <v>0</v>
      </c>
      <c r="Q237" s="2">
        <f t="shared" si="55"/>
        <v>0</v>
      </c>
      <c r="R237" s="2">
        <f t="shared" si="55"/>
        <v>0</v>
      </c>
      <c r="S237" s="2">
        <f t="shared" si="55"/>
        <v>0</v>
      </c>
      <c r="T237" s="2">
        <f t="shared" si="55"/>
        <v>0</v>
      </c>
      <c r="U237" s="2">
        <f t="shared" si="55"/>
        <v>0</v>
      </c>
      <c r="V237" s="18">
        <f>C237+C1122</f>
        <v>12651542.300000001</v>
      </c>
    </row>
    <row r="238" spans="1:22" ht="25.15" customHeight="1" x14ac:dyDescent="0.25">
      <c r="A238" s="37" t="s">
        <v>1160</v>
      </c>
      <c r="B238" s="8" t="s">
        <v>870</v>
      </c>
      <c r="C238" s="2">
        <f t="shared" si="52"/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>N238/M238</f>
        <v>#DIV/0!</v>
      </c>
    </row>
    <row r="239" spans="1:22" ht="25.15" customHeight="1" x14ac:dyDescent="0.25">
      <c r="A239" s="37" t="s">
        <v>1161</v>
      </c>
      <c r="B239" s="8" t="s">
        <v>869</v>
      </c>
      <c r="C239" s="2">
        <f t="shared" si="52"/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>N239/M239</f>
        <v>#DIV/0!</v>
      </c>
    </row>
    <row r="240" spans="1:22" ht="25.15" customHeight="1" x14ac:dyDescent="0.25">
      <c r="A240" s="37" t="s">
        <v>1162</v>
      </c>
      <c r="B240" s="8" t="s">
        <v>868</v>
      </c>
      <c r="C240" s="2">
        <f t="shared" si="52"/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>N240/M240</f>
        <v>#DIV/0!</v>
      </c>
    </row>
    <row r="241" spans="1:22" ht="25.15" customHeight="1" x14ac:dyDescent="0.25">
      <c r="A241" s="37" t="s">
        <v>1163</v>
      </c>
      <c r="B241" s="8" t="s">
        <v>867</v>
      </c>
      <c r="C241" s="2">
        <f t="shared" si="52"/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>N241/M241</f>
        <v>#DIV/0!</v>
      </c>
    </row>
    <row r="242" spans="1:22" ht="45" customHeight="1" x14ac:dyDescent="0.25">
      <c r="A242" s="54" t="s">
        <v>276</v>
      </c>
      <c r="B242" s="54"/>
      <c r="C242" s="2">
        <f>SUM(C243)</f>
        <v>34252.04</v>
      </c>
      <c r="D242" s="2">
        <f t="shared" ref="D242:U242" si="56">SUM(D243)</f>
        <v>0</v>
      </c>
      <c r="E242" s="2">
        <f t="shared" si="56"/>
        <v>0</v>
      </c>
      <c r="F242" s="2">
        <f t="shared" si="56"/>
        <v>0</v>
      </c>
      <c r="G242" s="2">
        <f t="shared" si="56"/>
        <v>0</v>
      </c>
      <c r="H242" s="2">
        <f t="shared" si="56"/>
        <v>0</v>
      </c>
      <c r="I242" s="2">
        <f t="shared" si="56"/>
        <v>0</v>
      </c>
      <c r="J242" s="2">
        <f t="shared" si="56"/>
        <v>0</v>
      </c>
      <c r="K242" s="14">
        <f t="shared" si="56"/>
        <v>0</v>
      </c>
      <c r="L242" s="2">
        <f t="shared" si="56"/>
        <v>0</v>
      </c>
      <c r="M242" s="2">
        <f t="shared" si="56"/>
        <v>0</v>
      </c>
      <c r="N242" s="2">
        <f t="shared" si="56"/>
        <v>0</v>
      </c>
      <c r="O242" s="2">
        <f t="shared" si="56"/>
        <v>0</v>
      </c>
      <c r="P242" s="2">
        <f t="shared" si="56"/>
        <v>0</v>
      </c>
      <c r="Q242" s="2">
        <f t="shared" si="56"/>
        <v>0</v>
      </c>
      <c r="R242" s="2">
        <f t="shared" si="56"/>
        <v>0</v>
      </c>
      <c r="S242" s="2">
        <f t="shared" si="56"/>
        <v>0</v>
      </c>
      <c r="T242" s="2">
        <f t="shared" si="56"/>
        <v>0</v>
      </c>
      <c r="U242" s="2">
        <f t="shared" si="56"/>
        <v>34252.04</v>
      </c>
      <c r="V242" s="18">
        <f>C242+C627+C1124</f>
        <v>15485638.300000001</v>
      </c>
    </row>
    <row r="243" spans="1:22" ht="25.15" customHeight="1" x14ac:dyDescent="0.25">
      <c r="A243" s="37" t="s">
        <v>1164</v>
      </c>
      <c r="B243" s="8" t="s">
        <v>302</v>
      </c>
      <c r="C243" s="2">
        <f t="shared" si="52"/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4" t="s">
        <v>281</v>
      </c>
      <c r="B244" s="54"/>
      <c r="C244" s="2">
        <f>SUM(C245:C246)</f>
        <v>6414068.6400000006</v>
      </c>
      <c r="D244" s="2">
        <f t="shared" ref="D244:U244" si="57">SUM(D245:D246)</f>
        <v>517361.39</v>
      </c>
      <c r="E244" s="2">
        <f t="shared" si="57"/>
        <v>264982.02</v>
      </c>
      <c r="F244" s="2">
        <f t="shared" si="57"/>
        <v>159810.94</v>
      </c>
      <c r="G244" s="2">
        <f t="shared" si="57"/>
        <v>54255.360000000001</v>
      </c>
      <c r="H244" s="2">
        <f t="shared" si="57"/>
        <v>0</v>
      </c>
      <c r="I244" s="2">
        <f t="shared" si="57"/>
        <v>38313.07</v>
      </c>
      <c r="J244" s="2">
        <f t="shared" si="57"/>
        <v>0</v>
      </c>
      <c r="K244" s="14">
        <f t="shared" si="57"/>
        <v>0</v>
      </c>
      <c r="L244" s="2">
        <f t="shared" si="57"/>
        <v>0</v>
      </c>
      <c r="M244" s="2">
        <f t="shared" si="57"/>
        <v>753.21</v>
      </c>
      <c r="N244" s="2">
        <f t="shared" si="57"/>
        <v>3858635.48</v>
      </c>
      <c r="O244" s="2">
        <f t="shared" si="57"/>
        <v>0</v>
      </c>
      <c r="P244" s="2">
        <f t="shared" si="57"/>
        <v>0</v>
      </c>
      <c r="Q244" s="2">
        <f t="shared" si="57"/>
        <v>1152</v>
      </c>
      <c r="R244" s="2">
        <f t="shared" si="57"/>
        <v>1646478.24</v>
      </c>
      <c r="S244" s="2">
        <f t="shared" si="57"/>
        <v>0</v>
      </c>
      <c r="T244" s="2">
        <f t="shared" si="57"/>
        <v>0</v>
      </c>
      <c r="U244" s="2">
        <f t="shared" si="57"/>
        <v>391593.53</v>
      </c>
      <c r="V244" s="18">
        <f>C244+C632+C1136</f>
        <v>24864020.420000002</v>
      </c>
    </row>
    <row r="245" spans="1:22" ht="25.15" customHeight="1" x14ac:dyDescent="0.25">
      <c r="A245" s="37" t="s">
        <v>1165</v>
      </c>
      <c r="B245" s="8" t="s">
        <v>282</v>
      </c>
      <c r="C245" s="2">
        <f t="shared" si="52"/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>N245/M245</f>
        <v>5194.1586609617607</v>
      </c>
    </row>
    <row r="246" spans="1:22" ht="25.15" customHeight="1" x14ac:dyDescent="0.25">
      <c r="A246" s="37" t="s">
        <v>1166</v>
      </c>
      <c r="B246" s="8" t="s">
        <v>283</v>
      </c>
      <c r="C246" s="2">
        <f t="shared" si="52"/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>N246/M246</f>
        <v>5053.5486897274632</v>
      </c>
    </row>
    <row r="247" spans="1:22" ht="45" customHeight="1" x14ac:dyDescent="0.25">
      <c r="A247" s="54" t="s">
        <v>286</v>
      </c>
      <c r="B247" s="54"/>
      <c r="C247" s="2">
        <f>SUM(C248:C250)</f>
        <v>145766.94</v>
      </c>
      <c r="D247" s="2">
        <f t="shared" ref="D247:U247" si="58">SUM(D248:D250)</f>
        <v>0</v>
      </c>
      <c r="E247" s="2">
        <f t="shared" si="58"/>
        <v>0</v>
      </c>
      <c r="F247" s="2">
        <f t="shared" si="58"/>
        <v>0</v>
      </c>
      <c r="G247" s="2">
        <f t="shared" si="58"/>
        <v>0</v>
      </c>
      <c r="H247" s="2">
        <f t="shared" si="58"/>
        <v>0</v>
      </c>
      <c r="I247" s="2">
        <f t="shared" si="58"/>
        <v>0</v>
      </c>
      <c r="J247" s="2">
        <f t="shared" si="58"/>
        <v>0</v>
      </c>
      <c r="K247" s="14">
        <f t="shared" si="58"/>
        <v>0</v>
      </c>
      <c r="L247" s="2">
        <f t="shared" si="58"/>
        <v>0</v>
      </c>
      <c r="M247" s="2">
        <f t="shared" si="58"/>
        <v>0</v>
      </c>
      <c r="N247" s="2">
        <f t="shared" si="58"/>
        <v>0</v>
      </c>
      <c r="O247" s="2">
        <f t="shared" si="58"/>
        <v>0</v>
      </c>
      <c r="P247" s="2">
        <f t="shared" si="58"/>
        <v>0</v>
      </c>
      <c r="Q247" s="2">
        <f t="shared" si="58"/>
        <v>0</v>
      </c>
      <c r="R247" s="2">
        <f t="shared" si="58"/>
        <v>0</v>
      </c>
      <c r="S247" s="2">
        <f t="shared" si="58"/>
        <v>0</v>
      </c>
      <c r="T247" s="2">
        <f t="shared" si="58"/>
        <v>0</v>
      </c>
      <c r="U247" s="2">
        <f t="shared" si="58"/>
        <v>145766.94</v>
      </c>
      <c r="V247" s="18">
        <f>C247+C635+C1140</f>
        <v>38171383.480000004</v>
      </c>
    </row>
    <row r="248" spans="1:22" ht="25.15" customHeight="1" x14ac:dyDescent="0.25">
      <c r="A248" s="37" t="s">
        <v>1167</v>
      </c>
      <c r="B248" s="8" t="s">
        <v>291</v>
      </c>
      <c r="C248" s="2">
        <f t="shared" si="52"/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>N248/M248</f>
        <v>#DIV/0!</v>
      </c>
    </row>
    <row r="249" spans="1:22" ht="25.15" customHeight="1" x14ac:dyDescent="0.25">
      <c r="A249" s="37" t="s">
        <v>1168</v>
      </c>
      <c r="B249" s="8" t="s">
        <v>292</v>
      </c>
      <c r="C249" s="2">
        <f t="shared" si="52"/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>N249/M249</f>
        <v>#DIV/0!</v>
      </c>
    </row>
    <row r="250" spans="1:22" ht="25.15" customHeight="1" x14ac:dyDescent="0.25">
      <c r="A250" s="37" t="s">
        <v>1169</v>
      </c>
      <c r="B250" s="8" t="s">
        <v>294</v>
      </c>
      <c r="C250" s="2">
        <f t="shared" si="52"/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>N250/M250</f>
        <v>#DIV/0!</v>
      </c>
    </row>
    <row r="251" spans="1:22" ht="45" customHeight="1" x14ac:dyDescent="0.25">
      <c r="A251" s="54" t="s">
        <v>304</v>
      </c>
      <c r="B251" s="54"/>
      <c r="C251" s="2">
        <f>SUM(C252:C254)</f>
        <v>7854268.2100000009</v>
      </c>
      <c r="D251" s="2">
        <f t="shared" ref="D251:U251" si="59">SUM(D252:D254)</f>
        <v>180683</v>
      </c>
      <c r="E251" s="2">
        <f t="shared" si="59"/>
        <v>147697</v>
      </c>
      <c r="F251" s="2">
        <f t="shared" si="59"/>
        <v>0</v>
      </c>
      <c r="G251" s="2">
        <f t="shared" si="59"/>
        <v>16717</v>
      </c>
      <c r="H251" s="2">
        <f t="shared" si="59"/>
        <v>0</v>
      </c>
      <c r="I251" s="2">
        <f t="shared" si="59"/>
        <v>16269</v>
      </c>
      <c r="J251" s="2">
        <f t="shared" si="59"/>
        <v>0</v>
      </c>
      <c r="K251" s="14">
        <f t="shared" si="59"/>
        <v>0</v>
      </c>
      <c r="L251" s="2">
        <f t="shared" si="59"/>
        <v>0</v>
      </c>
      <c r="M251" s="2">
        <f t="shared" si="59"/>
        <v>758</v>
      </c>
      <c r="N251" s="2">
        <f t="shared" si="59"/>
        <v>3934473</v>
      </c>
      <c r="O251" s="2">
        <f t="shared" si="59"/>
        <v>0</v>
      </c>
      <c r="P251" s="2">
        <f t="shared" si="59"/>
        <v>0</v>
      </c>
      <c r="Q251" s="2">
        <f t="shared" si="59"/>
        <v>1168.8000000000002</v>
      </c>
      <c r="R251" s="2">
        <f t="shared" si="59"/>
        <v>3044652.5</v>
      </c>
      <c r="S251" s="2">
        <f t="shared" si="59"/>
        <v>290445.24</v>
      </c>
      <c r="T251" s="2">
        <f t="shared" si="59"/>
        <v>0</v>
      </c>
      <c r="U251" s="2">
        <f t="shared" si="59"/>
        <v>404014.47</v>
      </c>
      <c r="V251" s="18" t="e">
        <f>C251+#REF!</f>
        <v>#REF!</v>
      </c>
    </row>
    <row r="252" spans="1:22" ht="25.15" customHeight="1" x14ac:dyDescent="0.25">
      <c r="A252" s="37" t="s">
        <v>1170</v>
      </c>
      <c r="B252" s="8" t="s">
        <v>305</v>
      </c>
      <c r="C252" s="2">
        <f t="shared" si="52"/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>N252/M252</f>
        <v>5293.4708333333338</v>
      </c>
    </row>
    <row r="253" spans="1:22" ht="25.15" customHeight="1" x14ac:dyDescent="0.25">
      <c r="A253" s="37" t="s">
        <v>1171</v>
      </c>
      <c r="B253" s="8" t="s">
        <v>306</v>
      </c>
      <c r="C253" s="2">
        <f t="shared" si="52"/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>N253/M253</f>
        <v>5007.2745901639346</v>
      </c>
    </row>
    <row r="254" spans="1:22" ht="25.15" customHeight="1" x14ac:dyDescent="0.25">
      <c r="A254" s="37" t="s">
        <v>1172</v>
      </c>
      <c r="B254" s="8" t="s">
        <v>307</v>
      </c>
      <c r="C254" s="2">
        <f t="shared" si="52"/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>N254/M254</f>
        <v>5263.7408759124091</v>
      </c>
    </row>
    <row r="255" spans="1:22" ht="45" customHeight="1" x14ac:dyDescent="0.25">
      <c r="A255" s="54" t="s">
        <v>309</v>
      </c>
      <c r="B255" s="54"/>
      <c r="C255" s="2">
        <f>SUM(C256)</f>
        <v>48130.46</v>
      </c>
      <c r="D255" s="2">
        <f t="shared" ref="D255:U255" si="60">SUM(D256)</f>
        <v>0</v>
      </c>
      <c r="E255" s="2">
        <f t="shared" si="60"/>
        <v>0</v>
      </c>
      <c r="F255" s="2">
        <f t="shared" si="60"/>
        <v>0</v>
      </c>
      <c r="G255" s="2">
        <f t="shared" si="60"/>
        <v>0</v>
      </c>
      <c r="H255" s="2">
        <f t="shared" si="60"/>
        <v>0</v>
      </c>
      <c r="I255" s="2">
        <f t="shared" si="60"/>
        <v>0</v>
      </c>
      <c r="J255" s="2">
        <f t="shared" si="60"/>
        <v>0</v>
      </c>
      <c r="K255" s="14">
        <f t="shared" si="60"/>
        <v>0</v>
      </c>
      <c r="L255" s="2">
        <f t="shared" si="60"/>
        <v>0</v>
      </c>
      <c r="M255" s="2">
        <f t="shared" si="60"/>
        <v>0</v>
      </c>
      <c r="N255" s="2">
        <f t="shared" si="60"/>
        <v>0</v>
      </c>
      <c r="O255" s="2">
        <f t="shared" si="60"/>
        <v>0</v>
      </c>
      <c r="P255" s="2">
        <f t="shared" si="60"/>
        <v>0</v>
      </c>
      <c r="Q255" s="2">
        <f t="shared" si="60"/>
        <v>0</v>
      </c>
      <c r="R255" s="2">
        <f t="shared" si="60"/>
        <v>0</v>
      </c>
      <c r="S255" s="2">
        <f t="shared" si="60"/>
        <v>0</v>
      </c>
      <c r="T255" s="2">
        <f t="shared" si="60"/>
        <v>0</v>
      </c>
      <c r="U255" s="2">
        <f t="shared" si="60"/>
        <v>48130.46</v>
      </c>
      <c r="V255" s="18">
        <f>C255+C645+C1148</f>
        <v>18636444.469999999</v>
      </c>
    </row>
    <row r="256" spans="1:22" ht="25.15" customHeight="1" x14ac:dyDescent="0.25">
      <c r="A256" s="36" t="s">
        <v>1173</v>
      </c>
      <c r="B256" s="8" t="s">
        <v>313</v>
      </c>
      <c r="C256" s="2">
        <f t="shared" si="52"/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4" t="s">
        <v>820</v>
      </c>
      <c r="B257" s="54"/>
      <c r="C257" s="2">
        <f>SUM(C258)</f>
        <v>2999935.13</v>
      </c>
      <c r="D257" s="2">
        <f t="shared" ref="D257:U257" si="61">SUM(D258)</f>
        <v>97668.77</v>
      </c>
      <c r="E257" s="2">
        <f t="shared" si="61"/>
        <v>97668.77</v>
      </c>
      <c r="F257" s="2">
        <f t="shared" si="61"/>
        <v>0</v>
      </c>
      <c r="G257" s="2">
        <f t="shared" si="61"/>
        <v>0</v>
      </c>
      <c r="H257" s="2">
        <f t="shared" si="61"/>
        <v>0</v>
      </c>
      <c r="I257" s="2">
        <f t="shared" si="61"/>
        <v>0</v>
      </c>
      <c r="J257" s="2">
        <f t="shared" si="61"/>
        <v>0</v>
      </c>
      <c r="K257" s="14">
        <f t="shared" si="61"/>
        <v>0</v>
      </c>
      <c r="L257" s="2">
        <f t="shared" si="61"/>
        <v>0</v>
      </c>
      <c r="M257" s="2">
        <f t="shared" si="61"/>
        <v>414</v>
      </c>
      <c r="N257" s="2">
        <f t="shared" si="61"/>
        <v>2020023.69</v>
      </c>
      <c r="O257" s="2">
        <f t="shared" si="61"/>
        <v>0</v>
      </c>
      <c r="P257" s="2">
        <f t="shared" si="61"/>
        <v>0</v>
      </c>
      <c r="Q257" s="2">
        <f t="shared" si="61"/>
        <v>556</v>
      </c>
      <c r="R257" s="2">
        <f t="shared" si="61"/>
        <v>776040.08</v>
      </c>
      <c r="S257" s="2">
        <f t="shared" si="61"/>
        <v>0</v>
      </c>
      <c r="T257" s="2">
        <f t="shared" si="61"/>
        <v>0</v>
      </c>
      <c r="U257" s="2">
        <f t="shared" si="61"/>
        <v>106202.59</v>
      </c>
      <c r="V257" s="18" t="e">
        <f>C257+#REF!+C1158</f>
        <v>#REF!</v>
      </c>
    </row>
    <row r="258" spans="1:22" ht="25.15" customHeight="1" x14ac:dyDescent="0.25">
      <c r="A258" s="37" t="s">
        <v>1174</v>
      </c>
      <c r="B258" s="8" t="s">
        <v>320</v>
      </c>
      <c r="C258" s="2">
        <f t="shared" si="52"/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4" t="s">
        <v>321</v>
      </c>
      <c r="B259" s="54"/>
      <c r="C259" s="2">
        <f>SUM(C260:C261)</f>
        <v>1151732.3800000001</v>
      </c>
      <c r="D259" s="2">
        <f t="shared" ref="D259:U259" si="62">SUM(D260:D261)</f>
        <v>0</v>
      </c>
      <c r="E259" s="2">
        <f t="shared" si="62"/>
        <v>0</v>
      </c>
      <c r="F259" s="2">
        <f t="shared" si="62"/>
        <v>0</v>
      </c>
      <c r="G259" s="2">
        <f t="shared" si="62"/>
        <v>0</v>
      </c>
      <c r="H259" s="2">
        <f t="shared" si="62"/>
        <v>0</v>
      </c>
      <c r="I259" s="2">
        <f t="shared" si="62"/>
        <v>0</v>
      </c>
      <c r="J259" s="2">
        <f t="shared" si="62"/>
        <v>0</v>
      </c>
      <c r="K259" s="14">
        <f t="shared" si="62"/>
        <v>0</v>
      </c>
      <c r="L259" s="2">
        <f t="shared" si="62"/>
        <v>0</v>
      </c>
      <c r="M259" s="2">
        <f t="shared" si="62"/>
        <v>315.04000000000002</v>
      </c>
      <c r="N259" s="2">
        <f t="shared" si="62"/>
        <v>1069200</v>
      </c>
      <c r="O259" s="2">
        <f t="shared" si="62"/>
        <v>0</v>
      </c>
      <c r="P259" s="2">
        <f t="shared" si="62"/>
        <v>0</v>
      </c>
      <c r="Q259" s="2">
        <f t="shared" si="62"/>
        <v>0</v>
      </c>
      <c r="R259" s="2">
        <f t="shared" si="62"/>
        <v>0</v>
      </c>
      <c r="S259" s="2">
        <f t="shared" si="62"/>
        <v>0</v>
      </c>
      <c r="T259" s="2">
        <f t="shared" si="62"/>
        <v>0</v>
      </c>
      <c r="U259" s="2">
        <f t="shared" si="62"/>
        <v>82532.38</v>
      </c>
      <c r="V259" s="18">
        <f>C259+C647+C1161</f>
        <v>42206831.120000005</v>
      </c>
    </row>
    <row r="260" spans="1:22" ht="25.15" customHeight="1" x14ac:dyDescent="0.25">
      <c r="A260" s="36" t="s">
        <v>1175</v>
      </c>
      <c r="B260" s="8" t="s">
        <v>823</v>
      </c>
      <c r="C260" s="2">
        <f t="shared" si="52"/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>N260/M260</f>
        <v>3393.8547486033517</v>
      </c>
    </row>
    <row r="261" spans="1:22" ht="25.15" customHeight="1" x14ac:dyDescent="0.25">
      <c r="A261" s="36" t="s">
        <v>1176</v>
      </c>
      <c r="B261" s="8" t="s">
        <v>323</v>
      </c>
      <c r="C261" s="2">
        <f t="shared" ref="C261:C282" si="63"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>N261/M261</f>
        <v>#DIV/0!</v>
      </c>
    </row>
    <row r="262" spans="1:22" ht="42.95" customHeight="1" x14ac:dyDescent="0.25">
      <c r="A262" s="54" t="s">
        <v>325</v>
      </c>
      <c r="B262" s="54"/>
      <c r="C262" s="2">
        <f>SUM(C263)</f>
        <v>2990808.4</v>
      </c>
      <c r="D262" s="2">
        <f t="shared" ref="D262:U262" si="64">SUM(D263)</f>
        <v>0</v>
      </c>
      <c r="E262" s="2">
        <f t="shared" si="64"/>
        <v>0</v>
      </c>
      <c r="F262" s="2">
        <f t="shared" si="64"/>
        <v>0</v>
      </c>
      <c r="G262" s="2">
        <f t="shared" si="64"/>
        <v>0</v>
      </c>
      <c r="H262" s="2">
        <f t="shared" si="64"/>
        <v>0</v>
      </c>
      <c r="I262" s="2">
        <f t="shared" si="64"/>
        <v>0</v>
      </c>
      <c r="J262" s="2">
        <f t="shared" si="64"/>
        <v>0</v>
      </c>
      <c r="K262" s="14">
        <f t="shared" si="64"/>
        <v>0</v>
      </c>
      <c r="L262" s="2">
        <f t="shared" si="64"/>
        <v>0</v>
      </c>
      <c r="M262" s="2">
        <f t="shared" si="64"/>
        <v>366.4</v>
      </c>
      <c r="N262" s="2">
        <f t="shared" si="64"/>
        <v>1920360.81</v>
      </c>
      <c r="O262" s="2">
        <f t="shared" si="64"/>
        <v>0</v>
      </c>
      <c r="P262" s="2">
        <f t="shared" si="64"/>
        <v>0</v>
      </c>
      <c r="Q262" s="2">
        <f t="shared" si="64"/>
        <v>426</v>
      </c>
      <c r="R262" s="2">
        <f t="shared" si="64"/>
        <v>990609.29</v>
      </c>
      <c r="S262" s="2">
        <f t="shared" si="64"/>
        <v>0</v>
      </c>
      <c r="T262" s="2">
        <f t="shared" si="64"/>
        <v>0</v>
      </c>
      <c r="U262" s="2">
        <f t="shared" si="64"/>
        <v>79838.3</v>
      </c>
      <c r="V262" s="18">
        <f>C262+C651</f>
        <v>3126783.92</v>
      </c>
    </row>
    <row r="263" spans="1:22" ht="25.15" customHeight="1" x14ac:dyDescent="0.25">
      <c r="A263" s="37" t="s">
        <v>1177</v>
      </c>
      <c r="B263" s="1" t="s">
        <v>327</v>
      </c>
      <c r="C263" s="2">
        <f t="shared" si="63"/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4" t="s">
        <v>942</v>
      </c>
      <c r="B264" s="54"/>
      <c r="C264" s="2">
        <f>SUM(C265)</f>
        <v>4068458.4</v>
      </c>
      <c r="D264" s="2">
        <f t="shared" ref="D264:U264" si="65">SUM(D265)</f>
        <v>0</v>
      </c>
      <c r="E264" s="2">
        <f t="shared" si="65"/>
        <v>0</v>
      </c>
      <c r="F264" s="2">
        <f t="shared" si="65"/>
        <v>0</v>
      </c>
      <c r="G264" s="2">
        <f t="shared" si="65"/>
        <v>0</v>
      </c>
      <c r="H264" s="2">
        <f t="shared" si="65"/>
        <v>0</v>
      </c>
      <c r="I264" s="2">
        <f t="shared" si="65"/>
        <v>0</v>
      </c>
      <c r="J264" s="2">
        <f t="shared" si="65"/>
        <v>0</v>
      </c>
      <c r="K264" s="14">
        <f t="shared" si="65"/>
        <v>0</v>
      </c>
      <c r="L264" s="2">
        <f t="shared" si="65"/>
        <v>0</v>
      </c>
      <c r="M264" s="2">
        <f t="shared" si="65"/>
        <v>1220.3</v>
      </c>
      <c r="N264" s="2">
        <f t="shared" si="65"/>
        <v>4068458.4</v>
      </c>
      <c r="O264" s="2">
        <f t="shared" si="65"/>
        <v>0</v>
      </c>
      <c r="P264" s="2">
        <f t="shared" si="65"/>
        <v>0</v>
      </c>
      <c r="Q264" s="2">
        <f t="shared" si="65"/>
        <v>0</v>
      </c>
      <c r="R264" s="2">
        <f t="shared" si="65"/>
        <v>0</v>
      </c>
      <c r="S264" s="2">
        <f t="shared" si="65"/>
        <v>0</v>
      </c>
      <c r="T264" s="2">
        <f t="shared" si="65"/>
        <v>0</v>
      </c>
      <c r="U264" s="2">
        <f t="shared" si="65"/>
        <v>0</v>
      </c>
      <c r="V264" s="18">
        <f>C264+C655</f>
        <v>27825515.229999997</v>
      </c>
    </row>
    <row r="265" spans="1:22" ht="25.15" customHeight="1" x14ac:dyDescent="0.25">
      <c r="A265" s="37" t="s">
        <v>1178</v>
      </c>
      <c r="B265" s="1" t="s">
        <v>943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4" t="s">
        <v>328</v>
      </c>
      <c r="B266" s="54"/>
      <c r="C266" s="2">
        <f>SUM(C267)</f>
        <v>2367169.1</v>
      </c>
      <c r="D266" s="2">
        <f t="shared" ref="D266:U266" si="66">SUM(D267:D267)</f>
        <v>0</v>
      </c>
      <c r="E266" s="2">
        <f t="shared" si="66"/>
        <v>0</v>
      </c>
      <c r="F266" s="2">
        <f t="shared" si="66"/>
        <v>0</v>
      </c>
      <c r="G266" s="2">
        <f t="shared" si="66"/>
        <v>0</v>
      </c>
      <c r="H266" s="2">
        <f t="shared" si="66"/>
        <v>0</v>
      </c>
      <c r="I266" s="2">
        <f t="shared" si="66"/>
        <v>0</v>
      </c>
      <c r="J266" s="2">
        <f t="shared" si="66"/>
        <v>0</v>
      </c>
      <c r="K266" s="14">
        <f t="shared" si="66"/>
        <v>0</v>
      </c>
      <c r="L266" s="2">
        <f t="shared" si="66"/>
        <v>0</v>
      </c>
      <c r="M266" s="2">
        <f t="shared" si="66"/>
        <v>488.37</v>
      </c>
      <c r="N266" s="2">
        <f t="shared" si="66"/>
        <v>2367169.1</v>
      </c>
      <c r="O266" s="2">
        <f t="shared" si="66"/>
        <v>0</v>
      </c>
      <c r="P266" s="2">
        <f t="shared" si="66"/>
        <v>0</v>
      </c>
      <c r="Q266" s="2">
        <f t="shared" si="66"/>
        <v>0</v>
      </c>
      <c r="R266" s="2">
        <f t="shared" si="66"/>
        <v>0</v>
      </c>
      <c r="S266" s="2">
        <f t="shared" si="66"/>
        <v>0</v>
      </c>
      <c r="T266" s="2">
        <f t="shared" si="66"/>
        <v>0</v>
      </c>
      <c r="U266" s="2">
        <f t="shared" si="66"/>
        <v>0</v>
      </c>
      <c r="V266" s="18">
        <f>C266</f>
        <v>2367169.1</v>
      </c>
    </row>
    <row r="267" spans="1:22" ht="25.15" customHeight="1" x14ac:dyDescent="0.25">
      <c r="A267" s="36" t="s">
        <v>1179</v>
      </c>
      <c r="B267" s="8" t="s">
        <v>938</v>
      </c>
      <c r="C267" s="2">
        <f t="shared" si="63"/>
        <v>2367169.1</v>
      </c>
      <c r="D267" s="3">
        <f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>N267/M267</f>
        <v>4847.081311300858</v>
      </c>
    </row>
    <row r="268" spans="1:22" ht="40.15" customHeight="1" x14ac:dyDescent="0.25">
      <c r="A268" s="54" t="s">
        <v>332</v>
      </c>
      <c r="B268" s="54"/>
      <c r="C268" s="2">
        <f>SUM(C269)</f>
        <v>1083858.1100000001</v>
      </c>
      <c r="D268" s="2">
        <f t="shared" ref="D268:U268" si="67">SUM(D269)</f>
        <v>0</v>
      </c>
      <c r="E268" s="2">
        <f t="shared" si="67"/>
        <v>0</v>
      </c>
      <c r="F268" s="2">
        <f t="shared" si="67"/>
        <v>0</v>
      </c>
      <c r="G268" s="2">
        <f t="shared" si="67"/>
        <v>0</v>
      </c>
      <c r="H268" s="2">
        <f t="shared" si="67"/>
        <v>0</v>
      </c>
      <c r="I268" s="2">
        <f t="shared" si="67"/>
        <v>0</v>
      </c>
      <c r="J268" s="2">
        <f t="shared" si="67"/>
        <v>0</v>
      </c>
      <c r="K268" s="14">
        <f t="shared" si="67"/>
        <v>0</v>
      </c>
      <c r="L268" s="2">
        <f t="shared" si="67"/>
        <v>0</v>
      </c>
      <c r="M268" s="2">
        <f t="shared" si="67"/>
        <v>321.10000000000002</v>
      </c>
      <c r="N268" s="2">
        <f t="shared" si="67"/>
        <v>1059307.8500000001</v>
      </c>
      <c r="O268" s="2">
        <f t="shared" si="67"/>
        <v>0</v>
      </c>
      <c r="P268" s="2">
        <f t="shared" si="67"/>
        <v>0</v>
      </c>
      <c r="Q268" s="2">
        <f t="shared" si="67"/>
        <v>0</v>
      </c>
      <c r="R268" s="2">
        <f t="shared" si="67"/>
        <v>0</v>
      </c>
      <c r="S268" s="2">
        <f t="shared" si="67"/>
        <v>0</v>
      </c>
      <c r="T268" s="2">
        <f t="shared" si="67"/>
        <v>0</v>
      </c>
      <c r="U268" s="2">
        <f t="shared" si="67"/>
        <v>24550.26</v>
      </c>
      <c r="V268" s="18">
        <f>C268</f>
        <v>1083858.1100000001</v>
      </c>
    </row>
    <row r="269" spans="1:22" ht="25.15" customHeight="1" x14ac:dyDescent="0.25">
      <c r="A269" s="37" t="s">
        <v>1180</v>
      </c>
      <c r="B269" s="8" t="s">
        <v>333</v>
      </c>
      <c r="C269" s="2">
        <f t="shared" si="63"/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4" t="s">
        <v>1002</v>
      </c>
      <c r="B270" s="54"/>
      <c r="C270" s="2">
        <f>SUM(C271:C283)</f>
        <v>51998849.679999992</v>
      </c>
      <c r="D270" s="2">
        <f t="shared" ref="D270:U270" si="68">SUM(D271:D283)</f>
        <v>713279.95</v>
      </c>
      <c r="E270" s="2">
        <f t="shared" si="68"/>
        <v>316423.8</v>
      </c>
      <c r="F270" s="2">
        <f t="shared" si="68"/>
        <v>0</v>
      </c>
      <c r="G270" s="2">
        <f t="shared" si="68"/>
        <v>203648.15</v>
      </c>
      <c r="H270" s="2">
        <f t="shared" si="68"/>
        <v>0</v>
      </c>
      <c r="I270" s="2">
        <f t="shared" si="68"/>
        <v>193208</v>
      </c>
      <c r="J270" s="2">
        <f t="shared" si="68"/>
        <v>0</v>
      </c>
      <c r="K270" s="14">
        <f t="shared" si="68"/>
        <v>0</v>
      </c>
      <c r="L270" s="2">
        <f t="shared" si="68"/>
        <v>0</v>
      </c>
      <c r="M270" s="2">
        <f t="shared" si="68"/>
        <v>7845</v>
      </c>
      <c r="N270" s="2">
        <f t="shared" si="68"/>
        <v>25612943.949999999</v>
      </c>
      <c r="O270" s="2">
        <f t="shared" si="68"/>
        <v>0</v>
      </c>
      <c r="P270" s="2">
        <f t="shared" si="68"/>
        <v>0</v>
      </c>
      <c r="Q270" s="2">
        <f t="shared" si="68"/>
        <v>9809.4</v>
      </c>
      <c r="R270" s="2">
        <f t="shared" si="68"/>
        <v>22910394.800000001</v>
      </c>
      <c r="S270" s="2">
        <f t="shared" si="68"/>
        <v>488565.26</v>
      </c>
      <c r="T270" s="2">
        <f t="shared" si="68"/>
        <v>0</v>
      </c>
      <c r="U270" s="2">
        <f t="shared" si="68"/>
        <v>2273665.7200000002</v>
      </c>
      <c r="V270" s="18">
        <f>C270+C658+C1171</f>
        <v>276829068.81999993</v>
      </c>
    </row>
    <row r="271" spans="1:22" ht="25.15" customHeight="1" x14ac:dyDescent="0.25">
      <c r="A271" s="37" t="s">
        <v>1181</v>
      </c>
      <c r="B271" s="8" t="s">
        <v>334</v>
      </c>
      <c r="C271" s="2">
        <f t="shared" si="63"/>
        <v>2925706.35</v>
      </c>
      <c r="D271" s="3">
        <f t="shared" ref="D271:D283" si="69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70">N271/M271</f>
        <v>3103.5535602559739</v>
      </c>
    </row>
    <row r="272" spans="1:22" ht="25.15" customHeight="1" x14ac:dyDescent="0.25">
      <c r="A272" s="37" t="s">
        <v>1182</v>
      </c>
      <c r="B272" s="8" t="s">
        <v>335</v>
      </c>
      <c r="C272" s="2">
        <f t="shared" si="63"/>
        <v>3929419.09</v>
      </c>
      <c r="D272" s="3">
        <f t="shared" si="69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70"/>
        <v>3096.7366155937029</v>
      </c>
    </row>
    <row r="273" spans="1:22" ht="25.15" customHeight="1" x14ac:dyDescent="0.25">
      <c r="A273" s="37" t="s">
        <v>1183</v>
      </c>
      <c r="B273" s="8" t="s">
        <v>336</v>
      </c>
      <c r="C273" s="2">
        <f t="shared" si="63"/>
        <v>4817880.9799999995</v>
      </c>
      <c r="D273" s="3">
        <f t="shared" si="69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70"/>
        <v>2964.71859999244</v>
      </c>
    </row>
    <row r="274" spans="1:22" ht="25.15" customHeight="1" x14ac:dyDescent="0.25">
      <c r="A274" s="37" t="s">
        <v>1184</v>
      </c>
      <c r="B274" s="8" t="s">
        <v>337</v>
      </c>
      <c r="C274" s="2">
        <f t="shared" si="63"/>
        <v>4998407.29</v>
      </c>
      <c r="D274" s="3">
        <f t="shared" si="69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70"/>
        <v>2937.7836222355049</v>
      </c>
    </row>
    <row r="275" spans="1:22" ht="25.15" customHeight="1" x14ac:dyDescent="0.25">
      <c r="A275" s="37" t="s">
        <v>1185</v>
      </c>
      <c r="B275" s="8" t="s">
        <v>338</v>
      </c>
      <c r="C275" s="2">
        <f t="shared" si="63"/>
        <v>4568951.93</v>
      </c>
      <c r="D275" s="3">
        <f t="shared" si="69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70"/>
        <v>#DIV/0!</v>
      </c>
    </row>
    <row r="276" spans="1:22" ht="25.15" customHeight="1" x14ac:dyDescent="0.25">
      <c r="A276" s="37" t="s">
        <v>1186</v>
      </c>
      <c r="B276" s="8" t="s">
        <v>340</v>
      </c>
      <c r="C276" s="2">
        <f t="shared" si="63"/>
        <v>4381271.97</v>
      </c>
      <c r="D276" s="3">
        <f t="shared" si="69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70"/>
        <v>#DIV/0!</v>
      </c>
    </row>
    <row r="277" spans="1:22" ht="25.15" customHeight="1" x14ac:dyDescent="0.25">
      <c r="A277" s="37" t="s">
        <v>1187</v>
      </c>
      <c r="B277" s="8" t="s">
        <v>341</v>
      </c>
      <c r="C277" s="2">
        <f t="shared" si="63"/>
        <v>4530496.58</v>
      </c>
      <c r="D277" s="3">
        <f t="shared" si="69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70"/>
        <v>#DIV/0!</v>
      </c>
    </row>
    <row r="278" spans="1:22" ht="25.15" customHeight="1" x14ac:dyDescent="0.25">
      <c r="A278" s="37" t="s">
        <v>1188</v>
      </c>
      <c r="B278" s="8" t="s">
        <v>342</v>
      </c>
      <c r="C278" s="2">
        <f t="shared" si="63"/>
        <v>4528460.6399999997</v>
      </c>
      <c r="D278" s="3">
        <f t="shared" si="69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70"/>
        <v>#DIV/0!</v>
      </c>
    </row>
    <row r="279" spans="1:22" ht="25.15" customHeight="1" x14ac:dyDescent="0.25">
      <c r="A279" s="37" t="s">
        <v>1189</v>
      </c>
      <c r="B279" s="8" t="s">
        <v>339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5.15" customHeight="1" x14ac:dyDescent="0.25">
      <c r="A280" s="37" t="s">
        <v>1190</v>
      </c>
      <c r="B280" s="8" t="s">
        <v>898</v>
      </c>
      <c r="C280" s="2">
        <f t="shared" si="63"/>
        <v>3104305.26</v>
      </c>
      <c r="D280" s="3">
        <f t="shared" si="69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70"/>
        <v>#DIV/0!</v>
      </c>
    </row>
    <row r="281" spans="1:22" ht="25.15" customHeight="1" x14ac:dyDescent="0.25">
      <c r="A281" s="37" t="s">
        <v>1191</v>
      </c>
      <c r="B281" s="8" t="s">
        <v>862</v>
      </c>
      <c r="C281" s="2">
        <f>D281+L281+N281+P281+R281+S281+T281+U281</f>
        <v>435666.08</v>
      </c>
      <c r="D281" s="3">
        <f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 t="e">
        <f>#REF!/#REF!</f>
        <v>#REF!</v>
      </c>
    </row>
    <row r="282" spans="1:22" ht="25.15" customHeight="1" x14ac:dyDescent="0.25">
      <c r="A282" s="37" t="s">
        <v>1192</v>
      </c>
      <c r="B282" s="8" t="s">
        <v>899</v>
      </c>
      <c r="C282" s="2">
        <f t="shared" si="63"/>
        <v>8063449.2299999995</v>
      </c>
      <c r="D282" s="3">
        <f t="shared" si="69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70"/>
        <v>5328.1704423592491</v>
      </c>
    </row>
    <row r="283" spans="1:22" ht="25.15" customHeight="1" x14ac:dyDescent="0.25">
      <c r="A283" s="37" t="s">
        <v>1193</v>
      </c>
      <c r="B283" s="8" t="s">
        <v>366</v>
      </c>
      <c r="C283" s="2">
        <f>D283+L283+N283+P283+R283+S283+T283+U283</f>
        <v>5609632.9100000001</v>
      </c>
      <c r="D283" s="3">
        <f t="shared" si="69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70"/>
        <v>3169.8599393405498</v>
      </c>
    </row>
    <row r="284" spans="1:22" s="16" customFormat="1" ht="24.95" customHeight="1" x14ac:dyDescent="0.25">
      <c r="A284" s="63" t="s">
        <v>206</v>
      </c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15"/>
    </row>
    <row r="285" spans="1:22" ht="24.95" customHeight="1" x14ac:dyDescent="0.25">
      <c r="A285" s="78" t="s">
        <v>207</v>
      </c>
      <c r="B285" s="78"/>
      <c r="C285" s="2">
        <f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ref="D285:U285" si="71">D286+D289+D309+D311+D315+D318+D320+D323+D328+D336+D338+D341+D343+D346+D348+D352+D356+D360+D362+D382+D389+D397+D399+D416+D418+D420+D423+D425+D627+D630+D632+D635+D645+D647+D651+D653+D655+D658+D672+D674</f>
        <v>143844949.20000002</v>
      </c>
      <c r="E285" s="2">
        <f t="shared" si="71"/>
        <v>29993743.079999998</v>
      </c>
      <c r="F285" s="2">
        <f t="shared" si="71"/>
        <v>75775992.849999979</v>
      </c>
      <c r="G285" s="2">
        <f t="shared" si="71"/>
        <v>13049736.169999998</v>
      </c>
      <c r="H285" s="2">
        <f t="shared" si="71"/>
        <v>11963847.17</v>
      </c>
      <c r="I285" s="2">
        <f t="shared" si="71"/>
        <v>13061629.93</v>
      </c>
      <c r="J285" s="2">
        <f t="shared" si="71"/>
        <v>0</v>
      </c>
      <c r="K285" s="14">
        <f t="shared" si="71"/>
        <v>39</v>
      </c>
      <c r="L285" s="2">
        <f t="shared" si="71"/>
        <v>74728344.170000002</v>
      </c>
      <c r="M285" s="2">
        <f t="shared" si="71"/>
        <v>117277.4</v>
      </c>
      <c r="N285" s="2">
        <f t="shared" si="71"/>
        <v>572204383.69999969</v>
      </c>
      <c r="O285" s="2">
        <f t="shared" si="71"/>
        <v>1696.1999999999998</v>
      </c>
      <c r="P285" s="2">
        <f t="shared" si="71"/>
        <v>1569467.5</v>
      </c>
      <c r="Q285" s="2">
        <f t="shared" si="71"/>
        <v>82083.529999999984</v>
      </c>
      <c r="R285" s="2">
        <f t="shared" si="71"/>
        <v>211288760.96999997</v>
      </c>
      <c r="S285" s="2">
        <f t="shared" si="71"/>
        <v>52420.18</v>
      </c>
      <c r="T285" s="2">
        <f t="shared" si="71"/>
        <v>0</v>
      </c>
      <c r="U285" s="2">
        <f t="shared" si="71"/>
        <v>25330905.260000002</v>
      </c>
    </row>
    <row r="286" spans="1:22" ht="45" customHeight="1" x14ac:dyDescent="0.25">
      <c r="A286" s="54" t="s">
        <v>1001</v>
      </c>
      <c r="B286" s="54"/>
      <c r="C286" s="2">
        <f>SUM(C287:C288)</f>
        <v>9205122.290000001</v>
      </c>
      <c r="D286" s="2">
        <f t="shared" ref="D286:U286" si="72">SUM(D287:D288)</f>
        <v>498637.9</v>
      </c>
      <c r="E286" s="2">
        <f t="shared" si="72"/>
        <v>498637.9</v>
      </c>
      <c r="F286" s="2">
        <f t="shared" si="72"/>
        <v>0</v>
      </c>
      <c r="G286" s="2">
        <f t="shared" si="72"/>
        <v>0</v>
      </c>
      <c r="H286" s="2">
        <f t="shared" si="72"/>
        <v>0</v>
      </c>
      <c r="I286" s="2">
        <f t="shared" si="72"/>
        <v>0</v>
      </c>
      <c r="J286" s="2">
        <f t="shared" si="72"/>
        <v>0</v>
      </c>
      <c r="K286" s="14">
        <f t="shared" si="72"/>
        <v>0</v>
      </c>
      <c r="L286" s="2">
        <f t="shared" si="72"/>
        <v>0</v>
      </c>
      <c r="M286" s="2">
        <f t="shared" si="72"/>
        <v>1095.82</v>
      </c>
      <c r="N286" s="2">
        <f t="shared" si="72"/>
        <v>5132919.0999999996</v>
      </c>
      <c r="O286" s="2">
        <f t="shared" si="72"/>
        <v>0</v>
      </c>
      <c r="P286" s="2">
        <f t="shared" si="72"/>
        <v>0</v>
      </c>
      <c r="Q286" s="2">
        <f t="shared" si="72"/>
        <v>1219</v>
      </c>
      <c r="R286" s="2">
        <f t="shared" si="72"/>
        <v>3459521.49</v>
      </c>
      <c r="S286" s="2">
        <f t="shared" si="72"/>
        <v>0</v>
      </c>
      <c r="T286" s="2">
        <f t="shared" si="72"/>
        <v>0</v>
      </c>
      <c r="U286" s="2">
        <f t="shared" si="72"/>
        <v>114043.8</v>
      </c>
    </row>
    <row r="287" spans="1:22" ht="25.15" customHeight="1" x14ac:dyDescent="0.25">
      <c r="A287" s="37" t="s">
        <v>1227</v>
      </c>
      <c r="B287" s="49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6">
        <f>N287/M287</f>
        <v>4990.5045123081263</v>
      </c>
    </row>
    <row r="288" spans="1:22" ht="25.15" customHeight="1" x14ac:dyDescent="0.25">
      <c r="A288" s="37" t="s">
        <v>1228</v>
      </c>
      <c r="B288" s="50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6">
        <f>N288/M288</f>
        <v>4430.3184017350686</v>
      </c>
    </row>
    <row r="289" spans="1:22" ht="45" customHeight="1" x14ac:dyDescent="0.25">
      <c r="A289" s="54" t="s">
        <v>0</v>
      </c>
      <c r="B289" s="54"/>
      <c r="C289" s="2">
        <f>SUM(C290:C308)</f>
        <v>98735767.409999996</v>
      </c>
      <c r="D289" s="2">
        <f t="shared" ref="D289:U289" si="73">SUM(D290:D308)</f>
        <v>7436576.3999999994</v>
      </c>
      <c r="E289" s="2">
        <f t="shared" si="73"/>
        <v>1881183</v>
      </c>
      <c r="F289" s="2">
        <f t="shared" si="73"/>
        <v>2739651.8</v>
      </c>
      <c r="G289" s="2">
        <f t="shared" si="73"/>
        <v>647216.19999999995</v>
      </c>
      <c r="H289" s="2">
        <f t="shared" si="73"/>
        <v>1083258.2</v>
      </c>
      <c r="I289" s="2">
        <f t="shared" si="73"/>
        <v>1085267.2</v>
      </c>
      <c r="J289" s="2">
        <f t="shared" si="73"/>
        <v>0</v>
      </c>
      <c r="K289" s="14">
        <f t="shared" si="73"/>
        <v>10</v>
      </c>
      <c r="L289" s="2">
        <f t="shared" si="73"/>
        <v>21908867.84</v>
      </c>
      <c r="M289" s="2">
        <f t="shared" si="73"/>
        <v>9411.4299999999985</v>
      </c>
      <c r="N289" s="2">
        <f t="shared" si="73"/>
        <v>40492927.57</v>
      </c>
      <c r="O289" s="2">
        <f t="shared" si="73"/>
        <v>498</v>
      </c>
      <c r="P289" s="2">
        <f t="shared" si="73"/>
        <v>471445</v>
      </c>
      <c r="Q289" s="2">
        <f t="shared" si="73"/>
        <v>9236.7999999999993</v>
      </c>
      <c r="R289" s="2">
        <f t="shared" si="73"/>
        <v>25833161.600000001</v>
      </c>
      <c r="S289" s="2">
        <f t="shared" si="73"/>
        <v>0</v>
      </c>
      <c r="T289" s="2">
        <f t="shared" si="73"/>
        <v>0</v>
      </c>
      <c r="U289" s="2">
        <f t="shared" si="73"/>
        <v>2592789</v>
      </c>
    </row>
    <row r="290" spans="1:22" ht="25.15" customHeight="1" x14ac:dyDescent="0.25">
      <c r="A290" s="36" t="s">
        <v>1229</v>
      </c>
      <c r="B290" s="8" t="s">
        <v>44</v>
      </c>
      <c r="C290" s="2">
        <f t="shared" ref="C290:C342" si="74">D290+L290+N290+P290+R290+S290+T290+U290</f>
        <v>4342584</v>
      </c>
      <c r="D290" s="3">
        <f t="shared" ref="D290:D308" si="75"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6">
        <f t="shared" ref="V290:V308" si="76">N290/M290</f>
        <v>5401.2238805970146</v>
      </c>
    </row>
    <row r="291" spans="1:22" ht="25.15" customHeight="1" x14ac:dyDescent="0.25">
      <c r="A291" s="36" t="s">
        <v>1230</v>
      </c>
      <c r="B291" s="8" t="s">
        <v>47</v>
      </c>
      <c r="C291" s="2">
        <f t="shared" si="74"/>
        <v>1403380</v>
      </c>
      <c r="D291" s="3">
        <f t="shared" si="75"/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6">
        <f t="shared" si="76"/>
        <v>5500</v>
      </c>
    </row>
    <row r="292" spans="1:22" ht="25.15" customHeight="1" x14ac:dyDescent="0.25">
      <c r="A292" s="36" t="s">
        <v>1231</v>
      </c>
      <c r="B292" s="8" t="s">
        <v>32</v>
      </c>
      <c r="C292" s="2">
        <f t="shared" si="74"/>
        <v>8641715.9100000001</v>
      </c>
      <c r="D292" s="3">
        <f t="shared" si="75"/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6">
        <f t="shared" si="76"/>
        <v>5491.7930463576167</v>
      </c>
    </row>
    <row r="293" spans="1:22" ht="25.15" customHeight="1" x14ac:dyDescent="0.25">
      <c r="A293" s="36" t="s">
        <v>1232</v>
      </c>
      <c r="B293" s="8" t="s">
        <v>51</v>
      </c>
      <c r="C293" s="2">
        <f t="shared" si="74"/>
        <v>5034090</v>
      </c>
      <c r="D293" s="3">
        <f t="shared" si="75"/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76"/>
        <v>5169.8502680386964</v>
      </c>
    </row>
    <row r="294" spans="1:22" ht="25.15" customHeight="1" x14ac:dyDescent="0.25">
      <c r="A294" s="36" t="s">
        <v>1233</v>
      </c>
      <c r="B294" s="19" t="s">
        <v>871</v>
      </c>
      <c r="C294" s="2">
        <f>D294+L294+N294+P294+R294+S294+T294+U294</f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20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6" t="e">
        <f>N294/M294</f>
        <v>#DIV/0!</v>
      </c>
    </row>
    <row r="295" spans="1:22" ht="25.15" customHeight="1" x14ac:dyDescent="0.25">
      <c r="A295" s="36" t="s">
        <v>1234</v>
      </c>
      <c r="B295" s="8" t="s">
        <v>54</v>
      </c>
      <c r="C295" s="2">
        <f>D295+L295+N295+P295+R295+S295+T295+U295</f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20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6" t="e">
        <f>N295/M295</f>
        <v>#DIV/0!</v>
      </c>
    </row>
    <row r="296" spans="1:22" ht="25.15" customHeight="1" x14ac:dyDescent="0.25">
      <c r="A296" s="36" t="s">
        <v>1235</v>
      </c>
      <c r="B296" s="8" t="s">
        <v>52</v>
      </c>
      <c r="C296" s="2">
        <f t="shared" si="74"/>
        <v>2582996.2599999998</v>
      </c>
      <c r="D296" s="3">
        <f t="shared" si="75"/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6">
        <f t="shared" si="76"/>
        <v>5201.3617801047112</v>
      </c>
    </row>
    <row r="297" spans="1:22" ht="25.15" customHeight="1" x14ac:dyDescent="0.25">
      <c r="A297" s="36" t="s">
        <v>1236</v>
      </c>
      <c r="B297" s="19" t="s">
        <v>58</v>
      </c>
      <c r="C297" s="2">
        <f t="shared" si="74"/>
        <v>3051154.77</v>
      </c>
      <c r="D297" s="3">
        <f t="shared" si="75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76"/>
        <v>5499.5579848594089</v>
      </c>
    </row>
    <row r="298" spans="1:22" ht="25.15" customHeight="1" x14ac:dyDescent="0.25">
      <c r="A298" s="36" t="s">
        <v>1237</v>
      </c>
      <c r="B298" s="8" t="s">
        <v>33</v>
      </c>
      <c r="C298" s="2">
        <f t="shared" si="74"/>
        <v>3795805.94</v>
      </c>
      <c r="D298" s="3">
        <f t="shared" si="75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6">
        <f t="shared" si="76"/>
        <v>3462.378856152513</v>
      </c>
    </row>
    <row r="299" spans="1:22" ht="25.15" customHeight="1" x14ac:dyDescent="0.25">
      <c r="A299" s="36" t="s">
        <v>1238</v>
      </c>
      <c r="B299" s="8" t="s">
        <v>1007</v>
      </c>
      <c r="C299" s="2">
        <f>D299+L299+N299+P299+R299+S299+T299+U299</f>
        <v>14021461.279999999</v>
      </c>
      <c r="D299" s="3">
        <f>SUM(E299:J299)</f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6" t="e">
        <f t="shared" si="76"/>
        <v>#DIV/0!</v>
      </c>
    </row>
    <row r="300" spans="1:22" ht="25.15" customHeight="1" x14ac:dyDescent="0.25">
      <c r="A300" s="36" t="s">
        <v>1239</v>
      </c>
      <c r="B300" s="8" t="s">
        <v>34</v>
      </c>
      <c r="C300" s="2">
        <f t="shared" si="74"/>
        <v>957241.2</v>
      </c>
      <c r="D300" s="3">
        <f t="shared" si="75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76"/>
        <v>2900.5551178716441</v>
      </c>
    </row>
    <row r="301" spans="1:22" ht="25.15" customHeight="1" x14ac:dyDescent="0.25">
      <c r="A301" s="36" t="s">
        <v>1240</v>
      </c>
      <c r="B301" s="8" t="s">
        <v>61</v>
      </c>
      <c r="C301" s="2">
        <f>D301+L301+N301+P301+R301+S301+T301+U301</f>
        <v>4819705</v>
      </c>
      <c r="D301" s="3">
        <f>SUM(E301:J301)</f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>N301/M301</f>
        <v>5500</v>
      </c>
    </row>
    <row r="302" spans="1:22" ht="25.15" customHeight="1" x14ac:dyDescent="0.25">
      <c r="A302" s="36" t="s">
        <v>1241</v>
      </c>
      <c r="B302" s="8" t="s">
        <v>60</v>
      </c>
      <c r="C302" s="2">
        <f t="shared" si="74"/>
        <v>103983.92</v>
      </c>
      <c r="D302" s="3">
        <f t="shared" si="75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6" t="e">
        <f t="shared" si="76"/>
        <v>#DIV/0!</v>
      </c>
    </row>
    <row r="303" spans="1:22" ht="25.15" customHeight="1" x14ac:dyDescent="0.25">
      <c r="A303" s="36" t="s">
        <v>1242</v>
      </c>
      <c r="B303" s="8" t="s">
        <v>64</v>
      </c>
      <c r="C303" s="2">
        <f t="shared" si="74"/>
        <v>349158.1</v>
      </c>
      <c r="D303" s="3">
        <f t="shared" si="75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6" t="e">
        <f t="shared" si="76"/>
        <v>#DIV/0!</v>
      </c>
    </row>
    <row r="304" spans="1:22" ht="25.15" customHeight="1" x14ac:dyDescent="0.25">
      <c r="A304" s="36" t="s">
        <v>1243</v>
      </c>
      <c r="B304" s="8" t="s">
        <v>836</v>
      </c>
      <c r="C304" s="2">
        <f t="shared" si="74"/>
        <v>11139009.6</v>
      </c>
      <c r="D304" s="3">
        <f t="shared" si="75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6">
        <f t="shared" si="76"/>
        <v>3343.6224674022069</v>
      </c>
    </row>
    <row r="305" spans="1:22" ht="25.15" customHeight="1" x14ac:dyDescent="0.25">
      <c r="A305" s="36" t="s">
        <v>1244</v>
      </c>
      <c r="B305" s="19" t="s">
        <v>36</v>
      </c>
      <c r="C305" s="2">
        <f t="shared" si="74"/>
        <v>4118881.2</v>
      </c>
      <c r="D305" s="3">
        <f t="shared" si="75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 t="shared" si="76"/>
        <v>3320.6072234762978</v>
      </c>
    </row>
    <row r="306" spans="1:22" ht="25.15" customHeight="1" x14ac:dyDescent="0.25">
      <c r="A306" s="36" t="s">
        <v>1245</v>
      </c>
      <c r="B306" s="8" t="s">
        <v>854</v>
      </c>
      <c r="C306" s="2">
        <f t="shared" si="74"/>
        <v>8750299.8599999994</v>
      </c>
      <c r="D306" s="3">
        <f t="shared" si="75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20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6" t="e">
        <f t="shared" si="76"/>
        <v>#DIV/0!</v>
      </c>
    </row>
    <row r="307" spans="1:22" ht="25.15" customHeight="1" x14ac:dyDescent="0.25">
      <c r="A307" s="36" t="s">
        <v>1246</v>
      </c>
      <c r="B307" s="19" t="s">
        <v>37</v>
      </c>
      <c r="C307" s="2">
        <f t="shared" si="74"/>
        <v>15692997.6</v>
      </c>
      <c r="D307" s="3">
        <f t="shared" si="75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6" t="e">
        <f t="shared" si="76"/>
        <v>#DIV/0!</v>
      </c>
    </row>
    <row r="308" spans="1:22" ht="25.15" customHeight="1" x14ac:dyDescent="0.25">
      <c r="A308" s="36" t="s">
        <v>1247</v>
      </c>
      <c r="B308" s="19" t="s">
        <v>38</v>
      </c>
      <c r="C308" s="2">
        <f t="shared" si="74"/>
        <v>9083486.25</v>
      </c>
      <c r="D308" s="3">
        <f t="shared" si="75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6">
        <f t="shared" si="76"/>
        <v>2892.8231196460511</v>
      </c>
    </row>
    <row r="309" spans="1:22" ht="42.95" customHeight="1" x14ac:dyDescent="0.25">
      <c r="A309" s="54" t="s">
        <v>30</v>
      </c>
      <c r="B309" s="54"/>
      <c r="C309" s="2">
        <f>SUM(C310)</f>
        <v>100972.17</v>
      </c>
      <c r="D309" s="2">
        <f t="shared" ref="D309:U309" si="77">SUM(D310)</f>
        <v>0</v>
      </c>
      <c r="E309" s="2">
        <f t="shared" si="77"/>
        <v>0</v>
      </c>
      <c r="F309" s="2">
        <f t="shared" si="77"/>
        <v>0</v>
      </c>
      <c r="G309" s="2">
        <f t="shared" si="77"/>
        <v>0</v>
      </c>
      <c r="H309" s="2">
        <f t="shared" si="77"/>
        <v>0</v>
      </c>
      <c r="I309" s="2">
        <f t="shared" si="77"/>
        <v>0</v>
      </c>
      <c r="J309" s="2">
        <f t="shared" si="77"/>
        <v>0</v>
      </c>
      <c r="K309" s="14">
        <f t="shared" si="77"/>
        <v>0</v>
      </c>
      <c r="L309" s="2">
        <f t="shared" si="77"/>
        <v>0</v>
      </c>
      <c r="M309" s="2">
        <f t="shared" si="77"/>
        <v>0</v>
      </c>
      <c r="N309" s="2">
        <f t="shared" si="77"/>
        <v>0</v>
      </c>
      <c r="O309" s="2">
        <f t="shared" si="77"/>
        <v>0</v>
      </c>
      <c r="P309" s="2">
        <f t="shared" si="77"/>
        <v>0</v>
      </c>
      <c r="Q309" s="2">
        <f t="shared" si="77"/>
        <v>0</v>
      </c>
      <c r="R309" s="2">
        <f t="shared" si="77"/>
        <v>0</v>
      </c>
      <c r="S309" s="2">
        <f t="shared" si="77"/>
        <v>0</v>
      </c>
      <c r="T309" s="2">
        <f t="shared" si="77"/>
        <v>0</v>
      </c>
      <c r="U309" s="2">
        <f t="shared" si="77"/>
        <v>100972.17</v>
      </c>
      <c r="V309" s="18">
        <f>C309</f>
        <v>100972.17</v>
      </c>
    </row>
    <row r="310" spans="1:22" ht="25.15" customHeight="1" x14ac:dyDescent="0.25">
      <c r="A310" s="37" t="s">
        <v>1248</v>
      </c>
      <c r="B310" s="8" t="s">
        <v>31</v>
      </c>
      <c r="C310" s="2">
        <f t="shared" si="74"/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6" t="e">
        <f>N310/M310</f>
        <v>#DIV/0!</v>
      </c>
    </row>
    <row r="311" spans="1:22" ht="42.95" customHeight="1" x14ac:dyDescent="0.25">
      <c r="A311" s="54" t="s">
        <v>74</v>
      </c>
      <c r="B311" s="54"/>
      <c r="C311" s="2">
        <f>SUM(C312:C314)</f>
        <v>7136655.46</v>
      </c>
      <c r="D311" s="2">
        <f t="shared" ref="D311:U311" si="78">SUM(D312:D314)</f>
        <v>0</v>
      </c>
      <c r="E311" s="2">
        <f t="shared" si="78"/>
        <v>0</v>
      </c>
      <c r="F311" s="2">
        <f t="shared" si="78"/>
        <v>0</v>
      </c>
      <c r="G311" s="2">
        <f t="shared" si="78"/>
        <v>0</v>
      </c>
      <c r="H311" s="2">
        <f t="shared" si="78"/>
        <v>0</v>
      </c>
      <c r="I311" s="2">
        <f t="shared" si="78"/>
        <v>0</v>
      </c>
      <c r="J311" s="2">
        <f t="shared" si="78"/>
        <v>0</v>
      </c>
      <c r="K311" s="14">
        <f t="shared" si="78"/>
        <v>0</v>
      </c>
      <c r="L311" s="2">
        <f t="shared" si="78"/>
        <v>0</v>
      </c>
      <c r="M311" s="2">
        <f t="shared" si="78"/>
        <v>1302.0999999999999</v>
      </c>
      <c r="N311" s="2">
        <f t="shared" si="78"/>
        <v>6894899.5899999999</v>
      </c>
      <c r="O311" s="2">
        <f t="shared" si="78"/>
        <v>0</v>
      </c>
      <c r="P311" s="2">
        <f t="shared" si="78"/>
        <v>0</v>
      </c>
      <c r="Q311" s="2">
        <f t="shared" si="78"/>
        <v>0</v>
      </c>
      <c r="R311" s="2">
        <f t="shared" si="78"/>
        <v>0</v>
      </c>
      <c r="S311" s="2">
        <f t="shared" si="78"/>
        <v>0</v>
      </c>
      <c r="T311" s="2">
        <f t="shared" si="78"/>
        <v>0</v>
      </c>
      <c r="U311" s="2">
        <f t="shared" si="78"/>
        <v>241755.87</v>
      </c>
    </row>
    <row r="312" spans="1:22" ht="25.15" customHeight="1" x14ac:dyDescent="0.25">
      <c r="A312" s="36" t="s">
        <v>1249</v>
      </c>
      <c r="B312" s="8" t="s">
        <v>831</v>
      </c>
      <c r="C312" s="2">
        <f t="shared" si="74"/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1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241755.87</v>
      </c>
      <c r="V312" s="6" t="e">
        <f>N312/M312</f>
        <v>#DIV/0!</v>
      </c>
    </row>
    <row r="313" spans="1:22" ht="25.15" customHeight="1" x14ac:dyDescent="0.25">
      <c r="A313" s="36" t="s">
        <v>1250</v>
      </c>
      <c r="B313" s="8" t="s">
        <v>832</v>
      </c>
      <c r="C313" s="2">
        <f t="shared" si="74"/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5">
        <v>0</v>
      </c>
      <c r="U313" s="3">
        <v>0</v>
      </c>
      <c r="V313" s="6">
        <f>N313/M313</f>
        <v>5428.2709205798537</v>
      </c>
    </row>
    <row r="314" spans="1:22" ht="25.15" customHeight="1" x14ac:dyDescent="0.25">
      <c r="A314" s="36" t="s">
        <v>1251</v>
      </c>
      <c r="B314" s="8" t="s">
        <v>833</v>
      </c>
      <c r="C314" s="2">
        <f t="shared" si="74"/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5">
        <v>0</v>
      </c>
      <c r="U314" s="3">
        <v>0</v>
      </c>
      <c r="V314" s="6">
        <f>N314/M314</f>
        <v>5078.2669292929295</v>
      </c>
    </row>
    <row r="315" spans="1:22" ht="42.95" customHeight="1" x14ac:dyDescent="0.25">
      <c r="A315" s="54" t="s">
        <v>2</v>
      </c>
      <c r="B315" s="54"/>
      <c r="C315" s="2">
        <f>SUM(C316:C317)</f>
        <v>5038178.04</v>
      </c>
      <c r="D315" s="2">
        <f t="shared" ref="D315:U315" si="79">SUM(D316:D317)</f>
        <v>0</v>
      </c>
      <c r="E315" s="2">
        <f t="shared" si="79"/>
        <v>0</v>
      </c>
      <c r="F315" s="2">
        <f t="shared" si="79"/>
        <v>0</v>
      </c>
      <c r="G315" s="2">
        <f t="shared" si="79"/>
        <v>0</v>
      </c>
      <c r="H315" s="2">
        <f t="shared" si="79"/>
        <v>0</v>
      </c>
      <c r="I315" s="2">
        <f t="shared" si="79"/>
        <v>0</v>
      </c>
      <c r="J315" s="2">
        <f t="shared" si="79"/>
        <v>0</v>
      </c>
      <c r="K315" s="14">
        <f t="shared" si="79"/>
        <v>0</v>
      </c>
      <c r="L315" s="2">
        <f t="shared" si="79"/>
        <v>0</v>
      </c>
      <c r="M315" s="2">
        <f t="shared" si="79"/>
        <v>1019.4</v>
      </c>
      <c r="N315" s="2">
        <f t="shared" si="79"/>
        <v>5038178.04</v>
      </c>
      <c r="O315" s="2">
        <f t="shared" si="79"/>
        <v>0</v>
      </c>
      <c r="P315" s="2">
        <f t="shared" si="79"/>
        <v>0</v>
      </c>
      <c r="Q315" s="2">
        <f t="shared" si="79"/>
        <v>0</v>
      </c>
      <c r="R315" s="2">
        <f t="shared" si="79"/>
        <v>0</v>
      </c>
      <c r="S315" s="2">
        <f t="shared" si="79"/>
        <v>0</v>
      </c>
      <c r="T315" s="2">
        <f t="shared" si="79"/>
        <v>0</v>
      </c>
      <c r="U315" s="2">
        <f t="shared" si="79"/>
        <v>0</v>
      </c>
    </row>
    <row r="316" spans="1:22" ht="25.15" customHeight="1" x14ac:dyDescent="0.25">
      <c r="A316" s="37" t="s">
        <v>1252</v>
      </c>
      <c r="B316" s="8" t="s">
        <v>79</v>
      </c>
      <c r="C316" s="2">
        <f t="shared" si="74"/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5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5">
        <v>0</v>
      </c>
      <c r="V316" s="6">
        <f>N316/M316</f>
        <v>4966.4573866980581</v>
      </c>
    </row>
    <row r="317" spans="1:22" ht="25.15" customHeight="1" x14ac:dyDescent="0.25">
      <c r="A317" s="37" t="s">
        <v>1253</v>
      </c>
      <c r="B317" s="8" t="s">
        <v>80</v>
      </c>
      <c r="C317" s="2">
        <f t="shared" si="74"/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5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5">
        <v>0</v>
      </c>
      <c r="V317" s="6">
        <f>N317/M317</f>
        <v>4918.1375515008831</v>
      </c>
    </row>
    <row r="318" spans="1:22" ht="45" customHeight="1" x14ac:dyDescent="0.25">
      <c r="A318" s="54" t="s">
        <v>81</v>
      </c>
      <c r="B318" s="54"/>
      <c r="C318" s="2">
        <f>SUM(C319)</f>
        <v>71020.7</v>
      </c>
      <c r="D318" s="2">
        <f t="shared" ref="D318:U318" si="80">SUM(D319)</f>
        <v>0</v>
      </c>
      <c r="E318" s="2">
        <f t="shared" si="80"/>
        <v>0</v>
      </c>
      <c r="F318" s="2">
        <f t="shared" si="80"/>
        <v>0</v>
      </c>
      <c r="G318" s="2">
        <f t="shared" si="80"/>
        <v>0</v>
      </c>
      <c r="H318" s="2">
        <f t="shared" si="80"/>
        <v>0</v>
      </c>
      <c r="I318" s="2">
        <f t="shared" si="80"/>
        <v>0</v>
      </c>
      <c r="J318" s="2">
        <f t="shared" si="80"/>
        <v>0</v>
      </c>
      <c r="K318" s="14">
        <f t="shared" si="80"/>
        <v>0</v>
      </c>
      <c r="L318" s="2">
        <f t="shared" si="80"/>
        <v>0</v>
      </c>
      <c r="M318" s="2">
        <f t="shared" si="80"/>
        <v>0</v>
      </c>
      <c r="N318" s="2">
        <f t="shared" si="80"/>
        <v>0</v>
      </c>
      <c r="O318" s="2">
        <f t="shared" si="80"/>
        <v>0</v>
      </c>
      <c r="P318" s="2">
        <f t="shared" si="80"/>
        <v>0</v>
      </c>
      <c r="Q318" s="2">
        <f t="shared" si="80"/>
        <v>0</v>
      </c>
      <c r="R318" s="2">
        <f t="shared" si="80"/>
        <v>0</v>
      </c>
      <c r="S318" s="2">
        <f t="shared" si="80"/>
        <v>0</v>
      </c>
      <c r="T318" s="2">
        <f t="shared" si="80"/>
        <v>0</v>
      </c>
      <c r="U318" s="2">
        <f t="shared" si="80"/>
        <v>71020.7</v>
      </c>
      <c r="V318" s="18">
        <f>C318+C727</f>
        <v>4142440.7</v>
      </c>
    </row>
    <row r="319" spans="1:22" ht="25.15" customHeight="1" x14ac:dyDescent="0.25">
      <c r="A319" s="36" t="s">
        <v>1254</v>
      </c>
      <c r="B319" s="1" t="s">
        <v>84</v>
      </c>
      <c r="C319" s="2">
        <f t="shared" si="74"/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1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3">
        <v>0</v>
      </c>
      <c r="S319" s="5">
        <v>0</v>
      </c>
      <c r="T319" s="5">
        <v>0</v>
      </c>
      <c r="U319" s="5">
        <v>71020.7</v>
      </c>
      <c r="V319" s="6" t="e">
        <f>N319/M319</f>
        <v>#DIV/0!</v>
      </c>
    </row>
    <row r="320" spans="1:22" ht="45" customHeight="1" x14ac:dyDescent="0.25">
      <c r="A320" s="54" t="s">
        <v>810</v>
      </c>
      <c r="B320" s="54"/>
      <c r="C320" s="2">
        <f t="shared" ref="C320:U320" si="81">SUM(C321:C322)</f>
        <v>3892881.29</v>
      </c>
      <c r="D320" s="2">
        <f t="shared" si="81"/>
        <v>0</v>
      </c>
      <c r="E320" s="2">
        <f t="shared" si="81"/>
        <v>0</v>
      </c>
      <c r="F320" s="2">
        <f t="shared" si="81"/>
        <v>0</v>
      </c>
      <c r="G320" s="2">
        <f t="shared" si="81"/>
        <v>0</v>
      </c>
      <c r="H320" s="2">
        <f t="shared" si="81"/>
        <v>0</v>
      </c>
      <c r="I320" s="2">
        <f t="shared" si="81"/>
        <v>0</v>
      </c>
      <c r="J320" s="2">
        <f t="shared" si="81"/>
        <v>0</v>
      </c>
      <c r="K320" s="14">
        <f t="shared" si="81"/>
        <v>0</v>
      </c>
      <c r="L320" s="2">
        <f t="shared" si="81"/>
        <v>0</v>
      </c>
      <c r="M320" s="2">
        <f t="shared" si="81"/>
        <v>341.2</v>
      </c>
      <c r="N320" s="2">
        <f t="shared" si="81"/>
        <v>1158583.52</v>
      </c>
      <c r="O320" s="2">
        <f t="shared" si="81"/>
        <v>0</v>
      </c>
      <c r="P320" s="2">
        <f t="shared" si="81"/>
        <v>0</v>
      </c>
      <c r="Q320" s="2">
        <f t="shared" si="81"/>
        <v>855</v>
      </c>
      <c r="R320" s="2">
        <f t="shared" si="81"/>
        <v>2565000</v>
      </c>
      <c r="S320" s="2">
        <f t="shared" si="81"/>
        <v>0</v>
      </c>
      <c r="T320" s="2">
        <f t="shared" si="81"/>
        <v>0</v>
      </c>
      <c r="U320" s="2">
        <f t="shared" si="81"/>
        <v>169297.77</v>
      </c>
    </row>
    <row r="321" spans="1:258" ht="25.15" customHeight="1" x14ac:dyDescent="0.25">
      <c r="A321" s="37" t="s">
        <v>1255</v>
      </c>
      <c r="B321" s="8" t="s">
        <v>89</v>
      </c>
      <c r="C321" s="2">
        <f t="shared" si="74"/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6" t="e">
        <f>N321/M321</f>
        <v>#DIV/0!</v>
      </c>
    </row>
    <row r="322" spans="1:258" ht="25.15" customHeight="1" x14ac:dyDescent="0.25">
      <c r="A322" s="37" t="s">
        <v>1256</v>
      </c>
      <c r="B322" s="8" t="s">
        <v>90</v>
      </c>
      <c r="C322" s="2">
        <f t="shared" si="74"/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1">
        <v>0</v>
      </c>
      <c r="L322" s="5">
        <v>0</v>
      </c>
      <c r="M322" s="5">
        <v>341.2</v>
      </c>
      <c r="N322" s="5">
        <v>1158583.52</v>
      </c>
      <c r="O322" s="5">
        <v>0</v>
      </c>
      <c r="P322" s="5">
        <v>0</v>
      </c>
      <c r="Q322" s="5">
        <v>855</v>
      </c>
      <c r="R322" s="3">
        <v>2565000</v>
      </c>
      <c r="S322" s="5">
        <v>0</v>
      </c>
      <c r="T322" s="5">
        <v>0</v>
      </c>
      <c r="U322" s="5">
        <v>0</v>
      </c>
      <c r="V322" s="6">
        <f>N322/M322</f>
        <v>3395.614067995311</v>
      </c>
      <c r="IX322" s="25"/>
    </row>
    <row r="323" spans="1:258" ht="45" customHeight="1" x14ac:dyDescent="0.25">
      <c r="A323" s="54" t="s">
        <v>93</v>
      </c>
      <c r="B323" s="54"/>
      <c r="C323" s="2">
        <f>SUM(C324:C327)</f>
        <v>13701948.35</v>
      </c>
      <c r="D323" s="2">
        <f t="shared" ref="D323:U323" si="82">SUM(D324:D327)</f>
        <v>198676.96</v>
      </c>
      <c r="E323" s="2">
        <f t="shared" si="82"/>
        <v>161634.29999999999</v>
      </c>
      <c r="F323" s="2">
        <f t="shared" si="82"/>
        <v>0</v>
      </c>
      <c r="G323" s="2">
        <f t="shared" si="82"/>
        <v>37042.660000000003</v>
      </c>
      <c r="H323" s="2">
        <f t="shared" si="82"/>
        <v>0</v>
      </c>
      <c r="I323" s="2">
        <f t="shared" si="82"/>
        <v>0</v>
      </c>
      <c r="J323" s="2">
        <f t="shared" si="82"/>
        <v>0</v>
      </c>
      <c r="K323" s="14">
        <f t="shared" si="82"/>
        <v>5</v>
      </c>
      <c r="L323" s="2">
        <f t="shared" si="82"/>
        <v>10458966.57</v>
      </c>
      <c r="M323" s="2">
        <f t="shared" si="82"/>
        <v>747</v>
      </c>
      <c r="N323" s="2">
        <f t="shared" si="82"/>
        <v>2503149.33</v>
      </c>
      <c r="O323" s="2">
        <f t="shared" si="82"/>
        <v>0</v>
      </c>
      <c r="P323" s="2">
        <f t="shared" si="82"/>
        <v>0</v>
      </c>
      <c r="Q323" s="2">
        <f t="shared" si="82"/>
        <v>0</v>
      </c>
      <c r="R323" s="2">
        <f t="shared" si="82"/>
        <v>0</v>
      </c>
      <c r="S323" s="2">
        <f t="shared" si="82"/>
        <v>0</v>
      </c>
      <c r="T323" s="2">
        <f t="shared" si="82"/>
        <v>0</v>
      </c>
      <c r="U323" s="2">
        <f t="shared" si="82"/>
        <v>541155.49</v>
      </c>
    </row>
    <row r="324" spans="1:258" s="26" customFormat="1" ht="25.15" customHeight="1" x14ac:dyDescent="0.25">
      <c r="A324" s="37" t="s">
        <v>1257</v>
      </c>
      <c r="B324" s="8" t="s">
        <v>94</v>
      </c>
      <c r="C324" s="2">
        <f t="shared" si="74"/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6">
        <f>N324/M324</f>
        <v>3350.9361847389559</v>
      </c>
    </row>
    <row r="325" spans="1:258" s="6" customFormat="1" ht="25.15" customHeight="1" x14ac:dyDescent="0.25">
      <c r="A325" s="37" t="s">
        <v>1258</v>
      </c>
      <c r="B325" s="8" t="s">
        <v>95</v>
      </c>
      <c r="C325" s="2">
        <f>D325+L325+N325+P325+R325+S325+T325+U325</f>
        <v>257304.78</v>
      </c>
      <c r="D325" s="3">
        <f>SUM(E325:J325)</f>
        <v>198676.96</v>
      </c>
      <c r="E325" s="5">
        <v>161634.29999999999</v>
      </c>
      <c r="F325" s="5">
        <f>800*0</f>
        <v>0</v>
      </c>
      <c r="G325" s="5">
        <v>37042.660000000003</v>
      </c>
      <c r="H325" s="5">
        <f>500*0</f>
        <v>0</v>
      </c>
      <c r="I325" s="5">
        <v>0</v>
      </c>
      <c r="J325" s="5">
        <f>350*0</f>
        <v>0</v>
      </c>
      <c r="K325" s="11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58627.82</v>
      </c>
      <c r="V325" s="6" t="e">
        <f>N325/M325</f>
        <v>#DIV/0!</v>
      </c>
    </row>
    <row r="326" spans="1:258" s="6" customFormat="1" ht="25.15" customHeight="1" x14ac:dyDescent="0.25">
      <c r="A326" s="37" t="s">
        <v>1259</v>
      </c>
      <c r="B326" s="8" t="s">
        <v>98</v>
      </c>
      <c r="C326" s="2">
        <f t="shared" si="74"/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1">
        <v>2</v>
      </c>
      <c r="L326" s="5">
        <v>4170220.4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206524.84</v>
      </c>
      <c r="V326" s="6" t="e">
        <f>N326/M326</f>
        <v>#DIV/0!</v>
      </c>
    </row>
    <row r="327" spans="1:258" ht="25.15" customHeight="1" x14ac:dyDescent="0.25">
      <c r="A327" s="37" t="s">
        <v>1260</v>
      </c>
      <c r="B327" s="8" t="s">
        <v>100</v>
      </c>
      <c r="C327" s="2">
        <f t="shared" si="74"/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5">
        <v>0</v>
      </c>
      <c r="N327" s="5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6" t="e">
        <f>N327/M327</f>
        <v>#DIV/0!</v>
      </c>
    </row>
    <row r="328" spans="1:258" ht="50.25" customHeight="1" x14ac:dyDescent="0.25">
      <c r="A328" s="54" t="s">
        <v>102</v>
      </c>
      <c r="B328" s="54"/>
      <c r="C328" s="2">
        <f>SUM(C329:C335)</f>
        <v>25162921.030000001</v>
      </c>
      <c r="D328" s="2">
        <f t="shared" ref="D328:U328" si="83">SUM(D329:D335)</f>
        <v>1498260.9100000001</v>
      </c>
      <c r="E328" s="2">
        <f t="shared" si="83"/>
        <v>295858.87</v>
      </c>
      <c r="F328" s="2">
        <f t="shared" si="83"/>
        <v>961380</v>
      </c>
      <c r="G328" s="2">
        <f t="shared" si="83"/>
        <v>148263.76</v>
      </c>
      <c r="H328" s="2">
        <f t="shared" si="83"/>
        <v>92758.28</v>
      </c>
      <c r="I328" s="2">
        <f t="shared" si="83"/>
        <v>0</v>
      </c>
      <c r="J328" s="2">
        <f t="shared" si="83"/>
        <v>0</v>
      </c>
      <c r="K328" s="14">
        <f t="shared" si="83"/>
        <v>0</v>
      </c>
      <c r="L328" s="2">
        <f t="shared" si="83"/>
        <v>0</v>
      </c>
      <c r="M328" s="2">
        <f t="shared" si="83"/>
        <v>4288.4600000000009</v>
      </c>
      <c r="N328" s="2">
        <f t="shared" si="83"/>
        <v>20884485.370000001</v>
      </c>
      <c r="O328" s="2">
        <f t="shared" si="83"/>
        <v>0</v>
      </c>
      <c r="P328" s="2">
        <f t="shared" si="83"/>
        <v>0</v>
      </c>
      <c r="Q328" s="2">
        <f t="shared" si="83"/>
        <v>942</v>
      </c>
      <c r="R328" s="2">
        <f t="shared" si="83"/>
        <v>2780174.75</v>
      </c>
      <c r="S328" s="2">
        <f t="shared" si="83"/>
        <v>0</v>
      </c>
      <c r="T328" s="2">
        <f t="shared" si="83"/>
        <v>0</v>
      </c>
      <c r="U328" s="2">
        <f t="shared" si="83"/>
        <v>0</v>
      </c>
    </row>
    <row r="329" spans="1:258" s="17" customFormat="1" ht="25.15" customHeight="1" x14ac:dyDescent="0.25">
      <c r="A329" s="37" t="s">
        <v>1261</v>
      </c>
      <c r="B329" s="8" t="s">
        <v>103</v>
      </c>
      <c r="C329" s="2">
        <f t="shared" si="74"/>
        <v>3229619.15</v>
      </c>
      <c r="D329" s="3">
        <f t="shared" ref="D329:D335" si="84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5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 t="shared" ref="V329:V335" si="85">N329/M329</f>
        <v>5110.1568829113921</v>
      </c>
    </row>
    <row r="330" spans="1:258" ht="25.15" customHeight="1" x14ac:dyDescent="0.25">
      <c r="A330" s="37" t="s">
        <v>1262</v>
      </c>
      <c r="B330" s="8" t="s">
        <v>105</v>
      </c>
      <c r="C330" s="2">
        <f t="shared" si="74"/>
        <v>3371061.19</v>
      </c>
      <c r="D330" s="3">
        <f t="shared" si="84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5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6">
        <f t="shared" si="85"/>
        <v>5226.451457364341</v>
      </c>
    </row>
    <row r="331" spans="1:258" ht="25.15" customHeight="1" x14ac:dyDescent="0.25">
      <c r="A331" s="37" t="s">
        <v>1263</v>
      </c>
      <c r="B331" s="8" t="s">
        <v>937</v>
      </c>
      <c r="C331" s="2">
        <f t="shared" si="74"/>
        <v>3363849.99</v>
      </c>
      <c r="D331" s="3">
        <f t="shared" si="84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1">
        <v>0</v>
      </c>
      <c r="L331" s="5">
        <v>0</v>
      </c>
      <c r="M331" s="5">
        <v>916.9</v>
      </c>
      <c r="N331" s="5">
        <v>3363849.99</v>
      </c>
      <c r="O331" s="5">
        <v>0</v>
      </c>
      <c r="P331" s="5">
        <v>0</v>
      </c>
      <c r="Q331" s="5">
        <v>0</v>
      </c>
      <c r="R331" s="5">
        <f>Q331*3000</f>
        <v>0</v>
      </c>
      <c r="S331" s="5">
        <v>0</v>
      </c>
      <c r="T331" s="5">
        <v>0</v>
      </c>
      <c r="U331" s="5">
        <v>0</v>
      </c>
      <c r="V331" s="6">
        <f t="shared" si="85"/>
        <v>3668.7206783727784</v>
      </c>
    </row>
    <row r="332" spans="1:258" ht="25.15" customHeight="1" x14ac:dyDescent="0.25">
      <c r="A332" s="37" t="s">
        <v>1264</v>
      </c>
      <c r="B332" s="8" t="s">
        <v>108</v>
      </c>
      <c r="C332" s="2">
        <f t="shared" si="74"/>
        <v>4278435.66</v>
      </c>
      <c r="D332" s="3">
        <f t="shared" si="84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5">
        <v>0</v>
      </c>
      <c r="N332" s="5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6" t="e">
        <f t="shared" si="85"/>
        <v>#DIV/0!</v>
      </c>
    </row>
    <row r="333" spans="1:258" ht="25.15" customHeight="1" x14ac:dyDescent="0.25">
      <c r="A333" s="37" t="s">
        <v>1265</v>
      </c>
      <c r="B333" s="8" t="s">
        <v>113</v>
      </c>
      <c r="C333" s="2">
        <f t="shared" si="74"/>
        <v>3220380.49</v>
      </c>
      <c r="D333" s="3">
        <f t="shared" si="84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5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6">
        <f t="shared" si="85"/>
        <v>5067.5549418558912</v>
      </c>
    </row>
    <row r="334" spans="1:258" ht="25.15" customHeight="1" x14ac:dyDescent="0.25">
      <c r="A334" s="37" t="s">
        <v>1266</v>
      </c>
      <c r="B334" s="8" t="s">
        <v>114</v>
      </c>
      <c r="C334" s="2">
        <f t="shared" si="74"/>
        <v>4425182.18</v>
      </c>
      <c r="D334" s="3">
        <f t="shared" si="84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5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si="85"/>
        <v>5439.3487554544899</v>
      </c>
    </row>
    <row r="335" spans="1:258" ht="25.15" customHeight="1" x14ac:dyDescent="0.25">
      <c r="A335" s="37" t="s">
        <v>1267</v>
      </c>
      <c r="B335" s="8" t="s">
        <v>115</v>
      </c>
      <c r="C335" s="2">
        <f t="shared" si="74"/>
        <v>3274392.37</v>
      </c>
      <c r="D335" s="3">
        <f t="shared" si="84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5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6">
        <f t="shared" si="85"/>
        <v>5072.4878702441447</v>
      </c>
    </row>
    <row r="336" spans="1:258" ht="45" customHeight="1" x14ac:dyDescent="0.25">
      <c r="A336" s="54" t="s">
        <v>116</v>
      </c>
      <c r="B336" s="54"/>
      <c r="C336" s="2">
        <f>SUM(C337)</f>
        <v>1238562</v>
      </c>
      <c r="D336" s="2">
        <f t="shared" ref="D336:U336" si="86">SUM(D337)</f>
        <v>0</v>
      </c>
      <c r="E336" s="2">
        <f t="shared" si="86"/>
        <v>0</v>
      </c>
      <c r="F336" s="2">
        <f t="shared" si="86"/>
        <v>0</v>
      </c>
      <c r="G336" s="2">
        <f t="shared" si="86"/>
        <v>0</v>
      </c>
      <c r="H336" s="2">
        <f t="shared" si="86"/>
        <v>0</v>
      </c>
      <c r="I336" s="2">
        <f t="shared" si="86"/>
        <v>0</v>
      </c>
      <c r="J336" s="2">
        <f t="shared" si="86"/>
        <v>0</v>
      </c>
      <c r="K336" s="14">
        <f t="shared" si="86"/>
        <v>0</v>
      </c>
      <c r="L336" s="2">
        <f t="shared" si="86"/>
        <v>0</v>
      </c>
      <c r="M336" s="2">
        <f t="shared" si="86"/>
        <v>253.26</v>
      </c>
      <c r="N336" s="2">
        <f t="shared" si="86"/>
        <v>1238562</v>
      </c>
      <c r="O336" s="2">
        <f t="shared" si="86"/>
        <v>0</v>
      </c>
      <c r="P336" s="2">
        <f t="shared" si="86"/>
        <v>0</v>
      </c>
      <c r="Q336" s="2">
        <f t="shared" si="86"/>
        <v>0</v>
      </c>
      <c r="R336" s="2">
        <f t="shared" si="86"/>
        <v>0</v>
      </c>
      <c r="S336" s="2">
        <f t="shared" si="86"/>
        <v>0</v>
      </c>
      <c r="T336" s="2">
        <f t="shared" si="86"/>
        <v>0</v>
      </c>
      <c r="U336" s="2">
        <f t="shared" si="86"/>
        <v>0</v>
      </c>
      <c r="V336" s="18"/>
    </row>
    <row r="337" spans="1:22" ht="25.15" customHeight="1" x14ac:dyDescent="0.25">
      <c r="A337" s="37" t="s">
        <v>1268</v>
      </c>
      <c r="B337" s="8" t="s">
        <v>118</v>
      </c>
      <c r="C337" s="2">
        <f t="shared" si="74"/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5">
        <v>253.26</v>
      </c>
      <c r="N337" s="3">
        <v>1238562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6">
        <f>N337/M337</f>
        <v>4890.4761904761908</v>
      </c>
    </row>
    <row r="338" spans="1:22" ht="45" customHeight="1" x14ac:dyDescent="0.25">
      <c r="A338" s="54" t="s">
        <v>124</v>
      </c>
      <c r="B338" s="54"/>
      <c r="C338" s="2">
        <f>SUM(C339:C340)</f>
        <v>2319175.34</v>
      </c>
      <c r="D338" s="2">
        <f t="shared" ref="D338:U338" si="87">SUM(D339:D340)</f>
        <v>0</v>
      </c>
      <c r="E338" s="2">
        <f t="shared" si="87"/>
        <v>0</v>
      </c>
      <c r="F338" s="2">
        <f t="shared" si="87"/>
        <v>0</v>
      </c>
      <c r="G338" s="2">
        <f t="shared" si="87"/>
        <v>0</v>
      </c>
      <c r="H338" s="2">
        <f t="shared" si="87"/>
        <v>0</v>
      </c>
      <c r="I338" s="2">
        <f t="shared" si="87"/>
        <v>0</v>
      </c>
      <c r="J338" s="2">
        <f t="shared" si="87"/>
        <v>0</v>
      </c>
      <c r="K338" s="14">
        <f t="shared" si="87"/>
        <v>0</v>
      </c>
      <c r="L338" s="2">
        <f t="shared" si="87"/>
        <v>0</v>
      </c>
      <c r="M338" s="2">
        <f t="shared" si="87"/>
        <v>490.4</v>
      </c>
      <c r="N338" s="2">
        <f t="shared" si="87"/>
        <v>2319175.34</v>
      </c>
      <c r="O338" s="2">
        <f t="shared" si="87"/>
        <v>0</v>
      </c>
      <c r="P338" s="2">
        <f t="shared" si="87"/>
        <v>0</v>
      </c>
      <c r="Q338" s="2">
        <f t="shared" si="87"/>
        <v>0</v>
      </c>
      <c r="R338" s="2">
        <f t="shared" si="87"/>
        <v>0</v>
      </c>
      <c r="S338" s="2">
        <f t="shared" si="87"/>
        <v>0</v>
      </c>
      <c r="T338" s="2">
        <f t="shared" si="87"/>
        <v>0</v>
      </c>
      <c r="U338" s="2">
        <f t="shared" si="87"/>
        <v>0</v>
      </c>
    </row>
    <row r="339" spans="1:22" ht="25.15" customHeight="1" x14ac:dyDescent="0.25">
      <c r="A339" s="37" t="s">
        <v>1269</v>
      </c>
      <c r="B339" s="1" t="s">
        <v>121</v>
      </c>
      <c r="C339" s="2">
        <f t="shared" si="74"/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6">
        <f>N339/M339</f>
        <v>4511.585006877579</v>
      </c>
    </row>
    <row r="340" spans="1:22" ht="25.15" customHeight="1" x14ac:dyDescent="0.25">
      <c r="A340" s="37" t="s">
        <v>1270</v>
      </c>
      <c r="B340" s="1" t="s">
        <v>123</v>
      </c>
      <c r="C340" s="2">
        <f t="shared" si="74"/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1">
        <v>0</v>
      </c>
      <c r="L340" s="5">
        <v>0</v>
      </c>
      <c r="M340" s="5">
        <v>345</v>
      </c>
      <c r="N340" s="3">
        <v>1663190.88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6">
        <f>N340/M340</f>
        <v>4820.8431304347823</v>
      </c>
    </row>
    <row r="341" spans="1:22" ht="45" customHeight="1" x14ac:dyDescent="0.25">
      <c r="A341" s="54" t="s">
        <v>127</v>
      </c>
      <c r="B341" s="54"/>
      <c r="C341" s="2">
        <f>SUM(C342)</f>
        <v>2583463.5900000003</v>
      </c>
      <c r="D341" s="2">
        <f t="shared" ref="D341:U341" si="88">SUM(D342)</f>
        <v>123025</v>
      </c>
      <c r="E341" s="2">
        <f t="shared" si="88"/>
        <v>123025</v>
      </c>
      <c r="F341" s="2">
        <f t="shared" si="88"/>
        <v>0</v>
      </c>
      <c r="G341" s="2">
        <f t="shared" si="88"/>
        <v>0</v>
      </c>
      <c r="H341" s="2">
        <f t="shared" si="88"/>
        <v>0</v>
      </c>
      <c r="I341" s="2">
        <f t="shared" si="88"/>
        <v>0</v>
      </c>
      <c r="J341" s="2">
        <f t="shared" si="88"/>
        <v>0</v>
      </c>
      <c r="K341" s="14">
        <f t="shared" si="88"/>
        <v>0</v>
      </c>
      <c r="L341" s="2">
        <f t="shared" si="88"/>
        <v>0</v>
      </c>
      <c r="M341" s="2">
        <f t="shared" si="88"/>
        <v>282</v>
      </c>
      <c r="N341" s="2">
        <f t="shared" si="88"/>
        <v>1456069.2</v>
      </c>
      <c r="O341" s="2">
        <f t="shared" si="88"/>
        <v>0</v>
      </c>
      <c r="P341" s="2">
        <f t="shared" si="88"/>
        <v>0</v>
      </c>
      <c r="Q341" s="2">
        <f t="shared" si="88"/>
        <v>318</v>
      </c>
      <c r="R341" s="2">
        <f t="shared" si="88"/>
        <v>954000</v>
      </c>
      <c r="S341" s="2">
        <f t="shared" si="88"/>
        <v>0</v>
      </c>
      <c r="T341" s="2">
        <f t="shared" si="88"/>
        <v>0</v>
      </c>
      <c r="U341" s="2">
        <f t="shared" si="88"/>
        <v>50369.39</v>
      </c>
      <c r="V341" s="18"/>
    </row>
    <row r="342" spans="1:22" ht="25.15" customHeight="1" x14ac:dyDescent="0.25">
      <c r="A342" s="36" t="s">
        <v>1271</v>
      </c>
      <c r="B342" s="8" t="s">
        <v>125</v>
      </c>
      <c r="C342" s="2">
        <f t="shared" si="74"/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282</v>
      </c>
      <c r="N342" s="3">
        <v>1456069.2</v>
      </c>
      <c r="O342" s="5">
        <v>0</v>
      </c>
      <c r="P342" s="5">
        <v>0</v>
      </c>
      <c r="Q342" s="5">
        <v>318</v>
      </c>
      <c r="R342" s="3">
        <f>Q342*3000</f>
        <v>954000</v>
      </c>
      <c r="S342" s="5">
        <v>0</v>
      </c>
      <c r="T342" s="5">
        <v>0</v>
      </c>
      <c r="U342" s="5">
        <v>50369.39</v>
      </c>
      <c r="V342" s="6">
        <f>N342/M342</f>
        <v>5163.3659574468084</v>
      </c>
    </row>
    <row r="343" spans="1:22" ht="45" customHeight="1" x14ac:dyDescent="0.25">
      <c r="A343" s="54" t="s">
        <v>131</v>
      </c>
      <c r="B343" s="54"/>
      <c r="C343" s="2">
        <f>SUM(C344:C345)</f>
        <v>6356362.3600000003</v>
      </c>
      <c r="D343" s="2">
        <f t="shared" ref="D343:U343" si="89">SUM(D344:D345)</f>
        <v>0</v>
      </c>
      <c r="E343" s="2">
        <f t="shared" si="89"/>
        <v>0</v>
      </c>
      <c r="F343" s="2">
        <f t="shared" si="89"/>
        <v>0</v>
      </c>
      <c r="G343" s="2">
        <f t="shared" si="89"/>
        <v>0</v>
      </c>
      <c r="H343" s="2">
        <f t="shared" si="89"/>
        <v>0</v>
      </c>
      <c r="I343" s="2">
        <f t="shared" si="89"/>
        <v>0</v>
      </c>
      <c r="J343" s="2">
        <f t="shared" si="89"/>
        <v>0</v>
      </c>
      <c r="K343" s="14">
        <f t="shared" si="89"/>
        <v>0</v>
      </c>
      <c r="L343" s="2">
        <f t="shared" si="89"/>
        <v>0</v>
      </c>
      <c r="M343" s="2">
        <f t="shared" si="89"/>
        <v>1732.06</v>
      </c>
      <c r="N343" s="2">
        <f t="shared" si="89"/>
        <v>6356362.3600000003</v>
      </c>
      <c r="O343" s="2">
        <f t="shared" si="89"/>
        <v>0</v>
      </c>
      <c r="P343" s="2">
        <f t="shared" si="89"/>
        <v>0</v>
      </c>
      <c r="Q343" s="2">
        <f t="shared" si="89"/>
        <v>0</v>
      </c>
      <c r="R343" s="2">
        <f t="shared" si="89"/>
        <v>0</v>
      </c>
      <c r="S343" s="2">
        <f t="shared" si="89"/>
        <v>0</v>
      </c>
      <c r="T343" s="2">
        <f t="shared" si="89"/>
        <v>0</v>
      </c>
      <c r="U343" s="2">
        <f t="shared" si="89"/>
        <v>0</v>
      </c>
    </row>
    <row r="344" spans="1:22" ht="25.15" customHeight="1" x14ac:dyDescent="0.25">
      <c r="A344" s="37" t="s">
        <v>1272</v>
      </c>
      <c r="B344" s="8" t="s">
        <v>929</v>
      </c>
      <c r="C344" s="2">
        <f t="shared" ref="C344:C394" si="90"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5">
        <v>0</v>
      </c>
      <c r="S344" s="3">
        <v>0</v>
      </c>
      <c r="T344" s="3">
        <v>0</v>
      </c>
      <c r="U344" s="3">
        <v>0</v>
      </c>
      <c r="V344" s="6">
        <f>N344/M344</f>
        <v>3272.0246003168663</v>
      </c>
    </row>
    <row r="345" spans="1:22" ht="25.15" customHeight="1" x14ac:dyDescent="0.25">
      <c r="A345" s="37" t="s">
        <v>1273</v>
      </c>
      <c r="B345" s="8" t="s">
        <v>128</v>
      </c>
      <c r="C345" s="2">
        <f t="shared" si="90"/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5">
        <v>0</v>
      </c>
      <c r="S345" s="3">
        <v>0</v>
      </c>
      <c r="T345" s="3">
        <v>0</v>
      </c>
      <c r="U345" s="3">
        <v>0</v>
      </c>
      <c r="V345" s="6">
        <f>N345/M345</f>
        <v>5278.1371921038844</v>
      </c>
    </row>
    <row r="346" spans="1:22" ht="45" customHeight="1" x14ac:dyDescent="0.25">
      <c r="A346" s="54" t="s">
        <v>933</v>
      </c>
      <c r="B346" s="54"/>
      <c r="C346" s="2">
        <f>SUM(C347)</f>
        <v>1450900</v>
      </c>
      <c r="D346" s="2">
        <f t="shared" ref="D346:U346" si="91">SUM(D347)</f>
        <v>0</v>
      </c>
      <c r="E346" s="2">
        <f t="shared" si="91"/>
        <v>0</v>
      </c>
      <c r="F346" s="2">
        <f t="shared" si="91"/>
        <v>0</v>
      </c>
      <c r="G346" s="2">
        <f t="shared" si="91"/>
        <v>0</v>
      </c>
      <c r="H346" s="2">
        <f t="shared" si="91"/>
        <v>0</v>
      </c>
      <c r="I346" s="2">
        <f t="shared" si="91"/>
        <v>0</v>
      </c>
      <c r="J346" s="2">
        <f t="shared" si="91"/>
        <v>0</v>
      </c>
      <c r="K346" s="14">
        <f t="shared" si="91"/>
        <v>0</v>
      </c>
      <c r="L346" s="2">
        <f t="shared" si="91"/>
        <v>0</v>
      </c>
      <c r="M346" s="2">
        <f t="shared" si="91"/>
        <v>263.8</v>
      </c>
      <c r="N346" s="2">
        <f t="shared" si="91"/>
        <v>1450900</v>
      </c>
      <c r="O346" s="2">
        <f t="shared" si="91"/>
        <v>0</v>
      </c>
      <c r="P346" s="2">
        <f t="shared" si="91"/>
        <v>0</v>
      </c>
      <c r="Q346" s="2">
        <f t="shared" si="91"/>
        <v>0</v>
      </c>
      <c r="R346" s="2">
        <f t="shared" si="91"/>
        <v>0</v>
      </c>
      <c r="S346" s="2">
        <f t="shared" si="91"/>
        <v>0</v>
      </c>
      <c r="T346" s="2">
        <f t="shared" si="91"/>
        <v>0</v>
      </c>
      <c r="U346" s="2">
        <f t="shared" si="91"/>
        <v>0</v>
      </c>
      <c r="V346" s="18">
        <f>C346</f>
        <v>1450900</v>
      </c>
    </row>
    <row r="347" spans="1:22" ht="25.15" customHeight="1" x14ac:dyDescent="0.25">
      <c r="A347" s="37" t="s">
        <v>1275</v>
      </c>
      <c r="B347" s="8" t="s">
        <v>129</v>
      </c>
      <c r="C347" s="2">
        <f t="shared" si="90"/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5">
        <v>0</v>
      </c>
      <c r="S347" s="3">
        <v>0</v>
      </c>
      <c r="T347" s="3">
        <v>0</v>
      </c>
      <c r="U347" s="3">
        <v>0</v>
      </c>
      <c r="V347" s="6">
        <f>N347/M347</f>
        <v>5500</v>
      </c>
    </row>
    <row r="348" spans="1:22" ht="45" customHeight="1" x14ac:dyDescent="0.25">
      <c r="A348" s="54" t="s">
        <v>133</v>
      </c>
      <c r="B348" s="54"/>
      <c r="C348" s="2">
        <f>SUM(C349:C351)</f>
        <v>3371774.4000000004</v>
      </c>
      <c r="D348" s="2">
        <f t="shared" ref="D348:U348" si="92">SUM(D349:D351)</f>
        <v>0</v>
      </c>
      <c r="E348" s="2">
        <f t="shared" si="92"/>
        <v>0</v>
      </c>
      <c r="F348" s="2">
        <f t="shared" si="92"/>
        <v>0</v>
      </c>
      <c r="G348" s="2">
        <f t="shared" si="92"/>
        <v>0</v>
      </c>
      <c r="H348" s="2">
        <f t="shared" si="92"/>
        <v>0</v>
      </c>
      <c r="I348" s="2">
        <f t="shared" si="92"/>
        <v>0</v>
      </c>
      <c r="J348" s="2">
        <f t="shared" si="92"/>
        <v>0</v>
      </c>
      <c r="K348" s="14">
        <f t="shared" si="92"/>
        <v>0</v>
      </c>
      <c r="L348" s="2">
        <f t="shared" si="92"/>
        <v>0</v>
      </c>
      <c r="M348" s="2">
        <f t="shared" si="92"/>
        <v>994.41000000000008</v>
      </c>
      <c r="N348" s="2">
        <f t="shared" si="92"/>
        <v>3371774.4000000004</v>
      </c>
      <c r="O348" s="2">
        <f t="shared" si="92"/>
        <v>0</v>
      </c>
      <c r="P348" s="2">
        <f t="shared" si="92"/>
        <v>0</v>
      </c>
      <c r="Q348" s="2">
        <f t="shared" si="92"/>
        <v>0</v>
      </c>
      <c r="R348" s="2">
        <f t="shared" si="92"/>
        <v>0</v>
      </c>
      <c r="S348" s="2">
        <f t="shared" si="92"/>
        <v>0</v>
      </c>
      <c r="T348" s="2">
        <f t="shared" si="92"/>
        <v>0</v>
      </c>
      <c r="U348" s="2">
        <f t="shared" si="92"/>
        <v>0</v>
      </c>
    </row>
    <row r="349" spans="1:22" ht="25.15" customHeight="1" x14ac:dyDescent="0.25">
      <c r="A349" s="36" t="s">
        <v>1274</v>
      </c>
      <c r="B349" s="8" t="s">
        <v>859</v>
      </c>
      <c r="C349" s="2">
        <f t="shared" si="90"/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1">
        <v>0</v>
      </c>
      <c r="L349" s="5">
        <v>0</v>
      </c>
      <c r="M349" s="5">
        <v>331.47</v>
      </c>
      <c r="N349" s="3">
        <v>1121745.6000000001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6">
        <f>N349/M349</f>
        <v>3384.1542221015475</v>
      </c>
    </row>
    <row r="350" spans="1:22" ht="25.15" customHeight="1" x14ac:dyDescent="0.25">
      <c r="A350" s="36" t="s">
        <v>1276</v>
      </c>
      <c r="B350" s="8" t="s">
        <v>137</v>
      </c>
      <c r="C350" s="2">
        <f t="shared" si="90"/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6">
        <f>N350/M350</f>
        <v>3381.9132953208432</v>
      </c>
    </row>
    <row r="351" spans="1:22" ht="25.15" customHeight="1" x14ac:dyDescent="0.25">
      <c r="A351" s="36" t="s">
        <v>1277</v>
      </c>
      <c r="B351" s="8" t="s">
        <v>138</v>
      </c>
      <c r="C351" s="2">
        <f t="shared" si="90"/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6">
        <f>N351/M351</f>
        <v>3406.1182007421485</v>
      </c>
    </row>
    <row r="352" spans="1:22" ht="45" customHeight="1" x14ac:dyDescent="0.25">
      <c r="A352" s="54" t="s">
        <v>139</v>
      </c>
      <c r="B352" s="54"/>
      <c r="C352" s="2">
        <f>SUM(C353:C355)</f>
        <v>6344967.8000000007</v>
      </c>
      <c r="D352" s="2">
        <f t="shared" ref="D352:U352" si="93">SUM(D353:D355)</f>
        <v>0</v>
      </c>
      <c r="E352" s="2">
        <f t="shared" si="93"/>
        <v>0</v>
      </c>
      <c r="F352" s="2">
        <f t="shared" si="93"/>
        <v>0</v>
      </c>
      <c r="G352" s="2">
        <f t="shared" si="93"/>
        <v>0</v>
      </c>
      <c r="H352" s="2">
        <f t="shared" si="93"/>
        <v>0</v>
      </c>
      <c r="I352" s="2">
        <f t="shared" si="93"/>
        <v>0</v>
      </c>
      <c r="J352" s="2">
        <f t="shared" si="93"/>
        <v>0</v>
      </c>
      <c r="K352" s="14">
        <f t="shared" si="93"/>
        <v>0</v>
      </c>
      <c r="L352" s="2">
        <f t="shared" si="93"/>
        <v>0</v>
      </c>
      <c r="M352" s="2">
        <f t="shared" si="93"/>
        <v>1158.75</v>
      </c>
      <c r="N352" s="2">
        <f t="shared" si="93"/>
        <v>6344967.8000000007</v>
      </c>
      <c r="O352" s="2">
        <f t="shared" si="93"/>
        <v>0</v>
      </c>
      <c r="P352" s="2">
        <f t="shared" si="93"/>
        <v>0</v>
      </c>
      <c r="Q352" s="2">
        <f t="shared" si="93"/>
        <v>0</v>
      </c>
      <c r="R352" s="2">
        <f t="shared" si="93"/>
        <v>0</v>
      </c>
      <c r="S352" s="2">
        <f t="shared" si="93"/>
        <v>0</v>
      </c>
      <c r="T352" s="2">
        <f t="shared" si="93"/>
        <v>0</v>
      </c>
      <c r="U352" s="2">
        <f t="shared" si="93"/>
        <v>0</v>
      </c>
    </row>
    <row r="353" spans="1:22" ht="34.9" customHeight="1" x14ac:dyDescent="0.25">
      <c r="A353" s="36" t="s">
        <v>1278</v>
      </c>
      <c r="B353" s="8" t="s">
        <v>897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5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6">
        <f>N353/M353</f>
        <v>5462.2751721449913</v>
      </c>
    </row>
    <row r="354" spans="1:22" ht="25.15" customHeight="1" x14ac:dyDescent="0.25">
      <c r="A354" s="36" t="s">
        <v>1279</v>
      </c>
      <c r="B354" s="8" t="s">
        <v>140</v>
      </c>
      <c r="C354" s="2">
        <f t="shared" si="90"/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6">
        <f>N354/M354</f>
        <v>5465.0071839080465</v>
      </c>
    </row>
    <row r="355" spans="1:22" ht="25.15" customHeight="1" x14ac:dyDescent="0.25">
      <c r="A355" s="36" t="s">
        <v>1280</v>
      </c>
      <c r="B355" s="8" t="s">
        <v>850</v>
      </c>
      <c r="C355" s="2">
        <f t="shared" si="90"/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6">
        <f>N355/M355</f>
        <v>5500</v>
      </c>
    </row>
    <row r="356" spans="1:22" ht="45" customHeight="1" x14ac:dyDescent="0.25">
      <c r="A356" s="54" t="s">
        <v>148</v>
      </c>
      <c r="B356" s="54"/>
      <c r="C356" s="2">
        <f>SUM(C357:C359)</f>
        <v>10538448.530000001</v>
      </c>
      <c r="D356" s="2">
        <f t="shared" ref="D356:U356" si="94">SUM(D357:D359)</f>
        <v>0</v>
      </c>
      <c r="E356" s="2">
        <f t="shared" si="94"/>
        <v>0</v>
      </c>
      <c r="F356" s="2">
        <f t="shared" si="94"/>
        <v>0</v>
      </c>
      <c r="G356" s="2">
        <f t="shared" si="94"/>
        <v>0</v>
      </c>
      <c r="H356" s="2">
        <f t="shared" si="94"/>
        <v>0</v>
      </c>
      <c r="I356" s="2">
        <f t="shared" si="94"/>
        <v>0</v>
      </c>
      <c r="J356" s="2">
        <f t="shared" si="94"/>
        <v>0</v>
      </c>
      <c r="K356" s="14">
        <f t="shared" si="94"/>
        <v>0</v>
      </c>
      <c r="L356" s="2">
        <f t="shared" si="94"/>
        <v>0</v>
      </c>
      <c r="M356" s="2">
        <f t="shared" si="94"/>
        <v>616.54999999999995</v>
      </c>
      <c r="N356" s="2">
        <f t="shared" si="94"/>
        <v>3240068.4</v>
      </c>
      <c r="O356" s="2">
        <f t="shared" si="94"/>
        <v>0</v>
      </c>
      <c r="P356" s="2">
        <f t="shared" si="94"/>
        <v>0</v>
      </c>
      <c r="Q356" s="2">
        <f t="shared" si="94"/>
        <v>2482.8000000000002</v>
      </c>
      <c r="R356" s="2">
        <f t="shared" si="94"/>
        <v>7030394.4000000004</v>
      </c>
      <c r="S356" s="2">
        <f t="shared" si="94"/>
        <v>0</v>
      </c>
      <c r="T356" s="2">
        <f t="shared" si="94"/>
        <v>0</v>
      </c>
      <c r="U356" s="2">
        <f t="shared" si="94"/>
        <v>267985.73</v>
      </c>
    </row>
    <row r="357" spans="1:22" ht="25.15" customHeight="1" x14ac:dyDescent="0.25">
      <c r="A357" s="37" t="s">
        <v>1281</v>
      </c>
      <c r="B357" s="8" t="s">
        <v>152</v>
      </c>
      <c r="C357" s="2">
        <f t="shared" si="90"/>
        <v>267985.73</v>
      </c>
      <c r="D357" s="3">
        <f t="shared" ref="D357:D359" si="95"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6" t="e">
        <f t="shared" ref="V357:V359" si="96">N357/M357</f>
        <v>#DIV/0!</v>
      </c>
    </row>
    <row r="358" spans="1:22" ht="25.15" customHeight="1" x14ac:dyDescent="0.25">
      <c r="A358" s="37" t="s">
        <v>1282</v>
      </c>
      <c r="B358" s="8" t="s">
        <v>829</v>
      </c>
      <c r="C358" s="2">
        <f t="shared" si="90"/>
        <v>3240068.4</v>
      </c>
      <c r="D358" s="3">
        <f t="shared" si="95"/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6">
        <f t="shared" si="96"/>
        <v>5255.1591922796206</v>
      </c>
    </row>
    <row r="359" spans="1:22" ht="25.15" customHeight="1" x14ac:dyDescent="0.25">
      <c r="A359" s="37" t="s">
        <v>1283</v>
      </c>
      <c r="B359" s="8" t="s">
        <v>830</v>
      </c>
      <c r="C359" s="2">
        <f t="shared" si="90"/>
        <v>7030394.4000000004</v>
      </c>
      <c r="D359" s="3">
        <f t="shared" si="95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6" t="e">
        <f t="shared" si="96"/>
        <v>#DIV/0!</v>
      </c>
    </row>
    <row r="360" spans="1:22" ht="45" customHeight="1" x14ac:dyDescent="0.25">
      <c r="A360" s="54" t="s">
        <v>944</v>
      </c>
      <c r="B360" s="54"/>
      <c r="C360" s="2">
        <f>SUM(C361)</f>
        <v>1411160.4</v>
      </c>
      <c r="D360" s="2">
        <f t="shared" ref="D360:U360" si="97">SUM(D361)</f>
        <v>0</v>
      </c>
      <c r="E360" s="2">
        <f t="shared" si="97"/>
        <v>0</v>
      </c>
      <c r="F360" s="2">
        <f t="shared" si="97"/>
        <v>0</v>
      </c>
      <c r="G360" s="2">
        <f t="shared" si="97"/>
        <v>0</v>
      </c>
      <c r="H360" s="2">
        <f t="shared" si="97"/>
        <v>0</v>
      </c>
      <c r="I360" s="2">
        <f t="shared" si="97"/>
        <v>0</v>
      </c>
      <c r="J360" s="2">
        <f t="shared" si="97"/>
        <v>0</v>
      </c>
      <c r="K360" s="14">
        <f t="shared" si="97"/>
        <v>0</v>
      </c>
      <c r="L360" s="2">
        <f t="shared" si="97"/>
        <v>0</v>
      </c>
      <c r="M360" s="2">
        <f t="shared" si="97"/>
        <v>261.86</v>
      </c>
      <c r="N360" s="2">
        <f t="shared" si="97"/>
        <v>1411160.4</v>
      </c>
      <c r="O360" s="2">
        <f t="shared" si="97"/>
        <v>0</v>
      </c>
      <c r="P360" s="2">
        <f t="shared" si="97"/>
        <v>0</v>
      </c>
      <c r="Q360" s="2">
        <f t="shared" si="97"/>
        <v>0</v>
      </c>
      <c r="R360" s="2">
        <f t="shared" si="97"/>
        <v>0</v>
      </c>
      <c r="S360" s="2">
        <f t="shared" si="97"/>
        <v>0</v>
      </c>
      <c r="T360" s="2">
        <f t="shared" si="97"/>
        <v>0</v>
      </c>
      <c r="U360" s="2">
        <f t="shared" si="97"/>
        <v>0</v>
      </c>
    </row>
    <row r="361" spans="1:22" ht="25.15" customHeight="1" x14ac:dyDescent="0.25">
      <c r="A361" s="37" t="s">
        <v>1284</v>
      </c>
      <c r="B361" s="8" t="s">
        <v>158</v>
      </c>
      <c r="C361" s="2">
        <f t="shared" si="90"/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>N361/M361</f>
        <v>5388.9880088596956</v>
      </c>
    </row>
    <row r="362" spans="1:22" ht="45" customHeight="1" x14ac:dyDescent="0.25">
      <c r="A362" s="54" t="s">
        <v>162</v>
      </c>
      <c r="B362" s="54"/>
      <c r="C362" s="2">
        <f>SUM(C363:C381)</f>
        <v>104574296.73999999</v>
      </c>
      <c r="D362" s="2">
        <f t="shared" ref="D362:U362" si="98">SUM(D363:D381)</f>
        <v>5442082.3500000006</v>
      </c>
      <c r="E362" s="2">
        <f t="shared" si="98"/>
        <v>2269007.5</v>
      </c>
      <c r="F362" s="2">
        <f t="shared" si="98"/>
        <v>2367392.58</v>
      </c>
      <c r="G362" s="2">
        <f t="shared" si="98"/>
        <v>247933.27000000002</v>
      </c>
      <c r="H362" s="2">
        <f t="shared" si="98"/>
        <v>38518.519999999997</v>
      </c>
      <c r="I362" s="2">
        <f t="shared" si="98"/>
        <v>519230.48</v>
      </c>
      <c r="J362" s="2">
        <f t="shared" si="98"/>
        <v>0</v>
      </c>
      <c r="K362" s="14">
        <f t="shared" si="98"/>
        <v>4</v>
      </c>
      <c r="L362" s="2">
        <f t="shared" si="98"/>
        <v>7524993.0800000001</v>
      </c>
      <c r="M362" s="2">
        <f t="shared" si="98"/>
        <v>10841.26</v>
      </c>
      <c r="N362" s="2">
        <f t="shared" si="98"/>
        <v>45370759.469999991</v>
      </c>
      <c r="O362" s="2">
        <f t="shared" si="98"/>
        <v>0</v>
      </c>
      <c r="P362" s="2">
        <f t="shared" si="98"/>
        <v>0</v>
      </c>
      <c r="Q362" s="2">
        <f t="shared" si="98"/>
        <v>19134.09</v>
      </c>
      <c r="R362" s="2">
        <f t="shared" si="98"/>
        <v>44748083.650000006</v>
      </c>
      <c r="S362" s="2">
        <f t="shared" si="98"/>
        <v>0</v>
      </c>
      <c r="T362" s="2">
        <f t="shared" si="98"/>
        <v>0</v>
      </c>
      <c r="U362" s="2">
        <f t="shared" si="98"/>
        <v>1488378.19</v>
      </c>
    </row>
    <row r="363" spans="1:22" ht="25.15" customHeight="1" x14ac:dyDescent="0.25">
      <c r="A363" s="37" t="s">
        <v>1285</v>
      </c>
      <c r="B363" s="8" t="s">
        <v>890</v>
      </c>
      <c r="C363" s="2">
        <f>D363+L363+N363+P363+R363+S363+T363+U363</f>
        <v>2838709.2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5">
        <v>1009.2</v>
      </c>
      <c r="N363" s="5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6">
        <f>N363/M363</f>
        <v>2812.8311533888227</v>
      </c>
    </row>
    <row r="364" spans="1:22" ht="25.15" customHeight="1" x14ac:dyDescent="0.25">
      <c r="A364" s="37" t="s">
        <v>1286</v>
      </c>
      <c r="B364" s="21" t="s">
        <v>167</v>
      </c>
      <c r="C364" s="2">
        <f t="shared" si="90"/>
        <v>15553352</v>
      </c>
      <c r="D364" s="3">
        <f t="shared" ref="D364:D381" si="99">SUM(E364:J364)</f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5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6">
        <f t="shared" ref="V364:V381" si="100">N364/M364</f>
        <v>3433.4979640718561</v>
      </c>
    </row>
    <row r="365" spans="1:22" ht="25.15" customHeight="1" x14ac:dyDescent="0.25">
      <c r="A365" s="37" t="s">
        <v>1287</v>
      </c>
      <c r="B365" s="8" t="s">
        <v>902</v>
      </c>
      <c r="C365" s="2">
        <f>D365+L365+N365+P365+R365+S365+T365+U365</f>
        <v>6888850.3900000006</v>
      </c>
      <c r="D365" s="3">
        <f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5">
        <v>0</v>
      </c>
      <c r="M365" s="3">
        <v>1620.3</v>
      </c>
      <c r="N365" s="5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6">
        <f>N365/M365</f>
        <v>2630.2110349935201</v>
      </c>
    </row>
    <row r="366" spans="1:22" ht="25.15" customHeight="1" x14ac:dyDescent="0.25">
      <c r="A366" s="37" t="s">
        <v>1288</v>
      </c>
      <c r="B366" s="21" t="s">
        <v>163</v>
      </c>
      <c r="C366" s="2">
        <f t="shared" si="90"/>
        <v>22899521.830000002</v>
      </c>
      <c r="D366" s="3">
        <f t="shared" si="99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5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6" t="e">
        <f t="shared" si="100"/>
        <v>#DIV/0!</v>
      </c>
    </row>
    <row r="367" spans="1:22" ht="25.15" customHeight="1" x14ac:dyDescent="0.25">
      <c r="A367" s="37" t="s">
        <v>1289</v>
      </c>
      <c r="B367" s="1" t="s">
        <v>814</v>
      </c>
      <c r="C367" s="2">
        <f t="shared" si="90"/>
        <v>4164421.8200000003</v>
      </c>
      <c r="D367" s="3">
        <f t="shared" si="99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797" si="101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6">
        <f t="shared" si="100"/>
        <v>5461.4460802088615</v>
      </c>
    </row>
    <row r="368" spans="1:22" ht="25.15" customHeight="1" x14ac:dyDescent="0.25">
      <c r="A368" s="37" t="s">
        <v>1290</v>
      </c>
      <c r="B368" s="1" t="s">
        <v>181</v>
      </c>
      <c r="C368" s="2">
        <f>D368+L368+N368+P368+R368+S368+T368+U368</f>
        <v>2055575.48</v>
      </c>
      <c r="D368" s="3">
        <f t="shared" si="99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1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5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6">
        <f t="shared" si="100"/>
        <v>5500</v>
      </c>
    </row>
    <row r="369" spans="1:22" ht="25.15" customHeight="1" x14ac:dyDescent="0.25">
      <c r="A369" s="37" t="s">
        <v>1291</v>
      </c>
      <c r="B369" s="1" t="s">
        <v>174</v>
      </c>
      <c r="C369" s="2">
        <f t="shared" si="90"/>
        <v>7302495.8099999996</v>
      </c>
      <c r="D369" s="3">
        <f t="shared" si="99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1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6">
        <f t="shared" si="100"/>
        <v>5500</v>
      </c>
    </row>
    <row r="370" spans="1:22" ht="25.15" customHeight="1" x14ac:dyDescent="0.25">
      <c r="A370" s="37" t="s">
        <v>1292</v>
      </c>
      <c r="B370" s="1" t="s">
        <v>176</v>
      </c>
      <c r="C370" s="2">
        <f t="shared" si="90"/>
        <v>3696865.6</v>
      </c>
      <c r="D370" s="3">
        <f>SUM(E370:J370)</f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1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S1297</f>
        <v>0</v>
      </c>
      <c r="T370" s="3">
        <v>0</v>
      </c>
      <c r="U370" s="3">
        <v>0</v>
      </c>
      <c r="V370" s="6">
        <f t="shared" si="100"/>
        <v>5236.1227425283678</v>
      </c>
    </row>
    <row r="371" spans="1:22" ht="25.15" customHeight="1" x14ac:dyDescent="0.25">
      <c r="A371" s="37" t="s">
        <v>1293</v>
      </c>
      <c r="B371" s="21" t="s">
        <v>177</v>
      </c>
      <c r="C371" s="2">
        <f t="shared" si="90"/>
        <v>4206395.42</v>
      </c>
      <c r="D371" s="3">
        <f t="shared" si="99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797" si="102">400*0</f>
        <v>0</v>
      </c>
      <c r="I371" s="3">
        <v>39136.800000000003</v>
      </c>
      <c r="J371" s="3">
        <f t="shared" si="101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S1339</f>
        <v>0</v>
      </c>
      <c r="T371" s="3">
        <v>0</v>
      </c>
      <c r="U371" s="3">
        <v>131429.82</v>
      </c>
      <c r="V371" s="6">
        <f t="shared" si="100"/>
        <v>5431.1954769884114</v>
      </c>
    </row>
    <row r="372" spans="1:22" ht="25.15" customHeight="1" x14ac:dyDescent="0.25">
      <c r="A372" s="37" t="s">
        <v>1294</v>
      </c>
      <c r="B372" s="21" t="s">
        <v>178</v>
      </c>
      <c r="C372" s="2">
        <f t="shared" si="90"/>
        <v>4483430.55</v>
      </c>
      <c r="D372" s="3">
        <f t="shared" si="99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2"/>
        <v>0</v>
      </c>
      <c r="I372" s="3">
        <v>96507.6</v>
      </c>
      <c r="J372" s="3">
        <f t="shared" si="101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S1340</f>
        <v>0</v>
      </c>
      <c r="T372" s="3">
        <v>0</v>
      </c>
      <c r="U372" s="3">
        <v>130625.35</v>
      </c>
      <c r="V372" s="6">
        <f t="shared" si="100"/>
        <v>4970.7021551296057</v>
      </c>
    </row>
    <row r="373" spans="1:22" ht="25.15" customHeight="1" x14ac:dyDescent="0.25">
      <c r="A373" s="37" t="s">
        <v>1295</v>
      </c>
      <c r="B373" s="21" t="s">
        <v>180</v>
      </c>
      <c r="C373" s="2">
        <f>D373+L373+N373+P373+R373+S373+T373+U373</f>
        <v>907862.81</v>
      </c>
      <c r="D373" s="3">
        <f>SUM(E373:J373)</f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2"/>
        <v>0</v>
      </c>
      <c r="I373" s="3">
        <v>98864.4</v>
      </c>
      <c r="J373" s="3">
        <f t="shared" si="101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6" t="e">
        <f>N373/M373</f>
        <v>#DIV/0!</v>
      </c>
    </row>
    <row r="374" spans="1:22" ht="25.15" customHeight="1" x14ac:dyDescent="0.25">
      <c r="A374" s="37" t="s">
        <v>1296</v>
      </c>
      <c r="B374" s="1" t="s">
        <v>179</v>
      </c>
      <c r="C374" s="2">
        <f t="shared" si="90"/>
        <v>2827000</v>
      </c>
      <c r="D374" s="3">
        <f t="shared" si="99"/>
        <v>243498</v>
      </c>
      <c r="E374" s="3">
        <v>123780</v>
      </c>
      <c r="F374" s="3">
        <v>119718</v>
      </c>
      <c r="G374" s="3">
        <v>0</v>
      </c>
      <c r="H374" s="3">
        <f t="shared" si="102"/>
        <v>0</v>
      </c>
      <c r="I374" s="3">
        <v>0</v>
      </c>
      <c r="J374" s="3">
        <f t="shared" si="101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6">
        <f t="shared" si="100"/>
        <v>5421.7567461869376</v>
      </c>
    </row>
    <row r="375" spans="1:22" ht="25.15" customHeight="1" x14ac:dyDescent="0.25">
      <c r="A375" s="37" t="s">
        <v>1297</v>
      </c>
      <c r="B375" s="1" t="s">
        <v>182</v>
      </c>
      <c r="C375" s="2">
        <f t="shared" si="90"/>
        <v>3760018.46</v>
      </c>
      <c r="D375" s="3">
        <f t="shared" si="99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2"/>
        <v>0</v>
      </c>
      <c r="I375" s="3">
        <v>0</v>
      </c>
      <c r="J375" s="3">
        <f t="shared" si="101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5">
        <v>599.04</v>
      </c>
      <c r="R375" s="3">
        <v>1593271.2</v>
      </c>
      <c r="S375" s="3">
        <f>S1155</f>
        <v>0</v>
      </c>
      <c r="T375" s="3">
        <v>0</v>
      </c>
      <c r="U375" s="3">
        <v>76802.259999999995</v>
      </c>
      <c r="V375" s="6">
        <f t="shared" si="100"/>
        <v>5500</v>
      </c>
    </row>
    <row r="376" spans="1:22" ht="25.15" customHeight="1" x14ac:dyDescent="0.25">
      <c r="A376" s="37" t="s">
        <v>1298</v>
      </c>
      <c r="B376" s="1" t="s">
        <v>183</v>
      </c>
      <c r="C376" s="2">
        <f t="shared" si="90"/>
        <v>4205787.43</v>
      </c>
      <c r="D376" s="3">
        <f t="shared" si="99"/>
        <v>377236.8</v>
      </c>
      <c r="E376" s="3">
        <v>177414</v>
      </c>
      <c r="F376" s="3">
        <v>199822.8</v>
      </c>
      <c r="G376" s="3">
        <v>0</v>
      </c>
      <c r="H376" s="3">
        <f t="shared" si="102"/>
        <v>0</v>
      </c>
      <c r="I376" s="3">
        <v>0</v>
      </c>
      <c r="J376" s="3">
        <f t="shared" si="101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6">
        <f t="shared" si="100"/>
        <v>5161.1748458692973</v>
      </c>
    </row>
    <row r="377" spans="1:22" ht="25.15" customHeight="1" x14ac:dyDescent="0.25">
      <c r="A377" s="37" t="s">
        <v>1299</v>
      </c>
      <c r="B377" s="1" t="s">
        <v>185</v>
      </c>
      <c r="C377" s="2">
        <f>D377+L377+N377+P377+R377+S377+T377+U377</f>
        <v>3550062.4</v>
      </c>
      <c r="D377" s="3">
        <f>SUM(E377:J377)</f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1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6">
        <f>N377/M377</f>
        <v>4853.6464471403815</v>
      </c>
    </row>
    <row r="378" spans="1:22" ht="25.15" customHeight="1" x14ac:dyDescent="0.25">
      <c r="A378" s="37" t="s">
        <v>1300</v>
      </c>
      <c r="B378" s="21" t="s">
        <v>186</v>
      </c>
      <c r="C378" s="2">
        <f t="shared" si="90"/>
        <v>5562292.6799999997</v>
      </c>
      <c r="D378" s="3">
        <f t="shared" si="99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 t="shared" ref="R378:R381" si="103">Q378*3000</f>
        <v>2198340</v>
      </c>
      <c r="S378" s="3">
        <f>S866</f>
        <v>0</v>
      </c>
      <c r="T378" s="3">
        <v>0</v>
      </c>
      <c r="U378" s="3">
        <v>0</v>
      </c>
      <c r="V378" s="6">
        <f t="shared" si="100"/>
        <v>5478.1257511358635</v>
      </c>
    </row>
    <row r="379" spans="1:22" ht="25.15" customHeight="1" x14ac:dyDescent="0.25">
      <c r="A379" s="37" t="s">
        <v>1301</v>
      </c>
      <c r="B379" s="21" t="s">
        <v>187</v>
      </c>
      <c r="C379" s="2">
        <f t="shared" si="90"/>
        <v>2632060.21</v>
      </c>
      <c r="D379" s="3">
        <f t="shared" si="99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S876</f>
        <v>0</v>
      </c>
      <c r="T379" s="3">
        <v>0</v>
      </c>
      <c r="U379" s="3">
        <v>104123.81</v>
      </c>
      <c r="V379" s="6">
        <f t="shared" si="100"/>
        <v>4886.3783393501808</v>
      </c>
    </row>
    <row r="380" spans="1:22" ht="25.15" customHeight="1" x14ac:dyDescent="0.25">
      <c r="A380" s="37" t="s">
        <v>1302</v>
      </c>
      <c r="B380" s="1" t="s">
        <v>188</v>
      </c>
      <c r="C380" s="2">
        <f t="shared" si="90"/>
        <v>4331116.6500000004</v>
      </c>
      <c r="D380" s="3">
        <f t="shared" si="99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 t="shared" si="103"/>
        <v>0</v>
      </c>
      <c r="S380" s="3">
        <v>0</v>
      </c>
      <c r="T380" s="3">
        <v>0</v>
      </c>
      <c r="U380" s="3">
        <v>0</v>
      </c>
      <c r="V380" s="6">
        <f t="shared" si="100"/>
        <v>4767.5894655732291</v>
      </c>
    </row>
    <row r="381" spans="1:22" ht="25.15" customHeight="1" x14ac:dyDescent="0.25">
      <c r="A381" s="37" t="s">
        <v>1303</v>
      </c>
      <c r="B381" s="1" t="s">
        <v>189</v>
      </c>
      <c r="C381" s="2">
        <f t="shared" si="90"/>
        <v>2708478</v>
      </c>
      <c r="D381" s="3">
        <f t="shared" si="99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 t="shared" si="103"/>
        <v>0</v>
      </c>
      <c r="S381" s="3">
        <v>0</v>
      </c>
      <c r="T381" s="3">
        <v>0</v>
      </c>
      <c r="U381" s="3">
        <v>0</v>
      </c>
      <c r="V381" s="6">
        <f t="shared" si="100"/>
        <v>3261.9688794681565</v>
      </c>
    </row>
    <row r="382" spans="1:22" ht="45" customHeight="1" x14ac:dyDescent="0.25">
      <c r="A382" s="54" t="s">
        <v>219</v>
      </c>
      <c r="B382" s="54"/>
      <c r="C382" s="2">
        <f>SUM(C383:C388)</f>
        <v>13551416.550000001</v>
      </c>
      <c r="D382" s="2">
        <f t="shared" ref="D382:U382" si="104">SUM(D383:D388)</f>
        <v>6115414</v>
      </c>
      <c r="E382" s="2">
        <f t="shared" si="104"/>
        <v>1048687.5</v>
      </c>
      <c r="F382" s="2">
        <f t="shared" si="104"/>
        <v>2956035.6</v>
      </c>
      <c r="G382" s="2">
        <f t="shared" si="104"/>
        <v>671670</v>
      </c>
      <c r="H382" s="2">
        <f t="shared" si="104"/>
        <v>780708.4</v>
      </c>
      <c r="I382" s="2">
        <f t="shared" si="104"/>
        <v>658312.5</v>
      </c>
      <c r="J382" s="2">
        <f t="shared" si="104"/>
        <v>0</v>
      </c>
      <c r="K382" s="14">
        <f t="shared" si="104"/>
        <v>0</v>
      </c>
      <c r="L382" s="2">
        <f t="shared" si="104"/>
        <v>0</v>
      </c>
      <c r="M382" s="2">
        <f t="shared" si="104"/>
        <v>842.36</v>
      </c>
      <c r="N382" s="2">
        <f t="shared" si="104"/>
        <v>4462470</v>
      </c>
      <c r="O382" s="2">
        <f t="shared" si="104"/>
        <v>0</v>
      </c>
      <c r="P382" s="2">
        <f t="shared" si="104"/>
        <v>0</v>
      </c>
      <c r="Q382" s="2">
        <f t="shared" si="104"/>
        <v>842.63999999999987</v>
      </c>
      <c r="R382" s="2">
        <f t="shared" si="104"/>
        <v>2430112.7999999998</v>
      </c>
      <c r="S382" s="2">
        <f t="shared" si="104"/>
        <v>0</v>
      </c>
      <c r="T382" s="2">
        <f t="shared" si="104"/>
        <v>0</v>
      </c>
      <c r="U382" s="2">
        <f t="shared" si="104"/>
        <v>543419.75</v>
      </c>
    </row>
    <row r="383" spans="1:22" ht="25.15" customHeight="1" x14ac:dyDescent="0.25">
      <c r="A383" s="37" t="s">
        <v>1304</v>
      </c>
      <c r="B383" s="8" t="s">
        <v>211</v>
      </c>
      <c r="C383" s="2">
        <f t="shared" si="90"/>
        <v>121935.02</v>
      </c>
      <c r="D383" s="3">
        <f t="shared" ref="D383:D388" si="105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 t="shared" ref="J383:J819" si="106">350*0</f>
        <v>0</v>
      </c>
      <c r="K383" s="4">
        <v>0</v>
      </c>
      <c r="L383" s="3">
        <v>0</v>
      </c>
      <c r="M383" s="5">
        <v>0</v>
      </c>
      <c r="N383" s="3">
        <v>0</v>
      </c>
      <c r="O383" s="3">
        <v>0</v>
      </c>
      <c r="P383" s="3">
        <v>0</v>
      </c>
      <c r="Q383" s="3">
        <v>0</v>
      </c>
      <c r="R383" s="3">
        <f t="shared" ref="R383:R388" si="107">Q383*3000</f>
        <v>0</v>
      </c>
      <c r="S383" s="3">
        <v>0</v>
      </c>
      <c r="T383" s="3">
        <v>0</v>
      </c>
      <c r="U383" s="3">
        <v>121935.02</v>
      </c>
      <c r="V383" s="6" t="e">
        <f t="shared" ref="V383:V388" si="108">N383/M383</f>
        <v>#DIV/0!</v>
      </c>
    </row>
    <row r="384" spans="1:22" ht="25.15" customHeight="1" x14ac:dyDescent="0.25">
      <c r="A384" s="37" t="s">
        <v>1305</v>
      </c>
      <c r="B384" s="8" t="s">
        <v>212</v>
      </c>
      <c r="C384" s="2">
        <f t="shared" si="90"/>
        <v>100538.12</v>
      </c>
      <c r="D384" s="3">
        <f t="shared" si="105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 t="shared" si="106"/>
        <v>0</v>
      </c>
      <c r="K384" s="11">
        <v>0</v>
      </c>
      <c r="L384" s="5">
        <v>0</v>
      </c>
      <c r="M384" s="5">
        <v>0</v>
      </c>
      <c r="N384" s="3">
        <v>0</v>
      </c>
      <c r="O384" s="5">
        <v>0</v>
      </c>
      <c r="P384" s="5">
        <v>0</v>
      </c>
      <c r="Q384" s="5">
        <v>0</v>
      </c>
      <c r="R384" s="3">
        <f t="shared" si="107"/>
        <v>0</v>
      </c>
      <c r="S384" s="5">
        <v>0</v>
      </c>
      <c r="T384" s="3">
        <v>0</v>
      </c>
      <c r="U384" s="5">
        <v>100538.12</v>
      </c>
      <c r="V384" s="6" t="e">
        <f t="shared" si="108"/>
        <v>#DIV/0!</v>
      </c>
    </row>
    <row r="385" spans="1:22" ht="25.15" customHeight="1" x14ac:dyDescent="0.25">
      <c r="A385" s="37" t="s">
        <v>1306</v>
      </c>
      <c r="B385" s="8" t="s">
        <v>213</v>
      </c>
      <c r="C385" s="2">
        <f t="shared" si="90"/>
        <v>3941673.34</v>
      </c>
      <c r="D385" s="3">
        <f t="shared" si="105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 t="shared" si="106"/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6">
        <f t="shared" si="108"/>
        <v>5280.8916927766959</v>
      </c>
    </row>
    <row r="386" spans="1:22" ht="25.15" customHeight="1" x14ac:dyDescent="0.25">
      <c r="A386" s="37" t="s">
        <v>1307</v>
      </c>
      <c r="B386" s="8" t="s">
        <v>911</v>
      </c>
      <c r="C386" s="2">
        <f t="shared" si="90"/>
        <v>3529360.8</v>
      </c>
      <c r="D386" s="3">
        <f t="shared" si="105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6">
        <f t="shared" si="108"/>
        <v>5318.8864864864863</v>
      </c>
    </row>
    <row r="387" spans="1:22" ht="25.15" customHeight="1" x14ac:dyDescent="0.25">
      <c r="A387" s="37" t="s">
        <v>1308</v>
      </c>
      <c r="B387" s="8" t="s">
        <v>920</v>
      </c>
      <c r="C387" s="2">
        <f t="shared" si="90"/>
        <v>3200647.32</v>
      </c>
      <c r="D387" s="3">
        <f t="shared" si="105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 t="shared" si="107"/>
        <v>0</v>
      </c>
      <c r="S387" s="3">
        <v>0</v>
      </c>
      <c r="T387" s="3">
        <v>0</v>
      </c>
      <c r="U387" s="3">
        <v>125061.32</v>
      </c>
      <c r="V387" s="6" t="e">
        <f t="shared" si="108"/>
        <v>#DIV/0!</v>
      </c>
    </row>
    <row r="388" spans="1:22" ht="25.15" customHeight="1" x14ac:dyDescent="0.25">
      <c r="A388" s="37" t="s">
        <v>1309</v>
      </c>
      <c r="B388" s="8" t="s">
        <v>921</v>
      </c>
      <c r="C388" s="2">
        <f t="shared" si="90"/>
        <v>2657261.9500000002</v>
      </c>
      <c r="D388" s="3">
        <f t="shared" si="105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 t="shared" si="107"/>
        <v>0</v>
      </c>
      <c r="S388" s="3">
        <v>0</v>
      </c>
      <c r="T388" s="3">
        <v>0</v>
      </c>
      <c r="U388" s="3">
        <v>125633.95</v>
      </c>
      <c r="V388" s="6" t="e">
        <f t="shared" si="108"/>
        <v>#DIV/0!</v>
      </c>
    </row>
    <row r="389" spans="1:22" ht="45" customHeight="1" x14ac:dyDescent="0.25">
      <c r="A389" s="54" t="s">
        <v>223</v>
      </c>
      <c r="B389" s="54"/>
      <c r="C389" s="2">
        <f>SUM(C390:C396)</f>
        <v>10442222.16</v>
      </c>
      <c r="D389" s="2">
        <f t="shared" ref="D389:U389" si="109">SUM(D390:D396)</f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4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5.15" customHeight="1" x14ac:dyDescent="0.25">
      <c r="A390" s="37" t="s">
        <v>1310</v>
      </c>
      <c r="B390" s="8" t="s">
        <v>224</v>
      </c>
      <c r="C390" s="2">
        <f t="shared" si="90"/>
        <v>111850</v>
      </c>
      <c r="D390" s="3">
        <f t="shared" ref="D390:D396" si="110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6" t="e">
        <f t="shared" ref="V390:V396" si="111">N390/M390</f>
        <v>#DIV/0!</v>
      </c>
    </row>
    <row r="391" spans="1:22" ht="25.15" customHeight="1" x14ac:dyDescent="0.25">
      <c r="A391" s="37" t="s">
        <v>1311</v>
      </c>
      <c r="B391" s="8" t="s">
        <v>225</v>
      </c>
      <c r="C391" s="2">
        <f t="shared" si="90"/>
        <v>111850</v>
      </c>
      <c r="D391" s="3">
        <f t="shared" si="110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6" t="e">
        <f t="shared" si="111"/>
        <v>#DIV/0!</v>
      </c>
    </row>
    <row r="392" spans="1:22" ht="25.15" customHeight="1" x14ac:dyDescent="0.25">
      <c r="A392" s="37" t="s">
        <v>1312</v>
      </c>
      <c r="B392" s="8" t="s">
        <v>229</v>
      </c>
      <c r="C392" s="2">
        <f t="shared" si="90"/>
        <v>4580950</v>
      </c>
      <c r="D392" s="3">
        <f t="shared" si="110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6">
        <f t="shared" si="111"/>
        <v>5588.8177940280311</v>
      </c>
    </row>
    <row r="393" spans="1:22" ht="25.15" customHeight="1" x14ac:dyDescent="0.25">
      <c r="A393" s="37" t="s">
        <v>1313</v>
      </c>
      <c r="B393" s="8" t="s">
        <v>232</v>
      </c>
      <c r="C393" s="2">
        <f t="shared" si="90"/>
        <v>69659.09</v>
      </c>
      <c r="D393" s="3">
        <f t="shared" si="110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 t="shared" ref="R393:R394" si="112">Q393*3000</f>
        <v>0</v>
      </c>
      <c r="S393" s="3">
        <v>0</v>
      </c>
      <c r="T393" s="3">
        <v>0</v>
      </c>
      <c r="U393" s="3">
        <v>69659.09</v>
      </c>
      <c r="V393" s="6" t="e">
        <f t="shared" si="111"/>
        <v>#DIV/0!</v>
      </c>
    </row>
    <row r="394" spans="1:22" ht="25.15" customHeight="1" x14ac:dyDescent="0.25">
      <c r="A394" s="37" t="s">
        <v>1314</v>
      </c>
      <c r="B394" s="8" t="s">
        <v>235</v>
      </c>
      <c r="C394" s="2">
        <f t="shared" si="90"/>
        <v>50494.63</v>
      </c>
      <c r="D394" s="3">
        <f t="shared" si="110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 t="shared" si="112"/>
        <v>0</v>
      </c>
      <c r="S394" s="3">
        <v>0</v>
      </c>
      <c r="T394" s="3">
        <v>0</v>
      </c>
      <c r="U394" s="3">
        <v>50494.63</v>
      </c>
      <c r="V394" s="6" t="e">
        <f t="shared" si="111"/>
        <v>#DIV/0!</v>
      </c>
    </row>
    <row r="395" spans="1:22" ht="25.15" customHeight="1" x14ac:dyDescent="0.25">
      <c r="A395" s="37" t="s">
        <v>1315</v>
      </c>
      <c r="B395" s="8" t="s">
        <v>857</v>
      </c>
      <c r="C395" s="2">
        <f t="shared" ref="C395:C447" si="113">D395+L395+N395+P395+R395+S395+T395+U395</f>
        <v>2996027.44</v>
      </c>
      <c r="D395" s="3">
        <f t="shared" si="110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6">
        <f t="shared" si="111"/>
        <v>3656.7428363371569</v>
      </c>
    </row>
    <row r="396" spans="1:22" ht="25.15" customHeight="1" x14ac:dyDescent="0.25">
      <c r="A396" s="37" t="s">
        <v>1316</v>
      </c>
      <c r="B396" s="8" t="s">
        <v>237</v>
      </c>
      <c r="C396" s="2">
        <f t="shared" si="113"/>
        <v>2521391</v>
      </c>
      <c r="D396" s="3">
        <f t="shared" si="110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6">
        <f t="shared" si="111"/>
        <v>5352.3889107353516</v>
      </c>
    </row>
    <row r="397" spans="1:22" ht="45" customHeight="1" x14ac:dyDescent="0.25">
      <c r="A397" s="54" t="s">
        <v>945</v>
      </c>
      <c r="B397" s="54"/>
      <c r="C397" s="2">
        <f>SUM(C398)</f>
        <v>3461922.2</v>
      </c>
      <c r="D397" s="2">
        <f t="shared" ref="D397:U397" si="114">SUM(D398)</f>
        <v>0</v>
      </c>
      <c r="E397" s="2">
        <f t="shared" si="114"/>
        <v>0</v>
      </c>
      <c r="F397" s="2">
        <f t="shared" si="114"/>
        <v>0</v>
      </c>
      <c r="G397" s="2">
        <f t="shared" si="114"/>
        <v>0</v>
      </c>
      <c r="H397" s="2">
        <f t="shared" si="114"/>
        <v>0</v>
      </c>
      <c r="I397" s="2">
        <f t="shared" si="114"/>
        <v>0</v>
      </c>
      <c r="J397" s="2">
        <f t="shared" si="114"/>
        <v>0</v>
      </c>
      <c r="K397" s="14">
        <f t="shared" si="114"/>
        <v>0</v>
      </c>
      <c r="L397" s="2">
        <f t="shared" si="114"/>
        <v>0</v>
      </c>
      <c r="M397" s="2">
        <f t="shared" si="114"/>
        <v>372</v>
      </c>
      <c r="N397" s="2">
        <f t="shared" si="114"/>
        <v>2039699.6</v>
      </c>
      <c r="O397" s="2">
        <f t="shared" si="114"/>
        <v>0</v>
      </c>
      <c r="P397" s="2">
        <f t="shared" si="114"/>
        <v>0</v>
      </c>
      <c r="Q397" s="2">
        <f t="shared" si="114"/>
        <v>258</v>
      </c>
      <c r="R397" s="2">
        <f t="shared" si="114"/>
        <v>1422222.6</v>
      </c>
      <c r="S397" s="2">
        <f t="shared" si="114"/>
        <v>0</v>
      </c>
      <c r="T397" s="2">
        <f t="shared" si="114"/>
        <v>0</v>
      </c>
      <c r="U397" s="2">
        <f t="shared" si="114"/>
        <v>0</v>
      </c>
      <c r="V397" s="18">
        <f>C397</f>
        <v>3461922.2</v>
      </c>
    </row>
    <row r="398" spans="1:22" ht="25.15" customHeight="1" x14ac:dyDescent="0.25">
      <c r="A398" s="37" t="s">
        <v>1317</v>
      </c>
      <c r="B398" s="8" t="s">
        <v>858</v>
      </c>
      <c r="C398" s="2">
        <f t="shared" si="113"/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6">
        <f>N398/M398</f>
        <v>5483.0634408602155</v>
      </c>
    </row>
    <row r="399" spans="1:22" ht="45" customHeight="1" x14ac:dyDescent="0.25">
      <c r="A399" s="54" t="s">
        <v>265</v>
      </c>
      <c r="B399" s="54"/>
      <c r="C399" s="2">
        <f>SUM(C400:C415)</f>
        <v>62833535.530000001</v>
      </c>
      <c r="D399" s="2">
        <f t="shared" ref="D399:U399" si="115">SUM(D400:D415)</f>
        <v>10980453.6</v>
      </c>
      <c r="E399" s="2">
        <f t="shared" si="115"/>
        <v>3644816.45</v>
      </c>
      <c r="F399" s="2">
        <f t="shared" si="115"/>
        <v>5291943.43</v>
      </c>
      <c r="G399" s="2">
        <f t="shared" si="115"/>
        <v>1052744.0799999998</v>
      </c>
      <c r="H399" s="2">
        <f t="shared" si="115"/>
        <v>0</v>
      </c>
      <c r="I399" s="2">
        <f t="shared" si="115"/>
        <v>990949.64</v>
      </c>
      <c r="J399" s="2">
        <f t="shared" si="115"/>
        <v>0</v>
      </c>
      <c r="K399" s="14">
        <f t="shared" si="115"/>
        <v>0</v>
      </c>
      <c r="L399" s="2">
        <f t="shared" si="115"/>
        <v>0</v>
      </c>
      <c r="M399" s="2">
        <f t="shared" si="115"/>
        <v>7794.04</v>
      </c>
      <c r="N399" s="2">
        <f t="shared" si="115"/>
        <v>34238622.810000002</v>
      </c>
      <c r="O399" s="2">
        <f t="shared" si="115"/>
        <v>163.4</v>
      </c>
      <c r="P399" s="2">
        <f t="shared" si="115"/>
        <v>124568.4</v>
      </c>
      <c r="Q399" s="2">
        <f t="shared" si="115"/>
        <v>5912</v>
      </c>
      <c r="R399" s="2">
        <f t="shared" si="115"/>
        <v>15662558.599999998</v>
      </c>
      <c r="S399" s="2">
        <f t="shared" si="115"/>
        <v>0</v>
      </c>
      <c r="T399" s="2">
        <f t="shared" si="115"/>
        <v>0</v>
      </c>
      <c r="U399" s="2">
        <f t="shared" si="115"/>
        <v>1827332.12</v>
      </c>
    </row>
    <row r="400" spans="1:22" ht="25.15" customHeight="1" x14ac:dyDescent="0.25">
      <c r="A400" s="37" t="s">
        <v>1318</v>
      </c>
      <c r="B400" s="8" t="s">
        <v>932</v>
      </c>
      <c r="C400" s="2">
        <f t="shared" si="113"/>
        <v>460135.79</v>
      </c>
      <c r="D400" s="3">
        <f t="shared" ref="D400:D415" si="116">SUM(E400:J400)</f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11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3">
        <f t="shared" ref="R400:R415" si="117">Q400*3000</f>
        <v>0</v>
      </c>
      <c r="S400" s="5">
        <v>0</v>
      </c>
      <c r="T400" s="5">
        <v>0</v>
      </c>
      <c r="U400" s="5">
        <v>460135.79</v>
      </c>
      <c r="V400" s="6" t="e">
        <f t="shared" ref="V400:V415" si="118">N400/M400</f>
        <v>#DIV/0!</v>
      </c>
    </row>
    <row r="401" spans="1:22" ht="25.15" customHeight="1" x14ac:dyDescent="0.25">
      <c r="A401" s="37" t="s">
        <v>1319</v>
      </c>
      <c r="B401" s="22" t="s">
        <v>243</v>
      </c>
      <c r="C401" s="2">
        <f t="shared" si="113"/>
        <v>9974525.0099999998</v>
      </c>
      <c r="D401" s="3">
        <f>SUM(E401:J401)</f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6">
        <f t="shared" si="118"/>
        <v>5143.8287013169611</v>
      </c>
    </row>
    <row r="402" spans="1:22" ht="25.15" customHeight="1" x14ac:dyDescent="0.25">
      <c r="A402" s="37" t="s">
        <v>1320</v>
      </c>
      <c r="B402" s="8" t="s">
        <v>245</v>
      </c>
      <c r="C402" s="2">
        <f t="shared" si="113"/>
        <v>3360072</v>
      </c>
      <c r="D402" s="3">
        <f>SUM(E402:J402)</f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6">
        <f t="shared" si="118"/>
        <v>3633.0994215278151</v>
      </c>
    </row>
    <row r="403" spans="1:22" ht="24.6" customHeight="1" x14ac:dyDescent="0.25">
      <c r="A403" s="37" t="s">
        <v>1321</v>
      </c>
      <c r="B403" s="22" t="s">
        <v>244</v>
      </c>
      <c r="C403" s="2">
        <f t="shared" si="113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 t="shared" ref="H403:H843" si="119">400*0</f>
        <v>0</v>
      </c>
      <c r="I403" s="3">
        <v>0</v>
      </c>
      <c r="J403" s="3">
        <f t="shared" ref="J403:J843" si="120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 t="shared" si="117"/>
        <v>0</v>
      </c>
      <c r="S403" s="3">
        <v>0</v>
      </c>
      <c r="T403" s="3">
        <v>0</v>
      </c>
      <c r="U403" s="3">
        <v>140000.76</v>
      </c>
      <c r="V403" s="6" t="e">
        <f t="shared" si="118"/>
        <v>#DIV/0!</v>
      </c>
    </row>
    <row r="404" spans="1:22" ht="25.15" customHeight="1" x14ac:dyDescent="0.25">
      <c r="A404" s="37" t="s">
        <v>1322</v>
      </c>
      <c r="B404" s="22" t="s">
        <v>247</v>
      </c>
      <c r="C404" s="2">
        <f t="shared" si="113"/>
        <v>7813966.8300000001</v>
      </c>
      <c r="D404" s="3">
        <f>SUM(E404:J404)</f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>350*0</f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6">
        <f t="shared" si="118"/>
        <v>3168.6936678130687</v>
      </c>
    </row>
    <row r="405" spans="1:22" ht="25.15" customHeight="1" x14ac:dyDescent="0.25">
      <c r="A405" s="37" t="s">
        <v>1323</v>
      </c>
      <c r="B405" s="22" t="s">
        <v>249</v>
      </c>
      <c r="C405" s="2">
        <f t="shared" si="113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 t="shared" si="119"/>
        <v>0</v>
      </c>
      <c r="I405" s="3">
        <v>0</v>
      </c>
      <c r="J405" s="3">
        <f t="shared" si="120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6" t="e">
        <f t="shared" si="118"/>
        <v>#DIV/0!</v>
      </c>
    </row>
    <row r="406" spans="1:22" ht="25.15" customHeight="1" x14ac:dyDescent="0.25">
      <c r="A406" s="37" t="s">
        <v>1324</v>
      </c>
      <c r="B406" s="22" t="s">
        <v>250</v>
      </c>
      <c r="C406" s="2">
        <f t="shared" si="113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 t="shared" si="119"/>
        <v>0</v>
      </c>
      <c r="I406" s="3">
        <v>0</v>
      </c>
      <c r="J406" s="3">
        <f t="shared" si="120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6">
        <f t="shared" si="118"/>
        <v>3208.7900414937762</v>
      </c>
    </row>
    <row r="407" spans="1:22" ht="25.15" customHeight="1" x14ac:dyDescent="0.25">
      <c r="A407" s="37" t="s">
        <v>1325</v>
      </c>
      <c r="B407" s="22" t="s">
        <v>251</v>
      </c>
      <c r="C407" s="2">
        <f t="shared" si="113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20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6">
        <f t="shared" si="118"/>
        <v>5323.0475524475523</v>
      </c>
    </row>
    <row r="408" spans="1:22" ht="25.15" customHeight="1" x14ac:dyDescent="0.25">
      <c r="A408" s="37" t="s">
        <v>1326</v>
      </c>
      <c r="B408" s="22" t="s">
        <v>252</v>
      </c>
      <c r="C408" s="2">
        <f t="shared" si="113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 t="shared" si="119"/>
        <v>0</v>
      </c>
      <c r="I408" s="3">
        <v>193498.8</v>
      </c>
      <c r="J408" s="3">
        <f t="shared" si="120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6">
        <f t="shared" si="118"/>
        <v>5353.9823008849553</v>
      </c>
    </row>
    <row r="409" spans="1:22" ht="25.15" customHeight="1" x14ac:dyDescent="0.25">
      <c r="A409" s="37" t="s">
        <v>1327</v>
      </c>
      <c r="B409" s="22" t="s">
        <v>248</v>
      </c>
      <c r="C409" s="2">
        <f>D409+L409+N409+P409+R409+S409+T409+U409</f>
        <v>2539190.7999999998</v>
      </c>
      <c r="D409" s="3">
        <f>SUM(E409:J409)</f>
        <v>133339.20000000001</v>
      </c>
      <c r="E409" s="3">
        <v>133339.20000000001</v>
      </c>
      <c r="F409" s="3">
        <v>0</v>
      </c>
      <c r="G409" s="3">
        <v>0</v>
      </c>
      <c r="H409" s="3">
        <f t="shared" si="119"/>
        <v>0</v>
      </c>
      <c r="I409" s="3">
        <v>0</v>
      </c>
      <c r="J409" s="3">
        <f t="shared" si="120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6">
        <f>N409/M409</f>
        <v>3692.088888888889</v>
      </c>
    </row>
    <row r="410" spans="1:22" ht="25.15" customHeight="1" x14ac:dyDescent="0.25">
      <c r="A410" s="37" t="s">
        <v>1328</v>
      </c>
      <c r="B410" s="22" t="s">
        <v>254</v>
      </c>
      <c r="C410" s="2">
        <f t="shared" si="113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 t="shared" si="119"/>
        <v>0</v>
      </c>
      <c r="I410" s="3">
        <v>0</v>
      </c>
      <c r="J410" s="3">
        <f t="shared" si="120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 t="shared" si="117"/>
        <v>0</v>
      </c>
      <c r="S410" s="3">
        <v>0</v>
      </c>
      <c r="T410" s="3">
        <v>0</v>
      </c>
      <c r="U410" s="3">
        <v>120570.93</v>
      </c>
      <c r="V410" s="6" t="e">
        <f t="shared" si="118"/>
        <v>#DIV/0!</v>
      </c>
    </row>
    <row r="411" spans="1:22" ht="25.15" customHeight="1" x14ac:dyDescent="0.25">
      <c r="A411" s="37" t="s">
        <v>1329</v>
      </c>
      <c r="B411" s="22" t="s">
        <v>257</v>
      </c>
      <c r="C411" s="2">
        <f t="shared" si="113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 t="shared" si="119"/>
        <v>0</v>
      </c>
      <c r="I411" s="3">
        <v>175218</v>
      </c>
      <c r="J411" s="3">
        <f t="shared" si="120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6" t="e">
        <f t="shared" si="118"/>
        <v>#DIV/0!</v>
      </c>
    </row>
    <row r="412" spans="1:22" ht="25.15" customHeight="1" x14ac:dyDescent="0.25">
      <c r="A412" s="37" t="s">
        <v>1330</v>
      </c>
      <c r="B412" s="22" t="s">
        <v>255</v>
      </c>
      <c r="C412" s="2">
        <f t="shared" si="113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 t="shared" si="119"/>
        <v>0</v>
      </c>
      <c r="I412" s="3">
        <v>94928.4</v>
      </c>
      <c r="J412" s="3">
        <f t="shared" si="120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6">
        <f t="shared" si="118"/>
        <v>5500</v>
      </c>
    </row>
    <row r="413" spans="1:22" ht="25.15" customHeight="1" x14ac:dyDescent="0.25">
      <c r="A413" s="37" t="s">
        <v>1331</v>
      </c>
      <c r="B413" s="22" t="s">
        <v>256</v>
      </c>
      <c r="C413" s="2">
        <f t="shared" si="113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 t="shared" si="117"/>
        <v>0</v>
      </c>
      <c r="S413" s="3">
        <v>0</v>
      </c>
      <c r="T413" s="3">
        <v>0</v>
      </c>
      <c r="U413" s="3">
        <v>0</v>
      </c>
      <c r="V413" s="6">
        <f t="shared" si="118"/>
        <v>5637.3518485998738</v>
      </c>
    </row>
    <row r="414" spans="1:22" ht="25.15" customHeight="1" x14ac:dyDescent="0.25">
      <c r="A414" s="37" t="s">
        <v>1332</v>
      </c>
      <c r="B414" s="22" t="s">
        <v>827</v>
      </c>
      <c r="C414" s="2">
        <f t="shared" si="113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 t="shared" si="117"/>
        <v>0</v>
      </c>
      <c r="S414" s="3">
        <v>0</v>
      </c>
      <c r="T414" s="3">
        <v>0</v>
      </c>
      <c r="U414" s="3">
        <v>0</v>
      </c>
      <c r="V414" s="6">
        <f t="shared" si="118"/>
        <v>3539.9535572632622</v>
      </c>
    </row>
    <row r="415" spans="1:22" ht="25.15" customHeight="1" x14ac:dyDescent="0.25">
      <c r="A415" s="37" t="s">
        <v>1333</v>
      </c>
      <c r="B415" s="22" t="s">
        <v>828</v>
      </c>
      <c r="C415" s="2">
        <f t="shared" si="113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 t="shared" si="117"/>
        <v>0</v>
      </c>
      <c r="S415" s="3">
        <v>0</v>
      </c>
      <c r="T415" s="3">
        <v>0</v>
      </c>
      <c r="U415" s="3">
        <v>0</v>
      </c>
      <c r="V415" s="6">
        <f t="shared" si="118"/>
        <v>3506.556752767528</v>
      </c>
    </row>
    <row r="416" spans="1:22" ht="45" customHeight="1" x14ac:dyDescent="0.25">
      <c r="A416" s="54" t="s">
        <v>837</v>
      </c>
      <c r="B416" s="54"/>
      <c r="C416" s="2">
        <f>SUM(C417)</f>
        <v>1980000</v>
      </c>
      <c r="D416" s="2">
        <f t="shared" ref="D416:U416" si="121">SUM(D417)</f>
        <v>0</v>
      </c>
      <c r="E416" s="2">
        <f t="shared" si="121"/>
        <v>0</v>
      </c>
      <c r="F416" s="2">
        <f t="shared" si="121"/>
        <v>0</v>
      </c>
      <c r="G416" s="2">
        <f t="shared" si="121"/>
        <v>0</v>
      </c>
      <c r="H416" s="2">
        <f t="shared" si="121"/>
        <v>0</v>
      </c>
      <c r="I416" s="2">
        <f t="shared" si="121"/>
        <v>0</v>
      </c>
      <c r="J416" s="2">
        <f t="shared" si="121"/>
        <v>0</v>
      </c>
      <c r="K416" s="14">
        <f t="shared" si="121"/>
        <v>0</v>
      </c>
      <c r="L416" s="2">
        <f t="shared" si="121"/>
        <v>0</v>
      </c>
      <c r="M416" s="2">
        <f t="shared" si="121"/>
        <v>0</v>
      </c>
      <c r="N416" s="2">
        <f t="shared" si="121"/>
        <v>0</v>
      </c>
      <c r="O416" s="2">
        <f t="shared" si="121"/>
        <v>0</v>
      </c>
      <c r="P416" s="2">
        <f t="shared" si="121"/>
        <v>0</v>
      </c>
      <c r="Q416" s="2">
        <f t="shared" si="121"/>
        <v>660</v>
      </c>
      <c r="R416" s="2">
        <f t="shared" si="121"/>
        <v>1980000</v>
      </c>
      <c r="S416" s="2">
        <f t="shared" si="121"/>
        <v>0</v>
      </c>
      <c r="T416" s="2">
        <f t="shared" si="121"/>
        <v>0</v>
      </c>
      <c r="U416" s="2">
        <f t="shared" si="121"/>
        <v>0</v>
      </c>
    </row>
    <row r="417" spans="1:22" ht="25.15" customHeight="1" x14ac:dyDescent="0.25">
      <c r="A417" s="37" t="s">
        <v>1334</v>
      </c>
      <c r="B417" s="22" t="s">
        <v>838</v>
      </c>
      <c r="C417" s="2">
        <f t="shared" si="113"/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6" t="e">
        <f>N417/M417</f>
        <v>#DIV/0!</v>
      </c>
    </row>
    <row r="418" spans="1:22" ht="45" customHeight="1" x14ac:dyDescent="0.25">
      <c r="A418" s="54" t="s">
        <v>266</v>
      </c>
      <c r="B418" s="54"/>
      <c r="C418" s="2">
        <f>SUM(C419)</f>
        <v>4337452.32</v>
      </c>
      <c r="D418" s="2">
        <f t="shared" ref="D418:U418" si="122">SUM(D419)</f>
        <v>1086193.06</v>
      </c>
      <c r="E418" s="2">
        <f t="shared" si="122"/>
        <v>151561.39000000001</v>
      </c>
      <c r="F418" s="2">
        <f t="shared" si="122"/>
        <v>627654.87</v>
      </c>
      <c r="G418" s="2">
        <f t="shared" si="122"/>
        <v>145210.45000000001</v>
      </c>
      <c r="H418" s="2">
        <f t="shared" si="122"/>
        <v>109542.28</v>
      </c>
      <c r="I418" s="2">
        <f t="shared" si="122"/>
        <v>52224.07</v>
      </c>
      <c r="J418" s="2">
        <f t="shared" si="122"/>
        <v>0</v>
      </c>
      <c r="K418" s="14">
        <f t="shared" si="122"/>
        <v>0</v>
      </c>
      <c r="L418" s="2">
        <f t="shared" si="122"/>
        <v>0</v>
      </c>
      <c r="M418" s="2">
        <f t="shared" si="122"/>
        <v>451</v>
      </c>
      <c r="N418" s="2">
        <f t="shared" si="122"/>
        <v>1425880.38</v>
      </c>
      <c r="O418" s="2">
        <f t="shared" si="122"/>
        <v>215</v>
      </c>
      <c r="P418" s="2">
        <f t="shared" si="122"/>
        <v>91634.95</v>
      </c>
      <c r="Q418" s="2">
        <f t="shared" si="122"/>
        <v>684</v>
      </c>
      <c r="R418" s="2">
        <f t="shared" si="122"/>
        <v>1733743.93</v>
      </c>
      <c r="S418" s="2">
        <f t="shared" si="122"/>
        <v>0</v>
      </c>
      <c r="T418" s="2">
        <f t="shared" si="122"/>
        <v>0</v>
      </c>
      <c r="U418" s="2">
        <f t="shared" si="122"/>
        <v>0</v>
      </c>
      <c r="V418" s="18">
        <f>C418</f>
        <v>4337452.32</v>
      </c>
    </row>
    <row r="419" spans="1:22" ht="25.15" customHeight="1" x14ac:dyDescent="0.25">
      <c r="A419" s="37" t="s">
        <v>1335</v>
      </c>
      <c r="B419" s="22" t="s">
        <v>267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6">
        <f>N419/M419</f>
        <v>3161.5972949002216</v>
      </c>
    </row>
    <row r="420" spans="1:22" ht="45" customHeight="1" x14ac:dyDescent="0.25">
      <c r="A420" s="54" t="s">
        <v>270</v>
      </c>
      <c r="B420" s="54"/>
      <c r="C420" s="2">
        <f>SUM(C421:C422)</f>
        <v>4088364.95</v>
      </c>
      <c r="D420" s="2">
        <f t="shared" ref="D420:U420" si="123">SUM(D421:D422)</f>
        <v>0</v>
      </c>
      <c r="E420" s="2">
        <f t="shared" si="123"/>
        <v>0</v>
      </c>
      <c r="F420" s="2">
        <f t="shared" si="123"/>
        <v>0</v>
      </c>
      <c r="G420" s="2">
        <f t="shared" si="123"/>
        <v>0</v>
      </c>
      <c r="H420" s="2">
        <f t="shared" si="123"/>
        <v>0</v>
      </c>
      <c r="I420" s="2">
        <f t="shared" si="123"/>
        <v>0</v>
      </c>
      <c r="J420" s="2">
        <f t="shared" si="123"/>
        <v>0</v>
      </c>
      <c r="K420" s="14">
        <f t="shared" si="123"/>
        <v>0</v>
      </c>
      <c r="L420" s="2">
        <f t="shared" si="123"/>
        <v>0</v>
      </c>
      <c r="M420" s="2">
        <f t="shared" si="123"/>
        <v>743.4</v>
      </c>
      <c r="N420" s="2">
        <f t="shared" si="123"/>
        <v>4088364.95</v>
      </c>
      <c r="O420" s="2">
        <f t="shared" si="123"/>
        <v>0</v>
      </c>
      <c r="P420" s="2">
        <f t="shared" si="123"/>
        <v>0</v>
      </c>
      <c r="Q420" s="2">
        <f t="shared" si="123"/>
        <v>0</v>
      </c>
      <c r="R420" s="2">
        <f t="shared" si="123"/>
        <v>0</v>
      </c>
      <c r="S420" s="2">
        <f t="shared" si="123"/>
        <v>0</v>
      </c>
      <c r="T420" s="2">
        <f t="shared" si="123"/>
        <v>0</v>
      </c>
      <c r="U420" s="2">
        <f t="shared" si="123"/>
        <v>0</v>
      </c>
      <c r="V420" s="18">
        <f>C420</f>
        <v>4088364.95</v>
      </c>
    </row>
    <row r="421" spans="1:22" ht="25.15" customHeight="1" x14ac:dyDescent="0.25">
      <c r="A421" s="37" t="s">
        <v>1336</v>
      </c>
      <c r="B421" s="22" t="s">
        <v>271</v>
      </c>
      <c r="C421" s="2">
        <f t="shared" si="113"/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6">
        <f>N421/M421</f>
        <v>5499.7911140939595</v>
      </c>
    </row>
    <row r="422" spans="1:22" ht="25.15" customHeight="1" x14ac:dyDescent="0.25">
      <c r="A422" s="37" t="s">
        <v>1337</v>
      </c>
      <c r="B422" s="22" t="s">
        <v>272</v>
      </c>
      <c r="C422" s="2">
        <f t="shared" si="113"/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6">
        <f>N422/M422</f>
        <v>5499.3064437853873</v>
      </c>
    </row>
    <row r="423" spans="1:22" ht="45" customHeight="1" x14ac:dyDescent="0.25">
      <c r="A423" s="54" t="s">
        <v>894</v>
      </c>
      <c r="B423" s="54"/>
      <c r="C423" s="2">
        <f>SUM(C424)</f>
        <v>3428150</v>
      </c>
      <c r="D423" s="2">
        <f t="shared" ref="D423:U423" si="124">SUM(D424)</f>
        <v>0</v>
      </c>
      <c r="E423" s="2">
        <f t="shared" si="124"/>
        <v>0</v>
      </c>
      <c r="F423" s="2">
        <f t="shared" si="124"/>
        <v>0</v>
      </c>
      <c r="G423" s="2">
        <f t="shared" si="124"/>
        <v>0</v>
      </c>
      <c r="H423" s="2">
        <f t="shared" si="124"/>
        <v>0</v>
      </c>
      <c r="I423" s="2">
        <f t="shared" si="124"/>
        <v>0</v>
      </c>
      <c r="J423" s="2">
        <f t="shared" si="124"/>
        <v>0</v>
      </c>
      <c r="K423" s="14">
        <f t="shared" si="124"/>
        <v>0</v>
      </c>
      <c r="L423" s="2">
        <f t="shared" si="124"/>
        <v>0</v>
      </c>
      <c r="M423" s="2">
        <f t="shared" si="124"/>
        <v>655.9</v>
      </c>
      <c r="N423" s="2">
        <f t="shared" si="124"/>
        <v>3428150</v>
      </c>
      <c r="O423" s="2">
        <f t="shared" si="124"/>
        <v>0</v>
      </c>
      <c r="P423" s="2">
        <f t="shared" si="124"/>
        <v>0</v>
      </c>
      <c r="Q423" s="2">
        <f t="shared" si="124"/>
        <v>0</v>
      </c>
      <c r="R423" s="2">
        <f t="shared" si="124"/>
        <v>0</v>
      </c>
      <c r="S423" s="2">
        <f t="shared" si="124"/>
        <v>0</v>
      </c>
      <c r="T423" s="2">
        <f t="shared" si="124"/>
        <v>0</v>
      </c>
      <c r="U423" s="2">
        <f t="shared" si="124"/>
        <v>0</v>
      </c>
      <c r="V423" s="18">
        <f>C423</f>
        <v>3428150</v>
      </c>
    </row>
    <row r="424" spans="1:22" ht="25.15" customHeight="1" x14ac:dyDescent="0.25">
      <c r="A424" s="37" t="s">
        <v>1338</v>
      </c>
      <c r="B424" s="22" t="s">
        <v>895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6">
        <f>N424/M424</f>
        <v>5226.6351577984451</v>
      </c>
    </row>
    <row r="425" spans="1:22" ht="45" customHeight="1" x14ac:dyDescent="0.25">
      <c r="A425" s="54" t="s">
        <v>372</v>
      </c>
      <c r="B425" s="54"/>
      <c r="C425" s="2">
        <f>SUM(C426:C626)</f>
        <v>479527848.27999967</v>
      </c>
      <c r="D425" s="2">
        <f t="shared" ref="D425:U425" si="125">SUM(D426:D626)</f>
        <v>97235995.24000001</v>
      </c>
      <c r="E425" s="2">
        <f t="shared" si="125"/>
        <v>16307470.029999999</v>
      </c>
      <c r="F425" s="2">
        <f t="shared" si="125"/>
        <v>53121716.699999996</v>
      </c>
      <c r="G425" s="2">
        <f t="shared" si="125"/>
        <v>9527654.7399999984</v>
      </c>
      <c r="H425" s="2">
        <f t="shared" si="125"/>
        <v>9738298.3399999999</v>
      </c>
      <c r="I425" s="2">
        <f t="shared" si="125"/>
        <v>8540855.4299999997</v>
      </c>
      <c r="J425" s="2">
        <f t="shared" si="125"/>
        <v>0</v>
      </c>
      <c r="K425" s="14">
        <f t="shared" si="125"/>
        <v>14</v>
      </c>
      <c r="L425" s="2">
        <f t="shared" si="125"/>
        <v>24140752.440000001</v>
      </c>
      <c r="M425" s="2">
        <f t="shared" si="125"/>
        <v>58057.35</v>
      </c>
      <c r="N425" s="2">
        <f t="shared" si="125"/>
        <v>301273193.71999979</v>
      </c>
      <c r="O425" s="2">
        <f t="shared" si="125"/>
        <v>819.8</v>
      </c>
      <c r="P425" s="2">
        <f t="shared" si="125"/>
        <v>881819.15</v>
      </c>
      <c r="Q425" s="2">
        <f t="shared" si="125"/>
        <v>17944.86</v>
      </c>
      <c r="R425" s="2">
        <f t="shared" si="125"/>
        <v>42019055.349999994</v>
      </c>
      <c r="S425" s="2">
        <f t="shared" si="125"/>
        <v>52420.18</v>
      </c>
      <c r="T425" s="2">
        <f t="shared" si="125"/>
        <v>0</v>
      </c>
      <c r="U425" s="2">
        <f t="shared" si="125"/>
        <v>13924612.199999999</v>
      </c>
    </row>
    <row r="426" spans="1:22" ht="25.15" customHeight="1" x14ac:dyDescent="0.25">
      <c r="A426" s="53" t="s">
        <v>1339</v>
      </c>
      <c r="B426" s="8" t="s">
        <v>564</v>
      </c>
      <c r="C426" s="2">
        <f t="shared" si="113"/>
        <v>1413500</v>
      </c>
      <c r="D426" s="3">
        <f t="shared" ref="D426:D481" si="126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1">
        <v>0</v>
      </c>
      <c r="L426" s="5">
        <v>0</v>
      </c>
      <c r="M426" s="5">
        <v>257</v>
      </c>
      <c r="N426" s="3">
        <f>M426*5500</f>
        <v>1413500</v>
      </c>
      <c r="O426" s="5">
        <v>0</v>
      </c>
      <c r="P426" s="5">
        <v>0</v>
      </c>
      <c r="Q426" s="5">
        <v>0</v>
      </c>
      <c r="R426" s="3">
        <f t="shared" ref="R426:R480" si="127">Q426*3000</f>
        <v>0</v>
      </c>
      <c r="S426" s="5">
        <v>0</v>
      </c>
      <c r="T426" s="5">
        <v>0</v>
      </c>
      <c r="U426" s="5">
        <v>0</v>
      </c>
      <c r="V426" s="6">
        <f t="shared" ref="V426:V480" si="128">N426/M426</f>
        <v>5500</v>
      </c>
    </row>
    <row r="427" spans="1:22" ht="25.15" customHeight="1" x14ac:dyDescent="0.25">
      <c r="A427" s="53" t="s">
        <v>1340</v>
      </c>
      <c r="B427" s="23" t="s">
        <v>565</v>
      </c>
      <c r="C427" s="2">
        <f t="shared" si="113"/>
        <v>1421750</v>
      </c>
      <c r="D427" s="3">
        <f t="shared" si="126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1">
        <v>0</v>
      </c>
      <c r="L427" s="5">
        <v>0</v>
      </c>
      <c r="M427" s="5">
        <v>258.5</v>
      </c>
      <c r="N427" s="3">
        <f>M427*5500</f>
        <v>1421750</v>
      </c>
      <c r="O427" s="5">
        <v>0</v>
      </c>
      <c r="P427" s="5">
        <v>0</v>
      </c>
      <c r="Q427" s="5">
        <v>0</v>
      </c>
      <c r="R427" s="3">
        <f t="shared" si="127"/>
        <v>0</v>
      </c>
      <c r="S427" s="5">
        <v>0</v>
      </c>
      <c r="T427" s="5">
        <v>0</v>
      </c>
      <c r="U427" s="5">
        <v>0</v>
      </c>
      <c r="V427" s="6">
        <f t="shared" si="128"/>
        <v>5500</v>
      </c>
    </row>
    <row r="428" spans="1:22" ht="25.15" customHeight="1" x14ac:dyDescent="0.25">
      <c r="A428" s="53" t="s">
        <v>1341</v>
      </c>
      <c r="B428" s="24" t="s">
        <v>876</v>
      </c>
      <c r="C428" s="2">
        <f>D428+L428+N428+P428+R428+S428+T428+U428</f>
        <v>1969687.71</v>
      </c>
      <c r="D428" s="3">
        <f>SUM(E428:J428)</f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6">
        <f>N428/M428</f>
        <v>3752.8912545294288</v>
      </c>
    </row>
    <row r="429" spans="1:22" ht="25.15" customHeight="1" x14ac:dyDescent="0.25">
      <c r="A429" s="53" t="s">
        <v>1342</v>
      </c>
      <c r="B429" s="8" t="s">
        <v>417</v>
      </c>
      <c r="C429" s="2">
        <f t="shared" si="113"/>
        <v>1695055.2</v>
      </c>
      <c r="D429" s="3">
        <f t="shared" si="126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5">
        <v>0</v>
      </c>
      <c r="U429" s="3">
        <v>0</v>
      </c>
      <c r="V429" s="6">
        <f t="shared" si="128"/>
        <v>6372.3879699248118</v>
      </c>
    </row>
    <row r="430" spans="1:22" ht="25.15" customHeight="1" x14ac:dyDescent="0.25">
      <c r="A430" s="53" t="s">
        <v>1343</v>
      </c>
      <c r="B430" s="8" t="s">
        <v>483</v>
      </c>
      <c r="C430" s="2">
        <f>D430+L430+N430+P430+R430+S430+T430+U430</f>
        <v>3306860.4</v>
      </c>
      <c r="D430" s="3">
        <f>SUM(E430:J430)</f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5">
        <v>0</v>
      </c>
      <c r="U430" s="3">
        <v>0</v>
      </c>
      <c r="V430" s="6">
        <f>N430/M430</f>
        <v>4778.46743697479</v>
      </c>
    </row>
    <row r="431" spans="1:22" ht="25.15" customHeight="1" x14ac:dyDescent="0.25">
      <c r="A431" s="53" t="s">
        <v>1344</v>
      </c>
      <c r="B431" s="8" t="s">
        <v>566</v>
      </c>
      <c r="C431" s="2">
        <f t="shared" si="113"/>
        <v>2835250</v>
      </c>
      <c r="D431" s="3">
        <f t="shared" si="126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1">
        <v>0</v>
      </c>
      <c r="L431" s="5">
        <v>0</v>
      </c>
      <c r="M431" s="5">
        <v>515.5</v>
      </c>
      <c r="N431" s="3">
        <f>M431*5500</f>
        <v>2835250</v>
      </c>
      <c r="O431" s="5">
        <v>0</v>
      </c>
      <c r="P431" s="5">
        <v>0</v>
      </c>
      <c r="Q431" s="5">
        <v>0</v>
      </c>
      <c r="R431" s="3">
        <f t="shared" si="127"/>
        <v>0</v>
      </c>
      <c r="S431" s="5">
        <v>0</v>
      </c>
      <c r="T431" s="5">
        <v>0</v>
      </c>
      <c r="U431" s="5">
        <v>0</v>
      </c>
      <c r="V431" s="6">
        <f t="shared" si="128"/>
        <v>5500</v>
      </c>
    </row>
    <row r="432" spans="1:22" ht="25.15" customHeight="1" x14ac:dyDescent="0.25">
      <c r="A432" s="53" t="s">
        <v>1345</v>
      </c>
      <c r="B432" s="8" t="s">
        <v>466</v>
      </c>
      <c r="C432" s="2">
        <f t="shared" si="113"/>
        <v>3322242.55</v>
      </c>
      <c r="D432" s="3">
        <f t="shared" si="126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 t="shared" si="127"/>
        <v>0</v>
      </c>
      <c r="S432" s="3">
        <v>0</v>
      </c>
      <c r="T432" s="5">
        <v>0</v>
      </c>
      <c r="U432" s="3">
        <v>0</v>
      </c>
      <c r="V432" s="6">
        <f t="shared" si="128"/>
        <v>5428.5008986928106</v>
      </c>
    </row>
    <row r="433" spans="1:22" ht="25.15" customHeight="1" x14ac:dyDescent="0.25">
      <c r="A433" s="53" t="s">
        <v>1346</v>
      </c>
      <c r="B433" s="8" t="s">
        <v>485</v>
      </c>
      <c r="C433" s="2">
        <f t="shared" si="113"/>
        <v>2651735.6</v>
      </c>
      <c r="D433" s="3">
        <f t="shared" si="126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5">
        <v>0</v>
      </c>
      <c r="U433" s="3">
        <v>0</v>
      </c>
      <c r="V433" s="6">
        <f t="shared" si="128"/>
        <v>5353.8446161534621</v>
      </c>
    </row>
    <row r="434" spans="1:22" ht="25.15" customHeight="1" x14ac:dyDescent="0.25">
      <c r="A434" s="53" t="s">
        <v>1347</v>
      </c>
      <c r="B434" s="8" t="s">
        <v>568</v>
      </c>
      <c r="C434" s="2">
        <f t="shared" si="113"/>
        <v>1282497.6000000001</v>
      </c>
      <c r="D434" s="3">
        <f t="shared" si="126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1">
        <v>0</v>
      </c>
      <c r="L434" s="5">
        <v>0</v>
      </c>
      <c r="M434" s="5">
        <v>280</v>
      </c>
      <c r="N434" s="3">
        <v>1282497.6000000001</v>
      </c>
      <c r="O434" s="5">
        <v>0</v>
      </c>
      <c r="P434" s="5">
        <v>0</v>
      </c>
      <c r="Q434" s="5">
        <v>0</v>
      </c>
      <c r="R434" s="3">
        <f t="shared" si="127"/>
        <v>0</v>
      </c>
      <c r="S434" s="5">
        <v>0</v>
      </c>
      <c r="T434" s="5">
        <v>0</v>
      </c>
      <c r="U434" s="5">
        <v>0</v>
      </c>
      <c r="V434" s="6">
        <f t="shared" si="128"/>
        <v>4580.3485714285716</v>
      </c>
    </row>
    <row r="435" spans="1:22" ht="25.15" customHeight="1" x14ac:dyDescent="0.25">
      <c r="A435" s="53" t="s">
        <v>1348</v>
      </c>
      <c r="B435" s="8" t="s">
        <v>569</v>
      </c>
      <c r="C435" s="2">
        <f t="shared" si="113"/>
        <v>1317994.8</v>
      </c>
      <c r="D435" s="3">
        <f t="shared" si="126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1">
        <v>0</v>
      </c>
      <c r="L435" s="5">
        <v>0</v>
      </c>
      <c r="M435" s="5">
        <v>256.68</v>
      </c>
      <c r="N435" s="3">
        <v>1317994.8</v>
      </c>
      <c r="O435" s="5">
        <v>0</v>
      </c>
      <c r="P435" s="5">
        <v>0</v>
      </c>
      <c r="Q435" s="5">
        <v>0</v>
      </c>
      <c r="R435" s="3">
        <f t="shared" si="127"/>
        <v>0</v>
      </c>
      <c r="S435" s="5">
        <v>0</v>
      </c>
      <c r="T435" s="5">
        <v>0</v>
      </c>
      <c r="U435" s="5">
        <v>0</v>
      </c>
      <c r="V435" s="6">
        <f t="shared" si="128"/>
        <v>5134.7779336138383</v>
      </c>
    </row>
    <row r="436" spans="1:22" ht="25.15" customHeight="1" x14ac:dyDescent="0.25">
      <c r="A436" s="53" t="s">
        <v>1349</v>
      </c>
      <c r="B436" s="23" t="s">
        <v>570</v>
      </c>
      <c r="C436" s="2">
        <f t="shared" si="113"/>
        <v>3585977.4</v>
      </c>
      <c r="D436" s="3">
        <f t="shared" si="126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1">
        <v>0</v>
      </c>
      <c r="L436" s="5">
        <v>0</v>
      </c>
      <c r="M436" s="5">
        <v>652</v>
      </c>
      <c r="N436" s="3">
        <v>3585977.4</v>
      </c>
      <c r="O436" s="5">
        <v>0</v>
      </c>
      <c r="P436" s="5">
        <v>0</v>
      </c>
      <c r="Q436" s="5">
        <v>0</v>
      </c>
      <c r="R436" s="3">
        <f t="shared" si="127"/>
        <v>0</v>
      </c>
      <c r="S436" s="5">
        <v>0</v>
      </c>
      <c r="T436" s="5">
        <v>0</v>
      </c>
      <c r="U436" s="5">
        <v>0</v>
      </c>
      <c r="V436" s="6">
        <f t="shared" si="128"/>
        <v>5499.965337423313</v>
      </c>
    </row>
    <row r="437" spans="1:22" ht="25.15" customHeight="1" x14ac:dyDescent="0.25">
      <c r="A437" s="53" t="s">
        <v>1350</v>
      </c>
      <c r="B437" s="23" t="s">
        <v>467</v>
      </c>
      <c r="C437" s="2">
        <f t="shared" si="113"/>
        <v>8464887.0999999996</v>
      </c>
      <c r="D437" s="3">
        <f t="shared" si="126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5">
        <v>0</v>
      </c>
      <c r="U437" s="3">
        <v>121243.9</v>
      </c>
      <c r="V437" s="6">
        <f t="shared" si="128"/>
        <v>5500</v>
      </c>
    </row>
    <row r="438" spans="1:22" ht="25.15" customHeight="1" x14ac:dyDescent="0.25">
      <c r="A438" s="53" t="s">
        <v>1351</v>
      </c>
      <c r="B438" s="8" t="s">
        <v>571</v>
      </c>
      <c r="C438" s="2">
        <f t="shared" si="113"/>
        <v>97491</v>
      </c>
      <c r="D438" s="3">
        <f t="shared" si="126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1">
        <v>0</v>
      </c>
      <c r="L438" s="5">
        <v>0</v>
      </c>
      <c r="M438" s="5">
        <v>0</v>
      </c>
      <c r="N438" s="3">
        <f>M438*5500</f>
        <v>0</v>
      </c>
      <c r="O438" s="5">
        <v>0</v>
      </c>
      <c r="P438" s="5">
        <v>0</v>
      </c>
      <c r="Q438" s="5">
        <v>0</v>
      </c>
      <c r="R438" s="3">
        <f t="shared" si="127"/>
        <v>0</v>
      </c>
      <c r="S438" s="5">
        <v>0</v>
      </c>
      <c r="T438" s="5">
        <v>0</v>
      </c>
      <c r="U438" s="5">
        <v>97491</v>
      </c>
      <c r="V438" s="6" t="e">
        <f t="shared" si="128"/>
        <v>#DIV/0!</v>
      </c>
    </row>
    <row r="439" spans="1:22" ht="25.15" customHeight="1" x14ac:dyDescent="0.25">
      <c r="A439" s="53" t="s">
        <v>1352</v>
      </c>
      <c r="B439" s="8" t="s">
        <v>390</v>
      </c>
      <c r="C439" s="2">
        <f>D439+L439+N439+P439+R439+S439+T439+U439</f>
        <v>147224.68</v>
      </c>
      <c r="D439" s="3">
        <f>SUM(E439:J439)</f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6" t="e">
        <f>N439/M439</f>
        <v>#DIV/0!</v>
      </c>
    </row>
    <row r="440" spans="1:22" ht="25.15" customHeight="1" x14ac:dyDescent="0.25">
      <c r="A440" s="53" t="s">
        <v>1353</v>
      </c>
      <c r="B440" s="8" t="s">
        <v>573</v>
      </c>
      <c r="C440" s="2">
        <f t="shared" si="113"/>
        <v>2858751.7</v>
      </c>
      <c r="D440" s="3">
        <f t="shared" si="126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1">
        <v>0</v>
      </c>
      <c r="L440" s="5">
        <v>0</v>
      </c>
      <c r="M440" s="5">
        <v>541.66999999999996</v>
      </c>
      <c r="N440" s="3">
        <v>2858751.7</v>
      </c>
      <c r="O440" s="5">
        <v>0</v>
      </c>
      <c r="P440" s="5">
        <v>0</v>
      </c>
      <c r="Q440" s="5">
        <v>0</v>
      </c>
      <c r="R440" s="3">
        <f t="shared" si="127"/>
        <v>0</v>
      </c>
      <c r="S440" s="5">
        <v>0</v>
      </c>
      <c r="T440" s="5">
        <v>0</v>
      </c>
      <c r="U440" s="5">
        <v>0</v>
      </c>
      <c r="V440" s="6">
        <f t="shared" si="128"/>
        <v>5277.662968227889</v>
      </c>
    </row>
    <row r="441" spans="1:22" ht="24.6" customHeight="1" x14ac:dyDescent="0.25">
      <c r="A441" s="53" t="s">
        <v>1354</v>
      </c>
      <c r="B441" s="8" t="s">
        <v>844</v>
      </c>
      <c r="C441" s="2">
        <f t="shared" si="113"/>
        <v>2076800</v>
      </c>
      <c r="D441" s="3">
        <f t="shared" si="126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1">
        <v>0</v>
      </c>
      <c r="L441" s="5">
        <v>0</v>
      </c>
      <c r="M441" s="5">
        <v>377.6</v>
      </c>
      <c r="N441" s="3">
        <v>2076800</v>
      </c>
      <c r="O441" s="5">
        <v>0</v>
      </c>
      <c r="P441" s="5">
        <v>0</v>
      </c>
      <c r="Q441" s="5">
        <v>0</v>
      </c>
      <c r="R441" s="3">
        <f t="shared" si="127"/>
        <v>0</v>
      </c>
      <c r="S441" s="5">
        <v>0</v>
      </c>
      <c r="T441" s="5">
        <v>0</v>
      </c>
      <c r="U441" s="5">
        <v>0</v>
      </c>
      <c r="V441" s="6">
        <f t="shared" si="128"/>
        <v>5500</v>
      </c>
    </row>
    <row r="442" spans="1:22" ht="25.15" customHeight="1" x14ac:dyDescent="0.25">
      <c r="A442" s="53" t="s">
        <v>1355</v>
      </c>
      <c r="B442" s="8" t="s">
        <v>499</v>
      </c>
      <c r="C442" s="2">
        <f t="shared" si="113"/>
        <v>2241720</v>
      </c>
      <c r="D442" s="3">
        <f t="shared" si="126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1">
        <v>0</v>
      </c>
      <c r="L442" s="5">
        <v>0</v>
      </c>
      <c r="M442" s="5">
        <v>268.04000000000002</v>
      </c>
      <c r="N442" s="3">
        <v>1284262.8</v>
      </c>
      <c r="O442" s="5">
        <v>0</v>
      </c>
      <c r="P442" s="5">
        <v>0</v>
      </c>
      <c r="Q442" s="5">
        <v>372</v>
      </c>
      <c r="R442" s="3">
        <v>957457.2</v>
      </c>
      <c r="S442" s="5">
        <v>0</v>
      </c>
      <c r="T442" s="5">
        <v>0</v>
      </c>
      <c r="U442" s="5">
        <v>0</v>
      </c>
      <c r="V442" s="6">
        <f t="shared" si="128"/>
        <v>4791.3102522011641</v>
      </c>
    </row>
    <row r="443" spans="1:22" ht="25.15" customHeight="1" x14ac:dyDescent="0.25">
      <c r="A443" s="53" t="s">
        <v>1356</v>
      </c>
      <c r="B443" s="8" t="s">
        <v>574</v>
      </c>
      <c r="C443" s="2">
        <f t="shared" si="113"/>
        <v>2452435.0299999998</v>
      </c>
      <c r="D443" s="3">
        <f t="shared" si="126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1">
        <v>0</v>
      </c>
      <c r="L443" s="5">
        <v>0</v>
      </c>
      <c r="M443" s="5">
        <v>490</v>
      </c>
      <c r="N443" s="3">
        <v>2452435.0299999998</v>
      </c>
      <c r="O443" s="5">
        <v>0</v>
      </c>
      <c r="P443" s="5">
        <v>0</v>
      </c>
      <c r="Q443" s="5">
        <v>0</v>
      </c>
      <c r="R443" s="3">
        <f t="shared" si="127"/>
        <v>0</v>
      </c>
      <c r="S443" s="5">
        <v>0</v>
      </c>
      <c r="T443" s="5">
        <v>0</v>
      </c>
      <c r="U443" s="5">
        <v>0</v>
      </c>
      <c r="V443" s="6">
        <f t="shared" si="128"/>
        <v>5004.9694489795911</v>
      </c>
    </row>
    <row r="444" spans="1:22" ht="25.15" customHeight="1" x14ac:dyDescent="0.25">
      <c r="A444" s="53" t="s">
        <v>1357</v>
      </c>
      <c r="B444" s="8" t="s">
        <v>668</v>
      </c>
      <c r="C444" s="2">
        <f t="shared" si="113"/>
        <v>1401070</v>
      </c>
      <c r="D444" s="3">
        <f t="shared" si="126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 t="shared" si="127"/>
        <v>0</v>
      </c>
      <c r="S444" s="3">
        <v>0</v>
      </c>
      <c r="T444" s="5">
        <v>0</v>
      </c>
      <c r="U444" s="3">
        <v>0</v>
      </c>
      <c r="V444" s="6">
        <f t="shared" si="128"/>
        <v>5500</v>
      </c>
    </row>
    <row r="445" spans="1:22" ht="25.15" customHeight="1" x14ac:dyDescent="0.25">
      <c r="A445" s="53" t="s">
        <v>1358</v>
      </c>
      <c r="B445" s="8" t="s">
        <v>500</v>
      </c>
      <c r="C445" s="2">
        <f t="shared" si="113"/>
        <v>1810631.11</v>
      </c>
      <c r="D445" s="3">
        <f t="shared" si="126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1">
        <v>0</v>
      </c>
      <c r="L445" s="5">
        <v>0</v>
      </c>
      <c r="M445" s="5">
        <v>335.38</v>
      </c>
      <c r="N445" s="3">
        <v>1810631.11</v>
      </c>
      <c r="O445" s="5">
        <v>0</v>
      </c>
      <c r="P445" s="5">
        <v>0</v>
      </c>
      <c r="Q445" s="5">
        <v>0</v>
      </c>
      <c r="R445" s="3">
        <f t="shared" si="127"/>
        <v>0</v>
      </c>
      <c r="S445" s="5">
        <v>0</v>
      </c>
      <c r="T445" s="5">
        <v>0</v>
      </c>
      <c r="U445" s="5">
        <v>0</v>
      </c>
      <c r="V445" s="6">
        <f t="shared" si="128"/>
        <v>5398.7450354821403</v>
      </c>
    </row>
    <row r="446" spans="1:22" ht="25.15" customHeight="1" x14ac:dyDescent="0.25">
      <c r="A446" s="53" t="s">
        <v>1359</v>
      </c>
      <c r="B446" s="8" t="s">
        <v>575</v>
      </c>
      <c r="C446" s="2">
        <f t="shared" si="113"/>
        <v>2900695.8</v>
      </c>
      <c r="D446" s="3">
        <f t="shared" si="126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1">
        <v>0</v>
      </c>
      <c r="L446" s="5">
        <v>0</v>
      </c>
      <c r="M446" s="5">
        <v>543.79999999999995</v>
      </c>
      <c r="N446" s="3">
        <v>2900695.8</v>
      </c>
      <c r="O446" s="5">
        <v>0</v>
      </c>
      <c r="P446" s="5">
        <v>0</v>
      </c>
      <c r="Q446" s="5">
        <v>0</v>
      </c>
      <c r="R446" s="3">
        <f t="shared" si="127"/>
        <v>0</v>
      </c>
      <c r="S446" s="5">
        <v>0</v>
      </c>
      <c r="T446" s="5">
        <v>0</v>
      </c>
      <c r="U446" s="5">
        <v>0</v>
      </c>
      <c r="V446" s="6">
        <f t="shared" si="128"/>
        <v>5334.1224714968739</v>
      </c>
    </row>
    <row r="447" spans="1:22" ht="25.9" customHeight="1" x14ac:dyDescent="0.25">
      <c r="A447" s="53" t="s">
        <v>1360</v>
      </c>
      <c r="B447" s="8" t="s">
        <v>452</v>
      </c>
      <c r="C447" s="2">
        <f t="shared" si="113"/>
        <v>1561054.7</v>
      </c>
      <c r="D447" s="3">
        <f>SUM(E447:J447)</f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6" t="e">
        <f t="shared" si="128"/>
        <v>#DIV/0!</v>
      </c>
    </row>
    <row r="448" spans="1:22" ht="25.15" customHeight="1" x14ac:dyDescent="0.25">
      <c r="A448" s="53" t="s">
        <v>1361</v>
      </c>
      <c r="B448" s="23" t="s">
        <v>839</v>
      </c>
      <c r="C448" s="2">
        <f t="shared" ref="C448:C514" si="129">D448+L448+N448+P448+R448+S448+T448+U448</f>
        <v>99392.8</v>
      </c>
      <c r="D448" s="3">
        <f t="shared" si="126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1">
        <v>0</v>
      </c>
      <c r="L448" s="5">
        <v>0</v>
      </c>
      <c r="M448" s="5">
        <v>0</v>
      </c>
      <c r="N448" s="3">
        <f t="shared" ref="N448:N452" si="130">M448*5500</f>
        <v>0</v>
      </c>
      <c r="O448" s="5">
        <v>0</v>
      </c>
      <c r="P448" s="5">
        <v>0</v>
      </c>
      <c r="Q448" s="5">
        <v>0</v>
      </c>
      <c r="R448" s="3">
        <f t="shared" si="127"/>
        <v>0</v>
      </c>
      <c r="S448" s="5">
        <v>0</v>
      </c>
      <c r="T448" s="5">
        <v>0</v>
      </c>
      <c r="U448" s="5">
        <v>99392.8</v>
      </c>
      <c r="V448" s="6" t="e">
        <f t="shared" si="128"/>
        <v>#DIV/0!</v>
      </c>
    </row>
    <row r="449" spans="1:22" ht="25.15" customHeight="1" x14ac:dyDescent="0.25">
      <c r="A449" s="53" t="s">
        <v>1362</v>
      </c>
      <c r="B449" s="23" t="s">
        <v>501</v>
      </c>
      <c r="C449" s="2">
        <f t="shared" si="129"/>
        <v>113030.15</v>
      </c>
      <c r="D449" s="3">
        <f t="shared" si="126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1">
        <v>0</v>
      </c>
      <c r="L449" s="5">
        <v>0</v>
      </c>
      <c r="M449" s="5">
        <v>0</v>
      </c>
      <c r="N449" s="3">
        <f t="shared" si="130"/>
        <v>0</v>
      </c>
      <c r="O449" s="5">
        <v>0</v>
      </c>
      <c r="P449" s="5">
        <v>0</v>
      </c>
      <c r="Q449" s="5">
        <v>0</v>
      </c>
      <c r="R449" s="3">
        <f t="shared" si="127"/>
        <v>0</v>
      </c>
      <c r="S449" s="5">
        <v>0</v>
      </c>
      <c r="T449" s="5">
        <v>0</v>
      </c>
      <c r="U449" s="5">
        <v>113030.15</v>
      </c>
      <c r="V449" s="6" t="e">
        <f t="shared" si="128"/>
        <v>#DIV/0!</v>
      </c>
    </row>
    <row r="450" spans="1:22" ht="34.9" customHeight="1" x14ac:dyDescent="0.25">
      <c r="A450" s="53" t="s">
        <v>1363</v>
      </c>
      <c r="B450" s="8" t="s">
        <v>907</v>
      </c>
      <c r="C450" s="2">
        <f t="shared" si="129"/>
        <v>4822702.8</v>
      </c>
      <c r="D450" s="3">
        <f t="shared" si="126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1">
        <v>0</v>
      </c>
      <c r="L450" s="5">
        <v>0</v>
      </c>
      <c r="M450" s="5">
        <v>896.31</v>
      </c>
      <c r="N450" s="3">
        <v>4822702.8</v>
      </c>
      <c r="O450" s="5">
        <v>0</v>
      </c>
      <c r="P450" s="5">
        <v>0</v>
      </c>
      <c r="Q450" s="5">
        <v>0</v>
      </c>
      <c r="R450" s="3">
        <f t="shared" si="127"/>
        <v>0</v>
      </c>
      <c r="S450" s="5">
        <v>0</v>
      </c>
      <c r="T450" s="5">
        <v>0</v>
      </c>
      <c r="U450" s="5">
        <v>0</v>
      </c>
      <c r="V450" s="6">
        <f t="shared" si="128"/>
        <v>5380.6192054088433</v>
      </c>
    </row>
    <row r="451" spans="1:22" ht="25.15" customHeight="1" x14ac:dyDescent="0.25">
      <c r="A451" s="53" t="s">
        <v>1364</v>
      </c>
      <c r="B451" s="8" t="s">
        <v>579</v>
      </c>
      <c r="C451" s="2">
        <f t="shared" si="129"/>
        <v>153829.49</v>
      </c>
      <c r="D451" s="3">
        <f t="shared" si="126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1">
        <v>0</v>
      </c>
      <c r="L451" s="5">
        <v>0</v>
      </c>
      <c r="M451" s="5">
        <v>0</v>
      </c>
      <c r="N451" s="3">
        <f t="shared" si="130"/>
        <v>0</v>
      </c>
      <c r="O451" s="5">
        <v>0</v>
      </c>
      <c r="P451" s="5">
        <v>0</v>
      </c>
      <c r="Q451" s="5">
        <v>0</v>
      </c>
      <c r="R451" s="3">
        <f t="shared" si="127"/>
        <v>0</v>
      </c>
      <c r="S451" s="5">
        <v>0</v>
      </c>
      <c r="T451" s="5">
        <v>0</v>
      </c>
      <c r="U451" s="5">
        <v>153829.49</v>
      </c>
      <c r="V451" s="6" t="e">
        <f t="shared" si="128"/>
        <v>#DIV/0!</v>
      </c>
    </row>
    <row r="452" spans="1:22" ht="25.15" customHeight="1" x14ac:dyDescent="0.25">
      <c r="A452" s="53" t="s">
        <v>1365</v>
      </c>
      <c r="B452" s="8" t="s">
        <v>502</v>
      </c>
      <c r="C452" s="2">
        <f t="shared" si="129"/>
        <v>93371.54</v>
      </c>
      <c r="D452" s="3">
        <f t="shared" si="126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1">
        <v>0</v>
      </c>
      <c r="L452" s="5">
        <v>0</v>
      </c>
      <c r="M452" s="5">
        <v>0</v>
      </c>
      <c r="N452" s="3">
        <f t="shared" si="130"/>
        <v>0</v>
      </c>
      <c r="O452" s="5">
        <v>0</v>
      </c>
      <c r="P452" s="5">
        <v>0</v>
      </c>
      <c r="Q452" s="5">
        <v>0</v>
      </c>
      <c r="R452" s="3">
        <f t="shared" si="127"/>
        <v>0</v>
      </c>
      <c r="S452" s="5">
        <v>0</v>
      </c>
      <c r="T452" s="5">
        <v>0</v>
      </c>
      <c r="U452" s="5">
        <v>93371.54</v>
      </c>
      <c r="V452" s="6" t="e">
        <f t="shared" si="128"/>
        <v>#DIV/0!</v>
      </c>
    </row>
    <row r="453" spans="1:22" ht="25.15" customHeight="1" x14ac:dyDescent="0.25">
      <c r="A453" s="53" t="s">
        <v>1366</v>
      </c>
      <c r="B453" s="8" t="s">
        <v>580</v>
      </c>
      <c r="C453" s="2">
        <f t="shared" si="129"/>
        <v>1350551</v>
      </c>
      <c r="D453" s="3">
        <f t="shared" si="126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1">
        <v>0</v>
      </c>
      <c r="L453" s="5">
        <v>0</v>
      </c>
      <c r="M453" s="5">
        <v>265.47000000000003</v>
      </c>
      <c r="N453" s="3">
        <v>1350551</v>
      </c>
      <c r="O453" s="5">
        <v>0</v>
      </c>
      <c r="P453" s="5">
        <v>0</v>
      </c>
      <c r="Q453" s="5">
        <v>0</v>
      </c>
      <c r="R453" s="3">
        <f t="shared" si="127"/>
        <v>0</v>
      </c>
      <c r="S453" s="5">
        <v>0</v>
      </c>
      <c r="T453" s="5">
        <v>0</v>
      </c>
      <c r="U453" s="5">
        <v>0</v>
      </c>
      <c r="V453" s="6">
        <f t="shared" si="128"/>
        <v>5087.3959392775068</v>
      </c>
    </row>
    <row r="454" spans="1:22" ht="25.15" customHeight="1" x14ac:dyDescent="0.25">
      <c r="A454" s="53" t="s">
        <v>1367</v>
      </c>
      <c r="B454" s="8" t="s">
        <v>581</v>
      </c>
      <c r="C454" s="2">
        <f t="shared" si="129"/>
        <v>1287471.4099999999</v>
      </c>
      <c r="D454" s="3">
        <f t="shared" si="126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1">
        <v>0</v>
      </c>
      <c r="L454" s="5">
        <v>0</v>
      </c>
      <c r="M454" s="5">
        <v>263.11</v>
      </c>
      <c r="N454" s="3">
        <v>1287471.4099999999</v>
      </c>
      <c r="O454" s="5">
        <v>0</v>
      </c>
      <c r="P454" s="5">
        <v>0</v>
      </c>
      <c r="Q454" s="5">
        <v>0</v>
      </c>
      <c r="R454" s="3">
        <f t="shared" si="127"/>
        <v>0</v>
      </c>
      <c r="S454" s="5">
        <v>0</v>
      </c>
      <c r="T454" s="5">
        <v>0</v>
      </c>
      <c r="U454" s="5">
        <v>0</v>
      </c>
      <c r="V454" s="6">
        <f t="shared" si="128"/>
        <v>4893.2819353122259</v>
      </c>
    </row>
    <row r="455" spans="1:22" ht="25.15" customHeight="1" x14ac:dyDescent="0.25">
      <c r="A455" s="53" t="s">
        <v>1368</v>
      </c>
      <c r="B455" s="8" t="s">
        <v>397</v>
      </c>
      <c r="C455" s="2">
        <f t="shared" ref="C455:C460" si="131">D455+L455+N455+P455+R455+S455+T455+U455</f>
        <v>551878.80000000005</v>
      </c>
      <c r="D455" s="3">
        <f t="shared" ref="D455:D460" si="132">SUM(E455:J455)</f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6" t="e">
        <f t="shared" ref="V455:V460" si="133">N455/M455</f>
        <v>#DIV/0!</v>
      </c>
    </row>
    <row r="456" spans="1:22" ht="25.15" customHeight="1" x14ac:dyDescent="0.25">
      <c r="A456" s="53" t="s">
        <v>1369</v>
      </c>
      <c r="B456" s="8" t="s">
        <v>432</v>
      </c>
      <c r="C456" s="2">
        <f t="shared" si="131"/>
        <v>1787112.0000000002</v>
      </c>
      <c r="D456" s="3">
        <f t="shared" si="132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6" t="e">
        <f t="shared" si="133"/>
        <v>#DIV/0!</v>
      </c>
    </row>
    <row r="457" spans="1:22" ht="25.15" customHeight="1" x14ac:dyDescent="0.25">
      <c r="A457" s="53" t="s">
        <v>1370</v>
      </c>
      <c r="B457" s="8" t="s">
        <v>424</v>
      </c>
      <c r="C457" s="2">
        <f t="shared" si="131"/>
        <v>2369787.6</v>
      </c>
      <c r="D457" s="3">
        <f t="shared" si="132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6" t="e">
        <f t="shared" si="133"/>
        <v>#DIV/0!</v>
      </c>
    </row>
    <row r="458" spans="1:22" ht="25.15" customHeight="1" x14ac:dyDescent="0.25">
      <c r="A458" s="53" t="s">
        <v>1371</v>
      </c>
      <c r="B458" s="8" t="s">
        <v>425</v>
      </c>
      <c r="C458" s="2">
        <f t="shared" si="131"/>
        <v>3397738.8</v>
      </c>
      <c r="D458" s="3">
        <f t="shared" si="132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6" t="e">
        <f t="shared" si="133"/>
        <v>#DIV/0!</v>
      </c>
    </row>
    <row r="459" spans="1:22" ht="25.15" customHeight="1" x14ac:dyDescent="0.25">
      <c r="A459" s="53" t="s">
        <v>1372</v>
      </c>
      <c r="B459" s="8" t="s">
        <v>431</v>
      </c>
      <c r="C459" s="2">
        <f t="shared" si="131"/>
        <v>1555717.2</v>
      </c>
      <c r="D459" s="3">
        <f t="shared" si="132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6" t="e">
        <f t="shared" si="133"/>
        <v>#DIV/0!</v>
      </c>
    </row>
    <row r="460" spans="1:22" ht="25.15" customHeight="1" x14ac:dyDescent="0.25">
      <c r="A460" s="53" t="s">
        <v>1373</v>
      </c>
      <c r="B460" s="8" t="s">
        <v>407</v>
      </c>
      <c r="C460" s="2">
        <f t="shared" si="131"/>
        <v>871668.83</v>
      </c>
      <c r="D460" s="3">
        <f t="shared" si="132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934" si="134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6" t="e">
        <f t="shared" si="133"/>
        <v>#DIV/0!</v>
      </c>
    </row>
    <row r="461" spans="1:22" ht="25.15" customHeight="1" x14ac:dyDescent="0.25">
      <c r="A461" s="53" t="s">
        <v>1374</v>
      </c>
      <c r="B461" s="8" t="s">
        <v>433</v>
      </c>
      <c r="C461" s="2">
        <f>D461+L461+N461+P461+R461+S461+T461+U461</f>
        <v>6051501.2000000011</v>
      </c>
      <c r="D461" s="3">
        <f>SUM(E461:J461)</f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34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6" t="e">
        <f>N461/M461</f>
        <v>#DIV/0!</v>
      </c>
    </row>
    <row r="462" spans="1:22" ht="25.15" customHeight="1" x14ac:dyDescent="0.25">
      <c r="A462" s="53" t="s">
        <v>1375</v>
      </c>
      <c r="B462" s="8" t="s">
        <v>391</v>
      </c>
      <c r="C462" s="2">
        <f>D462+L462+N462+P462+R462+S462+T462+U462</f>
        <v>5941296</v>
      </c>
      <c r="D462" s="3">
        <f>SUM(E462:J462)</f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34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 t="e">
        <f>N462/M462</f>
        <v>#DIV/0!</v>
      </c>
    </row>
    <row r="463" spans="1:22" ht="25.15" customHeight="1" x14ac:dyDescent="0.25">
      <c r="A463" s="53" t="s">
        <v>1376</v>
      </c>
      <c r="B463" s="8" t="s">
        <v>392</v>
      </c>
      <c r="C463" s="2">
        <f t="shared" si="129"/>
        <v>1241695.8500000001</v>
      </c>
      <c r="D463" s="3">
        <f t="shared" si="126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34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6" t="e">
        <f t="shared" si="128"/>
        <v>#DIV/0!</v>
      </c>
    </row>
    <row r="464" spans="1:22" ht="25.15" customHeight="1" x14ac:dyDescent="0.25">
      <c r="A464" s="53" t="s">
        <v>1377</v>
      </c>
      <c r="B464" s="8" t="s">
        <v>374</v>
      </c>
      <c r="C464" s="2">
        <f>D464+L464+N464+P464+R464+S464+T464+U464</f>
        <v>1126559.3999999999</v>
      </c>
      <c r="D464" s="3">
        <f>SUM(E464:J464)</f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34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6" t="e">
        <f>N464/M464</f>
        <v>#DIV/0!</v>
      </c>
    </row>
    <row r="465" spans="1:22" ht="25.15" customHeight="1" x14ac:dyDescent="0.25">
      <c r="A465" s="53" t="s">
        <v>1378</v>
      </c>
      <c r="B465" s="8" t="s">
        <v>375</v>
      </c>
      <c r="C465" s="2">
        <f>D465+L465+N465+P465+R465+S465+T465+U465</f>
        <v>1308191.5999999999</v>
      </c>
      <c r="D465" s="3">
        <f>SUM(E465:J465)</f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34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6" t="e">
        <f>N465/M465</f>
        <v>#DIV/0!</v>
      </c>
    </row>
    <row r="466" spans="1:22" ht="25.15" customHeight="1" x14ac:dyDescent="0.25">
      <c r="A466" s="53" t="s">
        <v>1379</v>
      </c>
      <c r="B466" s="23" t="s">
        <v>434</v>
      </c>
      <c r="C466" s="2">
        <f>D466+L466+N466+P466+R466+S466+T466+U466</f>
        <v>14095576.799999997</v>
      </c>
      <c r="D466" s="3">
        <f>SUM(E466:J466)</f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34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6" t="e">
        <f>N466/M466</f>
        <v>#DIV/0!</v>
      </c>
    </row>
    <row r="467" spans="1:22" ht="25.15" customHeight="1" x14ac:dyDescent="0.25">
      <c r="A467" s="53" t="s">
        <v>1380</v>
      </c>
      <c r="B467" s="8" t="s">
        <v>406</v>
      </c>
      <c r="C467" s="2">
        <f>D467+L467+N467+P467+R467+S467+T467+U467</f>
        <v>3426128</v>
      </c>
      <c r="D467" s="3">
        <f>SUM(E467:J467)</f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34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6" t="e">
        <f>N467/M467</f>
        <v>#DIV/0!</v>
      </c>
    </row>
    <row r="468" spans="1:22" ht="25.15" customHeight="1" x14ac:dyDescent="0.25">
      <c r="A468" s="53" t="s">
        <v>1381</v>
      </c>
      <c r="B468" s="8" t="s">
        <v>582</v>
      </c>
      <c r="C468" s="2">
        <f t="shared" si="129"/>
        <v>148301.57</v>
      </c>
      <c r="D468" s="3">
        <f t="shared" si="126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1">
        <v>0</v>
      </c>
      <c r="L468" s="5">
        <v>0</v>
      </c>
      <c r="M468" s="5">
        <v>0</v>
      </c>
      <c r="N468" s="3">
        <f>M468*5500</f>
        <v>0</v>
      </c>
      <c r="O468" s="5">
        <v>0</v>
      </c>
      <c r="P468" s="5">
        <v>0</v>
      </c>
      <c r="Q468" s="5">
        <v>0</v>
      </c>
      <c r="R468" s="3">
        <f t="shared" si="127"/>
        <v>0</v>
      </c>
      <c r="S468" s="5">
        <v>0</v>
      </c>
      <c r="T468" s="5">
        <v>0</v>
      </c>
      <c r="U468" s="5">
        <v>148301.57</v>
      </c>
      <c r="V468" s="6" t="e">
        <f t="shared" si="128"/>
        <v>#DIV/0!</v>
      </c>
    </row>
    <row r="469" spans="1:22" ht="25.15" customHeight="1" x14ac:dyDescent="0.25">
      <c r="A469" s="53" t="s">
        <v>1382</v>
      </c>
      <c r="B469" s="8" t="s">
        <v>583</v>
      </c>
      <c r="C469" s="2">
        <f t="shared" si="129"/>
        <v>1367362</v>
      </c>
      <c r="D469" s="3">
        <f t="shared" si="126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5">
        <v>0</v>
      </c>
      <c r="M469" s="5">
        <v>248.7</v>
      </c>
      <c r="N469" s="3">
        <v>1367362</v>
      </c>
      <c r="O469" s="5">
        <v>0</v>
      </c>
      <c r="P469" s="5">
        <v>0</v>
      </c>
      <c r="Q469" s="5">
        <v>0</v>
      </c>
      <c r="R469" s="3">
        <f t="shared" si="127"/>
        <v>0</v>
      </c>
      <c r="S469" s="5">
        <v>0</v>
      </c>
      <c r="T469" s="5">
        <v>0</v>
      </c>
      <c r="U469" s="5">
        <v>0</v>
      </c>
      <c r="V469" s="6">
        <f t="shared" si="128"/>
        <v>5498.0377965420184</v>
      </c>
    </row>
    <row r="470" spans="1:22" ht="25.15" customHeight="1" x14ac:dyDescent="0.25">
      <c r="A470" s="53" t="s">
        <v>1383</v>
      </c>
      <c r="B470" s="23" t="s">
        <v>512</v>
      </c>
      <c r="C470" s="2">
        <f>D470+L470+N470+P470+R470+S470+T470+U470</f>
        <v>4109430.8</v>
      </c>
      <c r="D470" s="3">
        <f>SUM(E470:J470)</f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1">
        <v>0</v>
      </c>
      <c r="L470" s="5">
        <v>0</v>
      </c>
      <c r="M470" s="5">
        <v>748.9</v>
      </c>
      <c r="N470" s="3">
        <v>4109430.8</v>
      </c>
      <c r="O470" s="5">
        <v>0</v>
      </c>
      <c r="P470" s="5">
        <v>0</v>
      </c>
      <c r="Q470" s="5">
        <v>0</v>
      </c>
      <c r="R470" s="3">
        <f>Q470*3000</f>
        <v>0</v>
      </c>
      <c r="S470" s="5">
        <v>0</v>
      </c>
      <c r="T470" s="5">
        <v>0</v>
      </c>
      <c r="U470" s="5">
        <v>0</v>
      </c>
      <c r="V470" s="6">
        <f>N470/M470</f>
        <v>5487.2890906663106</v>
      </c>
    </row>
    <row r="471" spans="1:22" ht="25.15" customHeight="1" x14ac:dyDescent="0.25">
      <c r="A471" s="53" t="s">
        <v>1384</v>
      </c>
      <c r="B471" s="23" t="s">
        <v>503</v>
      </c>
      <c r="C471" s="2">
        <f t="shared" si="129"/>
        <v>2316872.7200000002</v>
      </c>
      <c r="D471" s="3">
        <f t="shared" si="126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1">
        <v>0</v>
      </c>
      <c r="L471" s="5">
        <v>0</v>
      </c>
      <c r="M471" s="5">
        <v>421.78</v>
      </c>
      <c r="N471" s="3">
        <v>2316872.7200000002</v>
      </c>
      <c r="O471" s="5">
        <v>0</v>
      </c>
      <c r="P471" s="5">
        <v>0</v>
      </c>
      <c r="Q471" s="5">
        <v>0</v>
      </c>
      <c r="R471" s="3">
        <f t="shared" si="127"/>
        <v>0</v>
      </c>
      <c r="S471" s="5">
        <v>0</v>
      </c>
      <c r="T471" s="5">
        <v>0</v>
      </c>
      <c r="U471" s="5">
        <v>0</v>
      </c>
      <c r="V471" s="6">
        <f t="shared" si="128"/>
        <v>5493.0834084119688</v>
      </c>
    </row>
    <row r="472" spans="1:22" ht="25.15" customHeight="1" x14ac:dyDescent="0.25">
      <c r="A472" s="53" t="s">
        <v>1385</v>
      </c>
      <c r="B472" s="23" t="s">
        <v>504</v>
      </c>
      <c r="C472" s="2">
        <f t="shared" si="129"/>
        <v>2329466.75</v>
      </c>
      <c r="D472" s="3">
        <f t="shared" si="126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1">
        <v>0</v>
      </c>
      <c r="L472" s="5">
        <v>0</v>
      </c>
      <c r="M472" s="5">
        <v>430</v>
      </c>
      <c r="N472" s="3">
        <v>2329466.75</v>
      </c>
      <c r="O472" s="5">
        <v>0</v>
      </c>
      <c r="P472" s="5">
        <v>0</v>
      </c>
      <c r="Q472" s="5">
        <v>0</v>
      </c>
      <c r="R472" s="3">
        <f t="shared" si="127"/>
        <v>0</v>
      </c>
      <c r="S472" s="5">
        <v>0</v>
      </c>
      <c r="T472" s="5">
        <v>0</v>
      </c>
      <c r="U472" s="5">
        <v>0</v>
      </c>
      <c r="V472" s="6">
        <f t="shared" si="128"/>
        <v>5417.3645348837208</v>
      </c>
    </row>
    <row r="473" spans="1:22" ht="25.15" customHeight="1" x14ac:dyDescent="0.25">
      <c r="A473" s="53" t="s">
        <v>1386</v>
      </c>
      <c r="B473" s="23" t="s">
        <v>505</v>
      </c>
      <c r="C473" s="2">
        <f t="shared" si="129"/>
        <v>2328121.02</v>
      </c>
      <c r="D473" s="3">
        <f t="shared" si="126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5">
        <v>0</v>
      </c>
      <c r="M473" s="5">
        <v>430</v>
      </c>
      <c r="N473" s="3">
        <v>2328121.02</v>
      </c>
      <c r="O473" s="5">
        <v>0</v>
      </c>
      <c r="P473" s="5">
        <v>0</v>
      </c>
      <c r="Q473" s="5">
        <v>0</v>
      </c>
      <c r="R473" s="3">
        <f t="shared" si="127"/>
        <v>0</v>
      </c>
      <c r="S473" s="5">
        <v>0</v>
      </c>
      <c r="T473" s="5">
        <v>0</v>
      </c>
      <c r="U473" s="5">
        <v>0</v>
      </c>
      <c r="V473" s="6">
        <f t="shared" si="128"/>
        <v>5414.2349302325583</v>
      </c>
    </row>
    <row r="474" spans="1:22" ht="25.15" customHeight="1" x14ac:dyDescent="0.25">
      <c r="A474" s="53" t="s">
        <v>1387</v>
      </c>
      <c r="B474" s="23" t="s">
        <v>506</v>
      </c>
      <c r="C474" s="2">
        <f t="shared" si="129"/>
        <v>2332911.84</v>
      </c>
      <c r="D474" s="3">
        <f t="shared" si="126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430</v>
      </c>
      <c r="N474" s="3">
        <v>2332911.84</v>
      </c>
      <c r="O474" s="5">
        <v>0</v>
      </c>
      <c r="P474" s="5">
        <v>0</v>
      </c>
      <c r="Q474" s="5">
        <v>0</v>
      </c>
      <c r="R474" s="3">
        <f t="shared" si="127"/>
        <v>0</v>
      </c>
      <c r="S474" s="5">
        <v>0</v>
      </c>
      <c r="T474" s="5">
        <v>0</v>
      </c>
      <c r="U474" s="5">
        <v>0</v>
      </c>
      <c r="V474" s="6">
        <f t="shared" si="128"/>
        <v>5425.3763720930228</v>
      </c>
    </row>
    <row r="475" spans="1:22" ht="25.15" customHeight="1" x14ac:dyDescent="0.25">
      <c r="A475" s="53" t="s">
        <v>1388</v>
      </c>
      <c r="B475" s="23" t="s">
        <v>507</v>
      </c>
      <c r="C475" s="2">
        <f t="shared" si="129"/>
        <v>2356200</v>
      </c>
      <c r="D475" s="3">
        <f t="shared" si="126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5">
        <v>0</v>
      </c>
      <c r="M475" s="5">
        <v>428.4</v>
      </c>
      <c r="N475" s="3">
        <v>2356200</v>
      </c>
      <c r="O475" s="5">
        <v>0</v>
      </c>
      <c r="P475" s="5">
        <v>0</v>
      </c>
      <c r="Q475" s="5">
        <v>0</v>
      </c>
      <c r="R475" s="3">
        <f t="shared" si="127"/>
        <v>0</v>
      </c>
      <c r="S475" s="5">
        <v>0</v>
      </c>
      <c r="T475" s="5">
        <v>0</v>
      </c>
      <c r="U475" s="5">
        <v>0</v>
      </c>
      <c r="V475" s="6">
        <f t="shared" si="128"/>
        <v>5500</v>
      </c>
    </row>
    <row r="476" spans="1:22" ht="25.15" customHeight="1" x14ac:dyDescent="0.25">
      <c r="A476" s="53" t="s">
        <v>1389</v>
      </c>
      <c r="B476" s="23" t="s">
        <v>508</v>
      </c>
      <c r="C476" s="2">
        <f t="shared" si="129"/>
        <v>2351133.44</v>
      </c>
      <c r="D476" s="3">
        <f t="shared" si="126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1">
        <v>0</v>
      </c>
      <c r="L476" s="5">
        <v>0</v>
      </c>
      <c r="M476" s="5">
        <v>441.38</v>
      </c>
      <c r="N476" s="3">
        <v>2351133.44</v>
      </c>
      <c r="O476" s="5">
        <v>0</v>
      </c>
      <c r="P476" s="5">
        <v>0</v>
      </c>
      <c r="Q476" s="5">
        <v>0</v>
      </c>
      <c r="R476" s="3">
        <f t="shared" si="127"/>
        <v>0</v>
      </c>
      <c r="S476" s="5">
        <v>0</v>
      </c>
      <c r="T476" s="5">
        <v>0</v>
      </c>
      <c r="U476" s="5">
        <v>0</v>
      </c>
      <c r="V476" s="6">
        <f t="shared" si="128"/>
        <v>5326.7783769087864</v>
      </c>
    </row>
    <row r="477" spans="1:22" ht="25.15" customHeight="1" x14ac:dyDescent="0.25">
      <c r="A477" s="53" t="s">
        <v>1390</v>
      </c>
      <c r="B477" s="23" t="s">
        <v>509</v>
      </c>
      <c r="C477" s="2">
        <f t="shared" si="129"/>
        <v>2360600</v>
      </c>
      <c r="D477" s="3">
        <f t="shared" si="126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5">
        <v>0</v>
      </c>
      <c r="M477" s="5">
        <v>429.2</v>
      </c>
      <c r="N477" s="3">
        <v>2360600</v>
      </c>
      <c r="O477" s="5">
        <v>0</v>
      </c>
      <c r="P477" s="5">
        <v>0</v>
      </c>
      <c r="Q477" s="5">
        <v>0</v>
      </c>
      <c r="R477" s="3">
        <f t="shared" si="127"/>
        <v>0</v>
      </c>
      <c r="S477" s="5">
        <v>0</v>
      </c>
      <c r="T477" s="5">
        <v>0</v>
      </c>
      <c r="U477" s="5">
        <v>0</v>
      </c>
      <c r="V477" s="6">
        <f t="shared" si="128"/>
        <v>5500</v>
      </c>
    </row>
    <row r="478" spans="1:22" ht="25.15" customHeight="1" x14ac:dyDescent="0.25">
      <c r="A478" s="53" t="s">
        <v>1391</v>
      </c>
      <c r="B478" s="23" t="s">
        <v>510</v>
      </c>
      <c r="C478" s="2">
        <f t="shared" si="129"/>
        <v>2332495</v>
      </c>
      <c r="D478" s="3">
        <f t="shared" si="126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1">
        <v>0</v>
      </c>
      <c r="L478" s="5">
        <v>0</v>
      </c>
      <c r="M478" s="5">
        <v>429.09</v>
      </c>
      <c r="N478" s="3">
        <v>2332495</v>
      </c>
      <c r="O478" s="5">
        <v>0</v>
      </c>
      <c r="P478" s="5">
        <v>0</v>
      </c>
      <c r="Q478" s="5">
        <v>0</v>
      </c>
      <c r="R478" s="3">
        <f t="shared" si="127"/>
        <v>0</v>
      </c>
      <c r="S478" s="5">
        <v>0</v>
      </c>
      <c r="T478" s="5">
        <v>0</v>
      </c>
      <c r="U478" s="5">
        <v>0</v>
      </c>
      <c r="V478" s="6">
        <f t="shared" si="128"/>
        <v>5435.9108811671213</v>
      </c>
    </row>
    <row r="479" spans="1:22" ht="25.15" customHeight="1" x14ac:dyDescent="0.25">
      <c r="A479" s="53" t="s">
        <v>1392</v>
      </c>
      <c r="B479" s="23" t="s">
        <v>511</v>
      </c>
      <c r="C479" s="2">
        <f t="shared" si="129"/>
        <v>2381412.71</v>
      </c>
      <c r="D479" s="3">
        <f t="shared" si="126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5">
        <v>0</v>
      </c>
      <c r="M479" s="5">
        <v>443.97</v>
      </c>
      <c r="N479" s="3">
        <v>2381412.71</v>
      </c>
      <c r="O479" s="5">
        <v>0</v>
      </c>
      <c r="P479" s="5">
        <v>0</v>
      </c>
      <c r="Q479" s="5">
        <v>0</v>
      </c>
      <c r="R479" s="3">
        <f t="shared" si="127"/>
        <v>0</v>
      </c>
      <c r="S479" s="5">
        <v>0</v>
      </c>
      <c r="T479" s="5">
        <v>0</v>
      </c>
      <c r="U479" s="5">
        <v>0</v>
      </c>
      <c r="V479" s="6">
        <f t="shared" si="128"/>
        <v>5363.9045656238031</v>
      </c>
    </row>
    <row r="480" spans="1:22" ht="25.15" customHeight="1" x14ac:dyDescent="0.25">
      <c r="A480" s="53" t="s">
        <v>1393</v>
      </c>
      <c r="B480" s="23" t="s">
        <v>584</v>
      </c>
      <c r="C480" s="2">
        <f t="shared" si="129"/>
        <v>2360865.0499999998</v>
      </c>
      <c r="D480" s="3">
        <f t="shared" si="126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1">
        <v>0</v>
      </c>
      <c r="L480" s="5">
        <v>0</v>
      </c>
      <c r="M480" s="5">
        <v>432.81</v>
      </c>
      <c r="N480" s="3">
        <v>2360865.0499999998</v>
      </c>
      <c r="O480" s="5">
        <v>0</v>
      </c>
      <c r="P480" s="5">
        <v>0</v>
      </c>
      <c r="Q480" s="5">
        <v>0</v>
      </c>
      <c r="R480" s="3">
        <f t="shared" si="127"/>
        <v>0</v>
      </c>
      <c r="S480" s="5">
        <v>0</v>
      </c>
      <c r="T480" s="5">
        <v>0</v>
      </c>
      <c r="U480" s="5">
        <v>0</v>
      </c>
      <c r="V480" s="6">
        <f t="shared" si="128"/>
        <v>5454.7377602181095</v>
      </c>
    </row>
    <row r="481" spans="1:22" ht="25.15" customHeight="1" x14ac:dyDescent="0.25">
      <c r="A481" s="53" t="s">
        <v>1394</v>
      </c>
      <c r="B481" s="23" t="s">
        <v>585</v>
      </c>
      <c r="C481" s="2">
        <f t="shared" si="129"/>
        <v>2342175</v>
      </c>
      <c r="D481" s="3">
        <f t="shared" si="126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1">
        <v>0</v>
      </c>
      <c r="L481" s="5">
        <v>0</v>
      </c>
      <c r="M481" s="5">
        <v>425.85</v>
      </c>
      <c r="N481" s="3">
        <v>2342175</v>
      </c>
      <c r="O481" s="5">
        <v>0</v>
      </c>
      <c r="P481" s="5">
        <v>0</v>
      </c>
      <c r="Q481" s="5">
        <v>0</v>
      </c>
      <c r="R481" s="3">
        <f t="shared" ref="R481:R537" si="135">Q481*3000</f>
        <v>0</v>
      </c>
      <c r="S481" s="5">
        <v>0</v>
      </c>
      <c r="T481" s="5">
        <v>0</v>
      </c>
      <c r="U481" s="5">
        <v>0</v>
      </c>
      <c r="V481" s="6">
        <f t="shared" ref="V481:V537" si="136">N481/M481</f>
        <v>5500</v>
      </c>
    </row>
    <row r="482" spans="1:22" ht="25.15" customHeight="1" x14ac:dyDescent="0.25">
      <c r="A482" s="53" t="s">
        <v>1395</v>
      </c>
      <c r="B482" s="23" t="s">
        <v>586</v>
      </c>
      <c r="C482" s="2">
        <f t="shared" si="129"/>
        <v>2286681.85</v>
      </c>
      <c r="D482" s="3">
        <f t="shared" ref="D482:D537" si="137">SUM(E482:J482)</f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5">
        <v>0</v>
      </c>
      <c r="M482" s="5">
        <v>415.84</v>
      </c>
      <c r="N482" s="3">
        <v>2286681.85</v>
      </c>
      <c r="O482" s="5">
        <v>0</v>
      </c>
      <c r="P482" s="5">
        <v>0</v>
      </c>
      <c r="Q482" s="5">
        <v>0</v>
      </c>
      <c r="R482" s="3">
        <f t="shared" si="135"/>
        <v>0</v>
      </c>
      <c r="S482" s="5">
        <v>0</v>
      </c>
      <c r="T482" s="5">
        <v>0</v>
      </c>
      <c r="U482" s="5">
        <v>0</v>
      </c>
      <c r="V482" s="6">
        <f t="shared" si="136"/>
        <v>5498.9463495575228</v>
      </c>
    </row>
    <row r="483" spans="1:22" ht="25.15" customHeight="1" x14ac:dyDescent="0.25">
      <c r="A483" s="53" t="s">
        <v>1396</v>
      </c>
      <c r="B483" s="23" t="s">
        <v>587</v>
      </c>
      <c r="C483" s="2">
        <f t="shared" si="129"/>
        <v>2291630</v>
      </c>
      <c r="D483" s="3">
        <f t="shared" si="137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416.66</v>
      </c>
      <c r="N483" s="3">
        <v>2291630</v>
      </c>
      <c r="O483" s="5">
        <v>0</v>
      </c>
      <c r="P483" s="5">
        <v>0</v>
      </c>
      <c r="Q483" s="5">
        <v>0</v>
      </c>
      <c r="R483" s="3">
        <f t="shared" si="135"/>
        <v>0</v>
      </c>
      <c r="S483" s="5">
        <v>0</v>
      </c>
      <c r="T483" s="5">
        <v>0</v>
      </c>
      <c r="U483" s="5">
        <v>0</v>
      </c>
      <c r="V483" s="6">
        <f t="shared" si="136"/>
        <v>5500</v>
      </c>
    </row>
    <row r="484" spans="1:22" ht="25.15" customHeight="1" x14ac:dyDescent="0.25">
      <c r="A484" s="53" t="s">
        <v>1397</v>
      </c>
      <c r="B484" s="8" t="s">
        <v>588</v>
      </c>
      <c r="C484" s="2">
        <f t="shared" si="129"/>
        <v>2366100</v>
      </c>
      <c r="D484" s="3">
        <f t="shared" si="137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430.2</v>
      </c>
      <c r="N484" s="3">
        <v>2366100</v>
      </c>
      <c r="O484" s="5">
        <v>0</v>
      </c>
      <c r="P484" s="5">
        <v>0</v>
      </c>
      <c r="Q484" s="5">
        <v>0</v>
      </c>
      <c r="R484" s="3">
        <f t="shared" si="135"/>
        <v>0</v>
      </c>
      <c r="S484" s="5">
        <v>0</v>
      </c>
      <c r="T484" s="5">
        <v>0</v>
      </c>
      <c r="U484" s="5">
        <v>0</v>
      </c>
      <c r="V484" s="6">
        <f t="shared" si="136"/>
        <v>5500</v>
      </c>
    </row>
    <row r="485" spans="1:22" ht="25.15" customHeight="1" x14ac:dyDescent="0.25">
      <c r="A485" s="53" t="s">
        <v>1398</v>
      </c>
      <c r="B485" s="23" t="s">
        <v>765</v>
      </c>
      <c r="C485" s="2">
        <f t="shared" ref="C485" si="138">D485+L485+N485+P485+R485+S485+T485+U485</f>
        <v>5664683.5099999998</v>
      </c>
      <c r="D485" s="3">
        <f t="shared" ref="D485" si="139">SUM(E485:J485)</f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5">
        <v>674</v>
      </c>
      <c r="R485" s="3">
        <v>1480062.11</v>
      </c>
      <c r="S485" s="3">
        <v>0</v>
      </c>
      <c r="T485" s="5">
        <v>0</v>
      </c>
      <c r="U485" s="3">
        <v>199000</v>
      </c>
      <c r="V485" s="6">
        <f t="shared" si="136"/>
        <v>5459.2403419425245</v>
      </c>
    </row>
    <row r="486" spans="1:22" ht="25.15" customHeight="1" x14ac:dyDescent="0.25">
      <c r="A486" s="53" t="s">
        <v>1399</v>
      </c>
      <c r="B486" s="8" t="s">
        <v>589</v>
      </c>
      <c r="C486" s="2">
        <f t="shared" si="129"/>
        <v>979106.4</v>
      </c>
      <c r="D486" s="3">
        <f t="shared" si="137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5">
        <v>0</v>
      </c>
      <c r="M486" s="5">
        <v>0</v>
      </c>
      <c r="N486" s="3">
        <v>0</v>
      </c>
      <c r="O486" s="5">
        <v>0</v>
      </c>
      <c r="P486" s="5">
        <v>0</v>
      </c>
      <c r="Q486" s="5">
        <v>396</v>
      </c>
      <c r="R486" s="3">
        <v>979106.4</v>
      </c>
      <c r="S486" s="5">
        <v>0</v>
      </c>
      <c r="T486" s="5">
        <v>0</v>
      </c>
      <c r="U486" s="5">
        <v>0</v>
      </c>
      <c r="V486" s="6" t="e">
        <f t="shared" si="136"/>
        <v>#DIV/0!</v>
      </c>
    </row>
    <row r="487" spans="1:22" ht="25.15" customHeight="1" x14ac:dyDescent="0.25">
      <c r="A487" s="53" t="s">
        <v>1400</v>
      </c>
      <c r="B487" s="8" t="s">
        <v>513</v>
      </c>
      <c r="C487" s="2">
        <f t="shared" si="129"/>
        <v>114858.13</v>
      </c>
      <c r="D487" s="3">
        <f t="shared" si="137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1">
        <v>0</v>
      </c>
      <c r="L487" s="5">
        <v>0</v>
      </c>
      <c r="M487" s="5">
        <v>0</v>
      </c>
      <c r="N487" s="3">
        <f>M487*5500</f>
        <v>0</v>
      </c>
      <c r="O487" s="5">
        <v>0</v>
      </c>
      <c r="P487" s="5">
        <v>0</v>
      </c>
      <c r="Q487" s="5">
        <v>0</v>
      </c>
      <c r="R487" s="3">
        <f t="shared" si="135"/>
        <v>0</v>
      </c>
      <c r="S487" s="5">
        <v>0</v>
      </c>
      <c r="T487" s="5">
        <v>0</v>
      </c>
      <c r="U487" s="5">
        <v>114858.13</v>
      </c>
      <c r="V487" s="6" t="e">
        <f t="shared" si="136"/>
        <v>#DIV/0!</v>
      </c>
    </row>
    <row r="488" spans="1:22" ht="25.15" customHeight="1" x14ac:dyDescent="0.25">
      <c r="A488" s="53" t="s">
        <v>1401</v>
      </c>
      <c r="B488" s="8" t="s">
        <v>517</v>
      </c>
      <c r="C488" s="2">
        <f>D488+L488+N488+P488+R488+S488+T488+U488</f>
        <v>102598.1</v>
      </c>
      <c r="D488" s="3">
        <f>SUM(E488:J488)</f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5">
        <v>0</v>
      </c>
      <c r="M488" s="5">
        <v>0</v>
      </c>
      <c r="N488" s="3">
        <f>M488*5500</f>
        <v>0</v>
      </c>
      <c r="O488" s="5">
        <v>0</v>
      </c>
      <c r="P488" s="5">
        <v>0</v>
      </c>
      <c r="Q488" s="5">
        <v>0</v>
      </c>
      <c r="R488" s="3">
        <f>Q488*3000</f>
        <v>0</v>
      </c>
      <c r="S488" s="5">
        <v>0</v>
      </c>
      <c r="T488" s="5">
        <v>0</v>
      </c>
      <c r="U488" s="5">
        <v>102598.1</v>
      </c>
      <c r="V488" s="6" t="e">
        <f>N488/M488</f>
        <v>#DIV/0!</v>
      </c>
    </row>
    <row r="489" spans="1:22" ht="25.15" customHeight="1" x14ac:dyDescent="0.25">
      <c r="A489" s="53" t="s">
        <v>1402</v>
      </c>
      <c r="B489" s="8" t="s">
        <v>518</v>
      </c>
      <c r="C489" s="2">
        <f>D489+L489+N489+P489+R489+S489+T489+U489</f>
        <v>2214975.6</v>
      </c>
      <c r="D489" s="3">
        <f>SUM(E489:J489)</f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5">
        <v>0</v>
      </c>
      <c r="M489" s="5">
        <v>421</v>
      </c>
      <c r="N489" s="3">
        <v>2214975.6</v>
      </c>
      <c r="O489" s="5">
        <v>0</v>
      </c>
      <c r="P489" s="5">
        <v>0</v>
      </c>
      <c r="Q489" s="5">
        <v>0</v>
      </c>
      <c r="R489" s="3">
        <f>Q489*3000</f>
        <v>0</v>
      </c>
      <c r="S489" s="5">
        <v>0</v>
      </c>
      <c r="T489" s="5">
        <v>0</v>
      </c>
      <c r="U489" s="5">
        <v>0</v>
      </c>
      <c r="V489" s="6">
        <f>N489/M489</f>
        <v>5261.2247030878862</v>
      </c>
    </row>
    <row r="490" spans="1:22" ht="25.15" customHeight="1" x14ac:dyDescent="0.25">
      <c r="A490" s="53" t="s">
        <v>1403</v>
      </c>
      <c r="B490" s="8" t="s">
        <v>590</v>
      </c>
      <c r="C490" s="2">
        <f>D490+L490+N490+P490+R490+S490+T490+U490</f>
        <v>2200120.7999999998</v>
      </c>
      <c r="D490" s="3">
        <f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1">
        <v>0</v>
      </c>
      <c r="L490" s="5">
        <v>0</v>
      </c>
      <c r="M490" s="5">
        <v>477.72</v>
      </c>
      <c r="N490" s="3">
        <v>2200120.7999999998</v>
      </c>
      <c r="O490" s="5">
        <v>0</v>
      </c>
      <c r="P490" s="5">
        <v>0</v>
      </c>
      <c r="Q490" s="5">
        <v>0</v>
      </c>
      <c r="R490" s="3">
        <f>Q490*3000</f>
        <v>0</v>
      </c>
      <c r="S490" s="5">
        <v>0</v>
      </c>
      <c r="T490" s="5">
        <v>0</v>
      </c>
      <c r="U490" s="5">
        <v>0</v>
      </c>
      <c r="V490" s="6">
        <f>N490/M490</f>
        <v>4605.4609394624458</v>
      </c>
    </row>
    <row r="491" spans="1:22" ht="25.15" customHeight="1" x14ac:dyDescent="0.25">
      <c r="A491" s="53" t="s">
        <v>1404</v>
      </c>
      <c r="B491" s="8" t="s">
        <v>515</v>
      </c>
      <c r="C491" s="2">
        <f t="shared" si="129"/>
        <v>2311100</v>
      </c>
      <c r="D491" s="3">
        <f t="shared" si="137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1">
        <v>0</v>
      </c>
      <c r="L491" s="5">
        <v>0</v>
      </c>
      <c r="M491" s="5">
        <v>420.2</v>
      </c>
      <c r="N491" s="3">
        <v>2311100</v>
      </c>
      <c r="O491" s="5">
        <v>0</v>
      </c>
      <c r="P491" s="5">
        <v>0</v>
      </c>
      <c r="Q491" s="5">
        <v>0</v>
      </c>
      <c r="R491" s="3">
        <f t="shared" si="135"/>
        <v>0</v>
      </c>
      <c r="S491" s="5">
        <v>0</v>
      </c>
      <c r="T491" s="5">
        <v>0</v>
      </c>
      <c r="U491" s="5">
        <v>0</v>
      </c>
      <c r="V491" s="6">
        <f t="shared" si="136"/>
        <v>5500</v>
      </c>
    </row>
    <row r="492" spans="1:22" ht="25.15" customHeight="1" x14ac:dyDescent="0.25">
      <c r="A492" s="53" t="s">
        <v>1405</v>
      </c>
      <c r="B492" s="8" t="s">
        <v>516</v>
      </c>
      <c r="C492" s="2">
        <f t="shared" si="129"/>
        <v>2203597.2000000002</v>
      </c>
      <c r="D492" s="3">
        <f t="shared" si="137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5">
        <v>0</v>
      </c>
      <c r="M492" s="5">
        <v>416.6</v>
      </c>
      <c r="N492" s="3">
        <v>2203597.2000000002</v>
      </c>
      <c r="O492" s="5">
        <v>0</v>
      </c>
      <c r="P492" s="5">
        <v>0</v>
      </c>
      <c r="Q492" s="5">
        <v>0</v>
      </c>
      <c r="R492" s="3">
        <f t="shared" si="135"/>
        <v>0</v>
      </c>
      <c r="S492" s="5">
        <v>0</v>
      </c>
      <c r="T492" s="5">
        <v>0</v>
      </c>
      <c r="U492" s="5">
        <v>0</v>
      </c>
      <c r="V492" s="6">
        <f t="shared" si="136"/>
        <v>5289.4795967354776</v>
      </c>
    </row>
    <row r="493" spans="1:22" ht="25.15" customHeight="1" x14ac:dyDescent="0.25">
      <c r="A493" s="53" t="s">
        <v>1406</v>
      </c>
      <c r="B493" s="8" t="s">
        <v>455</v>
      </c>
      <c r="C493" s="2">
        <f t="shared" si="129"/>
        <v>2233951.2000000002</v>
      </c>
      <c r="D493" s="3">
        <f t="shared" si="137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5"/>
        <v>0</v>
      </c>
      <c r="S493" s="3">
        <v>0</v>
      </c>
      <c r="T493" s="5">
        <v>0</v>
      </c>
      <c r="U493" s="3">
        <v>0</v>
      </c>
      <c r="V493" s="6">
        <f t="shared" si="136"/>
        <v>5370.0750000000007</v>
      </c>
    </row>
    <row r="494" spans="1:22" ht="25.15" customHeight="1" x14ac:dyDescent="0.25">
      <c r="A494" s="53" t="s">
        <v>1407</v>
      </c>
      <c r="B494" s="8" t="s">
        <v>456</v>
      </c>
      <c r="C494" s="2">
        <f t="shared" si="129"/>
        <v>2266000</v>
      </c>
      <c r="D494" s="3">
        <f t="shared" si="137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5"/>
        <v>0</v>
      </c>
      <c r="S494" s="3">
        <v>0</v>
      </c>
      <c r="T494" s="5">
        <v>0</v>
      </c>
      <c r="U494" s="3">
        <v>0</v>
      </c>
      <c r="V494" s="6">
        <f t="shared" si="136"/>
        <v>5500</v>
      </c>
    </row>
    <row r="495" spans="1:22" ht="25.15" customHeight="1" x14ac:dyDescent="0.25">
      <c r="A495" s="53" t="s">
        <v>1408</v>
      </c>
      <c r="B495" s="8" t="s">
        <v>519</v>
      </c>
      <c r="C495" s="2">
        <f t="shared" si="129"/>
        <v>2692184.4</v>
      </c>
      <c r="D495" s="3">
        <f t="shared" si="137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489.6</v>
      </c>
      <c r="N495" s="3">
        <v>2692184.4</v>
      </c>
      <c r="O495" s="5">
        <v>0</v>
      </c>
      <c r="P495" s="5">
        <v>0</v>
      </c>
      <c r="Q495" s="5">
        <v>0</v>
      </c>
      <c r="R495" s="3">
        <f t="shared" si="135"/>
        <v>0</v>
      </c>
      <c r="S495" s="5">
        <v>0</v>
      </c>
      <c r="T495" s="5">
        <v>0</v>
      </c>
      <c r="U495" s="5">
        <v>0</v>
      </c>
      <c r="V495" s="6">
        <f t="shared" si="136"/>
        <v>5498.7426470588234</v>
      </c>
    </row>
    <row r="496" spans="1:22" ht="25.15" customHeight="1" x14ac:dyDescent="0.25">
      <c r="A496" s="53" t="s">
        <v>1409</v>
      </c>
      <c r="B496" s="8" t="s">
        <v>470</v>
      </c>
      <c r="C496" s="2">
        <f t="shared" si="129"/>
        <v>6086187.9000000004</v>
      </c>
      <c r="D496" s="3">
        <f>SUM(E496:J496)</f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6" t="e">
        <f t="shared" si="136"/>
        <v>#DIV/0!</v>
      </c>
    </row>
    <row r="497" spans="1:22" ht="25.15" customHeight="1" x14ac:dyDescent="0.25">
      <c r="A497" s="53" t="s">
        <v>1410</v>
      </c>
      <c r="B497" s="8" t="s">
        <v>591</v>
      </c>
      <c r="C497" s="2">
        <f t="shared" si="129"/>
        <v>191593.73</v>
      </c>
      <c r="D497" s="3">
        <f t="shared" si="137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1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3">
        <f t="shared" si="135"/>
        <v>0</v>
      </c>
      <c r="S497" s="5">
        <v>0</v>
      </c>
      <c r="T497" s="5">
        <v>0</v>
      </c>
      <c r="U497" s="5">
        <v>191593.73</v>
      </c>
      <c r="V497" s="6" t="e">
        <f t="shared" si="136"/>
        <v>#DIV/0!</v>
      </c>
    </row>
    <row r="498" spans="1:22" ht="25.15" customHeight="1" x14ac:dyDescent="0.25">
      <c r="A498" s="53" t="s">
        <v>1411</v>
      </c>
      <c r="B498" s="8" t="s">
        <v>520</v>
      </c>
      <c r="C498" s="2">
        <f t="shared" si="129"/>
        <v>4469499.5999999996</v>
      </c>
      <c r="D498" s="3">
        <f t="shared" si="137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839.8</v>
      </c>
      <c r="N498" s="3">
        <v>4469499.5999999996</v>
      </c>
      <c r="O498" s="5">
        <v>0</v>
      </c>
      <c r="P498" s="5">
        <v>0</v>
      </c>
      <c r="Q498" s="5">
        <v>0</v>
      </c>
      <c r="R498" s="3">
        <f t="shared" si="135"/>
        <v>0</v>
      </c>
      <c r="S498" s="5">
        <v>0</v>
      </c>
      <c r="T498" s="5">
        <v>0</v>
      </c>
      <c r="U498" s="5">
        <v>0</v>
      </c>
      <c r="V498" s="6">
        <f t="shared" si="136"/>
        <v>5322.1000238151937</v>
      </c>
    </row>
    <row r="499" spans="1:22" ht="25.15" customHeight="1" x14ac:dyDescent="0.25">
      <c r="A499" s="53" t="s">
        <v>1412</v>
      </c>
      <c r="B499" s="23" t="s">
        <v>521</v>
      </c>
      <c r="C499" s="2">
        <f t="shared" si="129"/>
        <v>96590.77</v>
      </c>
      <c r="D499" s="3">
        <f t="shared" si="137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5">
        <v>0</v>
      </c>
      <c r="M499" s="5">
        <v>0</v>
      </c>
      <c r="N499" s="3">
        <f>M499*5500</f>
        <v>0</v>
      </c>
      <c r="O499" s="5">
        <v>0</v>
      </c>
      <c r="P499" s="5">
        <v>0</v>
      </c>
      <c r="Q499" s="5">
        <v>0</v>
      </c>
      <c r="R499" s="3">
        <f t="shared" si="135"/>
        <v>0</v>
      </c>
      <c r="S499" s="5">
        <v>0</v>
      </c>
      <c r="T499" s="5">
        <v>0</v>
      </c>
      <c r="U499" s="5">
        <v>96590.77</v>
      </c>
      <c r="V499" s="6" t="e">
        <f t="shared" si="136"/>
        <v>#DIV/0!</v>
      </c>
    </row>
    <row r="500" spans="1:22" ht="25.15" customHeight="1" x14ac:dyDescent="0.25">
      <c r="A500" s="53" t="s">
        <v>1413</v>
      </c>
      <c r="B500" s="24" t="s">
        <v>873</v>
      </c>
      <c r="C500" s="2">
        <f>D500+L500+N500+P500+R500+S500+T500+U500</f>
        <v>573611.31999999995</v>
      </c>
      <c r="D500" s="3">
        <f>SUM(E500:J500)</f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5">
        <v>0</v>
      </c>
      <c r="S500" s="3">
        <v>0</v>
      </c>
      <c r="T500" s="3">
        <v>0</v>
      </c>
      <c r="U500" s="3">
        <v>573611.31999999995</v>
      </c>
      <c r="V500" s="6" t="e">
        <f>N500/M500</f>
        <v>#DIV/0!</v>
      </c>
    </row>
    <row r="501" spans="1:22" ht="25.15" customHeight="1" x14ac:dyDescent="0.25">
      <c r="A501" s="53" t="s">
        <v>1414</v>
      </c>
      <c r="B501" s="8" t="s">
        <v>523</v>
      </c>
      <c r="C501" s="2">
        <f t="shared" si="129"/>
        <v>1477300</v>
      </c>
      <c r="D501" s="3">
        <f t="shared" si="137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5">
        <v>0</v>
      </c>
      <c r="M501" s="5">
        <v>268.60000000000002</v>
      </c>
      <c r="N501" s="3">
        <v>1477300</v>
      </c>
      <c r="O501" s="5">
        <v>0</v>
      </c>
      <c r="P501" s="5">
        <v>0</v>
      </c>
      <c r="Q501" s="5">
        <v>0</v>
      </c>
      <c r="R501" s="3">
        <f t="shared" si="135"/>
        <v>0</v>
      </c>
      <c r="S501" s="5">
        <v>0</v>
      </c>
      <c r="T501" s="5">
        <v>0</v>
      </c>
      <c r="U501" s="5">
        <v>0</v>
      </c>
      <c r="V501" s="6">
        <f t="shared" si="136"/>
        <v>5499.9999999999991</v>
      </c>
    </row>
    <row r="502" spans="1:22" ht="25.15" customHeight="1" x14ac:dyDescent="0.25">
      <c r="A502" s="53" t="s">
        <v>1415</v>
      </c>
      <c r="B502" s="24" t="s">
        <v>880</v>
      </c>
      <c r="C502" s="2">
        <f>D502+L502+N502+P502+R502+S502+T502+U502</f>
        <v>430499.34</v>
      </c>
      <c r="D502" s="3">
        <f>SUM(E502:J502)</f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6" t="e">
        <f>N502/M502</f>
        <v>#DIV/0!</v>
      </c>
    </row>
    <row r="503" spans="1:22" ht="25.15" customHeight="1" x14ac:dyDescent="0.25">
      <c r="A503" s="53" t="s">
        <v>1416</v>
      </c>
      <c r="B503" s="8" t="s">
        <v>393</v>
      </c>
      <c r="C503" s="2">
        <f>D503+L503+N503+P503+R503+S503+T503+U503</f>
        <v>1368525.6</v>
      </c>
      <c r="D503" s="3">
        <f>SUM(E503:J503)</f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>N503/M503</f>
        <v>#DIV/0!</v>
      </c>
    </row>
    <row r="504" spans="1:22" ht="25.15" customHeight="1" x14ac:dyDescent="0.25">
      <c r="A504" s="53" t="s">
        <v>1417</v>
      </c>
      <c r="B504" s="8" t="s">
        <v>388</v>
      </c>
      <c r="C504" s="2">
        <f>D504+L504+N504+P504+R504+S504+T504+U504</f>
        <v>6167959.2000000002</v>
      </c>
      <c r="D504" s="3">
        <f>SUM(E504:J504)</f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>N504/M504</f>
        <v>#DIV/0!</v>
      </c>
    </row>
    <row r="505" spans="1:22" ht="25.15" customHeight="1" x14ac:dyDescent="0.25">
      <c r="A505" s="53" t="s">
        <v>1418</v>
      </c>
      <c r="B505" s="8" t="s">
        <v>383</v>
      </c>
      <c r="C505" s="2">
        <f>D505+L505+N505+P505+R505+S505+T505+U505</f>
        <v>3418366.8000000007</v>
      </c>
      <c r="D505" s="3">
        <f>SUM(E505:J505)</f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>N505/M505</f>
        <v>#DIV/0!</v>
      </c>
    </row>
    <row r="506" spans="1:22" ht="25.15" customHeight="1" x14ac:dyDescent="0.25">
      <c r="A506" s="53" t="s">
        <v>1419</v>
      </c>
      <c r="B506" s="8" t="s">
        <v>593</v>
      </c>
      <c r="C506" s="2">
        <f t="shared" si="129"/>
        <v>1247398.68</v>
      </c>
      <c r="D506" s="3">
        <f t="shared" si="137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1">
        <v>0</v>
      </c>
      <c r="L506" s="5">
        <v>0</v>
      </c>
      <c r="M506" s="5">
        <v>226.8</v>
      </c>
      <c r="N506" s="3">
        <v>1247398.68</v>
      </c>
      <c r="O506" s="5">
        <v>0</v>
      </c>
      <c r="P506" s="5">
        <v>0</v>
      </c>
      <c r="Q506" s="5">
        <v>0</v>
      </c>
      <c r="R506" s="3">
        <f t="shared" si="135"/>
        <v>0</v>
      </c>
      <c r="S506" s="5">
        <v>0</v>
      </c>
      <c r="T506" s="5">
        <v>0</v>
      </c>
      <c r="U506" s="5">
        <v>0</v>
      </c>
      <c r="V506" s="6">
        <f t="shared" si="136"/>
        <v>5499.9941798941791</v>
      </c>
    </row>
    <row r="507" spans="1:22" ht="25.15" customHeight="1" x14ac:dyDescent="0.25">
      <c r="A507" s="53" t="s">
        <v>1420</v>
      </c>
      <c r="B507" s="8" t="s">
        <v>525</v>
      </c>
      <c r="C507" s="2">
        <f t="shared" si="129"/>
        <v>1274787</v>
      </c>
      <c r="D507" s="3">
        <f t="shared" si="137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1">
        <v>0</v>
      </c>
      <c r="L507" s="5">
        <v>0</v>
      </c>
      <c r="M507" s="5">
        <v>231.78</v>
      </c>
      <c r="N507" s="3">
        <v>1274787</v>
      </c>
      <c r="O507" s="5">
        <v>0</v>
      </c>
      <c r="P507" s="5">
        <v>0</v>
      </c>
      <c r="Q507" s="5">
        <v>0</v>
      </c>
      <c r="R507" s="3">
        <f t="shared" si="135"/>
        <v>0</v>
      </c>
      <c r="S507" s="5">
        <v>0</v>
      </c>
      <c r="T507" s="5">
        <v>0</v>
      </c>
      <c r="U507" s="5">
        <v>0</v>
      </c>
      <c r="V507" s="6">
        <f t="shared" si="136"/>
        <v>5499.9870566916907</v>
      </c>
    </row>
    <row r="508" spans="1:22" ht="25.15" customHeight="1" x14ac:dyDescent="0.25">
      <c r="A508" s="53" t="s">
        <v>1421</v>
      </c>
      <c r="B508" s="8" t="s">
        <v>526</v>
      </c>
      <c r="C508" s="2">
        <f t="shared" si="129"/>
        <v>1302381.97</v>
      </c>
      <c r="D508" s="3">
        <f t="shared" si="137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1">
        <v>0</v>
      </c>
      <c r="L508" s="5">
        <v>0</v>
      </c>
      <c r="M508" s="5">
        <v>236.8</v>
      </c>
      <c r="N508" s="3">
        <v>1302381.97</v>
      </c>
      <c r="O508" s="5">
        <v>0</v>
      </c>
      <c r="P508" s="5">
        <v>0</v>
      </c>
      <c r="Q508" s="5">
        <v>0</v>
      </c>
      <c r="R508" s="3">
        <f t="shared" si="135"/>
        <v>0</v>
      </c>
      <c r="S508" s="5">
        <v>0</v>
      </c>
      <c r="T508" s="5">
        <v>0</v>
      </c>
      <c r="U508" s="5">
        <v>0</v>
      </c>
      <c r="V508" s="6">
        <f t="shared" si="136"/>
        <v>5499.9238597972972</v>
      </c>
    </row>
    <row r="509" spans="1:22" ht="25.15" customHeight="1" x14ac:dyDescent="0.25">
      <c r="A509" s="53" t="s">
        <v>1422</v>
      </c>
      <c r="B509" s="8" t="s">
        <v>524</v>
      </c>
      <c r="C509" s="2">
        <f>D509+L509+N509+P509+R509+S509+T509+U509</f>
        <v>2044841.01</v>
      </c>
      <c r="D509" s="3">
        <f>SUM(E509:J509)</f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5">
        <v>0</v>
      </c>
      <c r="M509" s="5">
        <v>371.79</v>
      </c>
      <c r="N509" s="3">
        <v>2044841.01</v>
      </c>
      <c r="O509" s="5">
        <v>0</v>
      </c>
      <c r="P509" s="5">
        <v>0</v>
      </c>
      <c r="Q509" s="5">
        <v>0</v>
      </c>
      <c r="R509" s="3">
        <f>Q509*3000</f>
        <v>0</v>
      </c>
      <c r="S509" s="5">
        <v>0</v>
      </c>
      <c r="T509" s="5">
        <v>0</v>
      </c>
      <c r="U509" s="5">
        <v>0</v>
      </c>
      <c r="V509" s="6">
        <f>N509/M509</f>
        <v>5499.9892681352376</v>
      </c>
    </row>
    <row r="510" spans="1:22" ht="25.15" customHeight="1" x14ac:dyDescent="0.25">
      <c r="A510" s="53" t="s">
        <v>1423</v>
      </c>
      <c r="B510" s="8" t="s">
        <v>592</v>
      </c>
      <c r="C510" s="2">
        <f>D510+L510+N510+P510+R510+S510+T510+U510</f>
        <v>4991248.0999999996</v>
      </c>
      <c r="D510" s="3">
        <f>SUM(E510:J510)</f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1">
        <v>0</v>
      </c>
      <c r="L510" s="5">
        <v>0</v>
      </c>
      <c r="M510" s="5">
        <v>907.5</v>
      </c>
      <c r="N510" s="3">
        <v>4991248.0999999996</v>
      </c>
      <c r="O510" s="5">
        <v>0</v>
      </c>
      <c r="P510" s="5">
        <v>0</v>
      </c>
      <c r="Q510" s="5">
        <v>0</v>
      </c>
      <c r="R510" s="3">
        <f>Q510*3000</f>
        <v>0</v>
      </c>
      <c r="S510" s="5">
        <v>0</v>
      </c>
      <c r="T510" s="5">
        <v>0</v>
      </c>
      <c r="U510" s="5">
        <v>0</v>
      </c>
      <c r="V510" s="6">
        <f>N510/M510</f>
        <v>5499.9979063360879</v>
      </c>
    </row>
    <row r="511" spans="1:22" ht="25.15" customHeight="1" x14ac:dyDescent="0.25">
      <c r="A511" s="53" t="s">
        <v>1424</v>
      </c>
      <c r="B511" s="23" t="s">
        <v>594</v>
      </c>
      <c r="C511" s="2">
        <f t="shared" si="129"/>
        <v>4452702</v>
      </c>
      <c r="D511" s="3">
        <f t="shared" si="137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1">
        <v>0</v>
      </c>
      <c r="L511" s="5">
        <v>0</v>
      </c>
      <c r="M511" s="5">
        <v>810.6</v>
      </c>
      <c r="N511" s="3">
        <v>4452702</v>
      </c>
      <c r="O511" s="5">
        <v>0</v>
      </c>
      <c r="P511" s="5">
        <v>0</v>
      </c>
      <c r="Q511" s="5">
        <v>0</v>
      </c>
      <c r="R511" s="3">
        <f t="shared" si="135"/>
        <v>0</v>
      </c>
      <c r="S511" s="5">
        <v>0</v>
      </c>
      <c r="T511" s="5">
        <v>0</v>
      </c>
      <c r="U511" s="5">
        <v>0</v>
      </c>
      <c r="V511" s="6">
        <f t="shared" si="136"/>
        <v>5493.0940044411545</v>
      </c>
    </row>
    <row r="512" spans="1:22" ht="25.15" customHeight="1" x14ac:dyDescent="0.25">
      <c r="A512" s="53" t="s">
        <v>1425</v>
      </c>
      <c r="B512" s="23" t="s">
        <v>595</v>
      </c>
      <c r="C512" s="2">
        <f t="shared" si="129"/>
        <v>1353697.95</v>
      </c>
      <c r="D512" s="3">
        <f t="shared" si="137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1">
        <v>0</v>
      </c>
      <c r="L512" s="5">
        <v>0</v>
      </c>
      <c r="M512" s="5">
        <v>261.5</v>
      </c>
      <c r="N512" s="3">
        <v>1353697.95</v>
      </c>
      <c r="O512" s="5">
        <v>0</v>
      </c>
      <c r="P512" s="5">
        <v>0</v>
      </c>
      <c r="Q512" s="5">
        <v>0</v>
      </c>
      <c r="R512" s="3">
        <f t="shared" si="135"/>
        <v>0</v>
      </c>
      <c r="S512" s="5">
        <v>0</v>
      </c>
      <c r="T512" s="5">
        <v>0</v>
      </c>
      <c r="U512" s="5">
        <v>0</v>
      </c>
      <c r="V512" s="6">
        <f t="shared" si="136"/>
        <v>5176.6652007648181</v>
      </c>
    </row>
    <row r="513" spans="1:22" ht="25.15" customHeight="1" x14ac:dyDescent="0.25">
      <c r="A513" s="53" t="s">
        <v>1426</v>
      </c>
      <c r="B513" s="23" t="s">
        <v>596</v>
      </c>
      <c r="C513" s="2">
        <f t="shared" si="129"/>
        <v>2521772.96</v>
      </c>
      <c r="D513" s="3">
        <f t="shared" si="137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1">
        <v>0</v>
      </c>
      <c r="L513" s="5">
        <v>0</v>
      </c>
      <c r="M513" s="5">
        <v>522.20000000000005</v>
      </c>
      <c r="N513" s="3">
        <v>2521772.96</v>
      </c>
      <c r="O513" s="5">
        <v>0</v>
      </c>
      <c r="P513" s="5">
        <v>0</v>
      </c>
      <c r="Q513" s="5">
        <v>0</v>
      </c>
      <c r="R513" s="3">
        <f t="shared" si="135"/>
        <v>0</v>
      </c>
      <c r="S513" s="5">
        <v>0</v>
      </c>
      <c r="T513" s="5">
        <v>0</v>
      </c>
      <c r="U513" s="5">
        <v>0</v>
      </c>
      <c r="V513" s="6">
        <f t="shared" si="136"/>
        <v>4829.1324396782838</v>
      </c>
    </row>
    <row r="514" spans="1:22" ht="25.15" customHeight="1" x14ac:dyDescent="0.25">
      <c r="A514" s="53" t="s">
        <v>1427</v>
      </c>
      <c r="B514" s="8" t="s">
        <v>527</v>
      </c>
      <c r="C514" s="2">
        <f t="shared" si="129"/>
        <v>1990104</v>
      </c>
      <c r="D514" s="3">
        <f t="shared" si="137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1">
        <v>0</v>
      </c>
      <c r="L514" s="5">
        <v>0</v>
      </c>
      <c r="M514" s="5">
        <v>367.34</v>
      </c>
      <c r="N514" s="3">
        <v>1990104</v>
      </c>
      <c r="O514" s="5">
        <v>0</v>
      </c>
      <c r="P514" s="5">
        <v>0</v>
      </c>
      <c r="Q514" s="5">
        <v>0</v>
      </c>
      <c r="R514" s="3">
        <f t="shared" si="135"/>
        <v>0</v>
      </c>
      <c r="S514" s="5">
        <v>0</v>
      </c>
      <c r="T514" s="5">
        <v>0</v>
      </c>
      <c r="U514" s="5">
        <v>0</v>
      </c>
      <c r="V514" s="6">
        <f t="shared" si="136"/>
        <v>5417.6076659225791</v>
      </c>
    </row>
    <row r="515" spans="1:22" ht="25.15" customHeight="1" x14ac:dyDescent="0.25">
      <c r="A515" s="53" t="s">
        <v>1428</v>
      </c>
      <c r="B515" s="8" t="s">
        <v>597</v>
      </c>
      <c r="C515" s="2">
        <f t="shared" ref="C515:C582" si="140">D515+L515+N515+P515+R515+S515+T515+U515</f>
        <v>1323965.02</v>
      </c>
      <c r="D515" s="3">
        <f t="shared" si="137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5">
        <v>0</v>
      </c>
      <c r="M515" s="5">
        <v>258.02</v>
      </c>
      <c r="N515" s="3">
        <v>1323965.02</v>
      </c>
      <c r="O515" s="5">
        <v>0</v>
      </c>
      <c r="P515" s="5">
        <v>0</v>
      </c>
      <c r="Q515" s="5">
        <v>0</v>
      </c>
      <c r="R515" s="3">
        <f t="shared" si="135"/>
        <v>0</v>
      </c>
      <c r="S515" s="5">
        <v>0</v>
      </c>
      <c r="T515" s="5">
        <v>0</v>
      </c>
      <c r="U515" s="5">
        <v>0</v>
      </c>
      <c r="V515" s="6">
        <f t="shared" si="136"/>
        <v>5131.2495930548021</v>
      </c>
    </row>
    <row r="516" spans="1:22" ht="25.15" customHeight="1" x14ac:dyDescent="0.25">
      <c r="A516" s="53" t="s">
        <v>1429</v>
      </c>
      <c r="B516" s="8" t="s">
        <v>528</v>
      </c>
      <c r="C516" s="2">
        <f t="shared" si="140"/>
        <v>1287855.23</v>
      </c>
      <c r="D516" s="3">
        <f t="shared" si="137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258.02</v>
      </c>
      <c r="N516" s="3">
        <v>1287855.23</v>
      </c>
      <c r="O516" s="5">
        <v>0</v>
      </c>
      <c r="P516" s="5">
        <v>0</v>
      </c>
      <c r="Q516" s="5">
        <v>0</v>
      </c>
      <c r="R516" s="3">
        <f t="shared" si="135"/>
        <v>0</v>
      </c>
      <c r="S516" s="5">
        <v>0</v>
      </c>
      <c r="T516" s="5">
        <v>0</v>
      </c>
      <c r="U516" s="5">
        <v>0</v>
      </c>
      <c r="V516" s="6">
        <f t="shared" si="136"/>
        <v>4991.3000155026748</v>
      </c>
    </row>
    <row r="517" spans="1:22" ht="25.15" customHeight="1" x14ac:dyDescent="0.25">
      <c r="A517" s="53" t="s">
        <v>1430</v>
      </c>
      <c r="B517" s="8" t="s">
        <v>598</v>
      </c>
      <c r="C517" s="2">
        <f t="shared" si="140"/>
        <v>4356017.5999999996</v>
      </c>
      <c r="D517" s="3">
        <f t="shared" si="137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955.2</v>
      </c>
      <c r="N517" s="3">
        <v>4356017.5999999996</v>
      </c>
      <c r="O517" s="5">
        <v>0</v>
      </c>
      <c r="P517" s="5">
        <v>0</v>
      </c>
      <c r="Q517" s="5">
        <v>0</v>
      </c>
      <c r="R517" s="3">
        <f t="shared" si="135"/>
        <v>0</v>
      </c>
      <c r="S517" s="5">
        <v>0</v>
      </c>
      <c r="T517" s="5">
        <v>0</v>
      </c>
      <c r="U517" s="5">
        <v>0</v>
      </c>
      <c r="V517" s="6">
        <f t="shared" si="136"/>
        <v>4560.3199329983245</v>
      </c>
    </row>
    <row r="518" spans="1:22" ht="25.15" customHeight="1" x14ac:dyDescent="0.25">
      <c r="A518" s="53" t="s">
        <v>1431</v>
      </c>
      <c r="B518" s="8" t="s">
        <v>599</v>
      </c>
      <c r="C518" s="2">
        <f>D518+L518+N518+P518+R518+S518+T518+U518</f>
        <v>2337500</v>
      </c>
      <c r="D518" s="3">
        <f t="shared" si="137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425</v>
      </c>
      <c r="N518" s="3">
        <f>M518*5500</f>
        <v>2337500</v>
      </c>
      <c r="O518" s="5">
        <v>0</v>
      </c>
      <c r="P518" s="5">
        <v>0</v>
      </c>
      <c r="Q518" s="5">
        <v>0</v>
      </c>
      <c r="R518" s="3">
        <f t="shared" si="135"/>
        <v>0</v>
      </c>
      <c r="S518" s="5">
        <v>0</v>
      </c>
      <c r="T518" s="5">
        <v>0</v>
      </c>
      <c r="U518" s="5">
        <v>0</v>
      </c>
      <c r="V518" s="6">
        <f t="shared" si="136"/>
        <v>5500</v>
      </c>
    </row>
    <row r="519" spans="1:22" ht="25.15" customHeight="1" x14ac:dyDescent="0.25">
      <c r="A519" s="53" t="s">
        <v>1432</v>
      </c>
      <c r="B519" s="8" t="s">
        <v>495</v>
      </c>
      <c r="C519" s="2">
        <f t="shared" si="140"/>
        <v>813519.83</v>
      </c>
      <c r="D519" s="3">
        <f t="shared" si="137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6" t="e">
        <f t="shared" si="136"/>
        <v>#DIV/0!</v>
      </c>
    </row>
    <row r="520" spans="1:22" ht="25.15" customHeight="1" x14ac:dyDescent="0.25">
      <c r="A520" s="53" t="s">
        <v>1433</v>
      </c>
      <c r="B520" s="8" t="s">
        <v>600</v>
      </c>
      <c r="C520" s="2">
        <f t="shared" si="140"/>
        <v>1385024.4</v>
      </c>
      <c r="D520" s="3">
        <f t="shared" si="137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5">
        <v>0</v>
      </c>
      <c r="M520" s="5">
        <v>272</v>
      </c>
      <c r="N520" s="3">
        <v>1385024.4</v>
      </c>
      <c r="O520" s="5">
        <v>0</v>
      </c>
      <c r="P520" s="5">
        <v>0</v>
      </c>
      <c r="Q520" s="5">
        <v>0</v>
      </c>
      <c r="R520" s="3">
        <f t="shared" si="135"/>
        <v>0</v>
      </c>
      <c r="S520" s="5">
        <v>0</v>
      </c>
      <c r="T520" s="5">
        <v>0</v>
      </c>
      <c r="U520" s="5">
        <v>0</v>
      </c>
      <c r="V520" s="6">
        <f t="shared" si="136"/>
        <v>5092.001470588235</v>
      </c>
    </row>
    <row r="521" spans="1:22" ht="25.15" customHeight="1" x14ac:dyDescent="0.25">
      <c r="A521" s="53" t="s">
        <v>1434</v>
      </c>
      <c r="B521" s="8" t="s">
        <v>601</v>
      </c>
      <c r="C521" s="2">
        <f t="shared" si="140"/>
        <v>2321295.6</v>
      </c>
      <c r="D521" s="3">
        <f t="shared" si="137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5">
        <v>0</v>
      </c>
      <c r="M521" s="5">
        <v>473.5</v>
      </c>
      <c r="N521" s="3">
        <v>2321295.6</v>
      </c>
      <c r="O521" s="5">
        <v>0</v>
      </c>
      <c r="P521" s="5">
        <v>0</v>
      </c>
      <c r="Q521" s="5">
        <v>0</v>
      </c>
      <c r="R521" s="3">
        <f t="shared" si="135"/>
        <v>0</v>
      </c>
      <c r="S521" s="5">
        <v>0</v>
      </c>
      <c r="T521" s="5">
        <v>0</v>
      </c>
      <c r="U521" s="5">
        <v>0</v>
      </c>
      <c r="V521" s="6">
        <f t="shared" si="136"/>
        <v>4902.4194297782469</v>
      </c>
    </row>
    <row r="522" spans="1:22" ht="25.15" customHeight="1" x14ac:dyDescent="0.25">
      <c r="A522" s="53" t="s">
        <v>1435</v>
      </c>
      <c r="B522" s="8" t="s">
        <v>457</v>
      </c>
      <c r="C522" s="2">
        <f t="shared" si="140"/>
        <v>4063024.8</v>
      </c>
      <c r="D522" s="3">
        <f t="shared" si="137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 t="shared" si="135"/>
        <v>0</v>
      </c>
      <c r="S522" s="3">
        <v>0</v>
      </c>
      <c r="T522" s="5">
        <v>0</v>
      </c>
      <c r="U522" s="3">
        <v>0</v>
      </c>
      <c r="V522" s="6">
        <f t="shared" si="136"/>
        <v>6524.8511321663718</v>
      </c>
    </row>
    <row r="523" spans="1:22" ht="25.15" customHeight="1" x14ac:dyDescent="0.25">
      <c r="A523" s="53" t="s">
        <v>1436</v>
      </c>
      <c r="B523" s="8" t="s">
        <v>602</v>
      </c>
      <c r="C523" s="2">
        <f t="shared" si="140"/>
        <v>1303063.2</v>
      </c>
      <c r="D523" s="3">
        <f t="shared" si="137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5">
        <v>0</v>
      </c>
      <c r="M523" s="5">
        <v>243.9</v>
      </c>
      <c r="N523" s="3">
        <v>1303063.2</v>
      </c>
      <c r="O523" s="5">
        <v>0</v>
      </c>
      <c r="P523" s="5">
        <v>0</v>
      </c>
      <c r="Q523" s="5">
        <v>0</v>
      </c>
      <c r="R523" s="3">
        <f t="shared" si="135"/>
        <v>0</v>
      </c>
      <c r="S523" s="5">
        <v>0</v>
      </c>
      <c r="T523" s="5">
        <v>0</v>
      </c>
      <c r="U523" s="5">
        <v>0</v>
      </c>
      <c r="V523" s="6">
        <f t="shared" si="136"/>
        <v>5342.6125461254605</v>
      </c>
    </row>
    <row r="524" spans="1:22" ht="25.15" customHeight="1" x14ac:dyDescent="0.25">
      <c r="A524" s="53" t="s">
        <v>1437</v>
      </c>
      <c r="B524" s="8" t="s">
        <v>529</v>
      </c>
      <c r="C524" s="2">
        <f t="shared" si="140"/>
        <v>3138140.4</v>
      </c>
      <c r="D524" s="3">
        <f t="shared" si="137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5">
        <v>0</v>
      </c>
      <c r="M524" s="5">
        <v>708.6</v>
      </c>
      <c r="N524" s="3">
        <v>3138140.4</v>
      </c>
      <c r="O524" s="5">
        <v>0</v>
      </c>
      <c r="P524" s="5">
        <v>0</v>
      </c>
      <c r="Q524" s="5">
        <v>0</v>
      </c>
      <c r="R524" s="3">
        <f t="shared" si="135"/>
        <v>0</v>
      </c>
      <c r="S524" s="5">
        <v>0</v>
      </c>
      <c r="T524" s="5">
        <v>0</v>
      </c>
      <c r="U524" s="5">
        <v>0</v>
      </c>
      <c r="V524" s="6">
        <f t="shared" si="136"/>
        <v>4428.6486028789159</v>
      </c>
    </row>
    <row r="525" spans="1:22" ht="25.15" customHeight="1" x14ac:dyDescent="0.25">
      <c r="A525" s="53" t="s">
        <v>1438</v>
      </c>
      <c r="B525" s="8" t="s">
        <v>909</v>
      </c>
      <c r="C525" s="2">
        <f t="shared" si="140"/>
        <v>9477236.2200000007</v>
      </c>
      <c r="D525" s="3">
        <f>SUM(E525:J525)</f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6</v>
      </c>
      <c r="L525" s="5">
        <v>9477236.2200000007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6" t="e">
        <f t="shared" si="136"/>
        <v>#DIV/0!</v>
      </c>
    </row>
    <row r="526" spans="1:22" ht="25.15" customHeight="1" x14ac:dyDescent="0.25">
      <c r="A526" s="53" t="s">
        <v>1439</v>
      </c>
      <c r="B526" s="8" t="s">
        <v>603</v>
      </c>
      <c r="C526" s="2">
        <f t="shared" si="140"/>
        <v>2448645.6</v>
      </c>
      <c r="D526" s="3">
        <f t="shared" si="137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5">
        <v>0</v>
      </c>
      <c r="M526" s="5">
        <v>447.18</v>
      </c>
      <c r="N526" s="3">
        <v>2448645.6</v>
      </c>
      <c r="O526" s="5">
        <v>0</v>
      </c>
      <c r="P526" s="5">
        <v>0</v>
      </c>
      <c r="Q526" s="5">
        <v>0</v>
      </c>
      <c r="R526" s="3">
        <f t="shared" si="135"/>
        <v>0</v>
      </c>
      <c r="S526" s="5">
        <v>0</v>
      </c>
      <c r="T526" s="5">
        <v>0</v>
      </c>
      <c r="U526" s="5">
        <v>0</v>
      </c>
      <c r="V526" s="6">
        <f t="shared" si="136"/>
        <v>5475.7493626727492</v>
      </c>
    </row>
    <row r="527" spans="1:22" ht="25.15" customHeight="1" x14ac:dyDescent="0.25">
      <c r="A527" s="53" t="s">
        <v>1440</v>
      </c>
      <c r="B527" s="8" t="s">
        <v>604</v>
      </c>
      <c r="C527" s="2">
        <f t="shared" si="140"/>
        <v>3549086.4</v>
      </c>
      <c r="D527" s="3">
        <f t="shared" si="137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5">
        <v>0</v>
      </c>
      <c r="M527" s="5">
        <v>714</v>
      </c>
      <c r="N527" s="3">
        <v>3549086.4</v>
      </c>
      <c r="O527" s="5">
        <v>0</v>
      </c>
      <c r="P527" s="5">
        <v>0</v>
      </c>
      <c r="Q527" s="5">
        <v>0</v>
      </c>
      <c r="R527" s="3">
        <f t="shared" si="135"/>
        <v>0</v>
      </c>
      <c r="S527" s="5">
        <v>0</v>
      </c>
      <c r="T527" s="5">
        <v>0</v>
      </c>
      <c r="U527" s="5">
        <v>0</v>
      </c>
      <c r="V527" s="6">
        <f t="shared" si="136"/>
        <v>4970.709243697479</v>
      </c>
    </row>
    <row r="528" spans="1:22" ht="25.15" customHeight="1" x14ac:dyDescent="0.25">
      <c r="A528" s="53" t="s">
        <v>1441</v>
      </c>
      <c r="B528" s="8" t="s">
        <v>399</v>
      </c>
      <c r="C528" s="2">
        <f t="shared" ref="C528:C530" si="141">D528+L528+N528+P528+R528+S528+T528+U528</f>
        <v>6856242.0000000009</v>
      </c>
      <c r="D528" s="3">
        <f t="shared" ref="D528:D530" si="142">SUM(E528:J528)</f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6" t="e">
        <f t="shared" ref="V528:V530" si="143">N528/M528</f>
        <v>#DIV/0!</v>
      </c>
    </row>
    <row r="529" spans="1:22" ht="24.6" customHeight="1" x14ac:dyDescent="0.25">
      <c r="A529" s="53" t="s">
        <v>1442</v>
      </c>
      <c r="B529" s="8" t="s">
        <v>1206</v>
      </c>
      <c r="C529" s="2">
        <f t="shared" si="141"/>
        <v>381352.32</v>
      </c>
      <c r="D529" s="3">
        <f t="shared" si="14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6" t="e">
        <f t="shared" si="143"/>
        <v>#DIV/0!</v>
      </c>
    </row>
    <row r="530" spans="1:22" ht="25.15" customHeight="1" x14ac:dyDescent="0.25">
      <c r="A530" s="53" t="s">
        <v>1443</v>
      </c>
      <c r="B530" s="8" t="s">
        <v>408</v>
      </c>
      <c r="C530" s="2">
        <f t="shared" si="141"/>
        <v>3076694.1100000003</v>
      </c>
      <c r="D530" s="3">
        <f t="shared" si="14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6" t="e">
        <f t="shared" si="143"/>
        <v>#DIV/0!</v>
      </c>
    </row>
    <row r="531" spans="1:22" ht="25.15" customHeight="1" x14ac:dyDescent="0.25">
      <c r="A531" s="53" t="s">
        <v>1444</v>
      </c>
      <c r="B531" s="23" t="s">
        <v>605</v>
      </c>
      <c r="C531" s="2">
        <f t="shared" si="140"/>
        <v>3522743.25</v>
      </c>
      <c r="D531" s="3">
        <f t="shared" si="137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5">
        <v>0</v>
      </c>
      <c r="M531" s="5">
        <v>678.16</v>
      </c>
      <c r="N531" s="3">
        <v>3522743.25</v>
      </c>
      <c r="O531" s="5">
        <v>0</v>
      </c>
      <c r="P531" s="5">
        <v>0</v>
      </c>
      <c r="Q531" s="5">
        <v>0</v>
      </c>
      <c r="R531" s="3">
        <f t="shared" si="135"/>
        <v>0</v>
      </c>
      <c r="S531" s="5">
        <v>0</v>
      </c>
      <c r="T531" s="5">
        <v>0</v>
      </c>
      <c r="U531" s="5">
        <v>0</v>
      </c>
      <c r="V531" s="6">
        <f t="shared" si="136"/>
        <v>5194.5606494042704</v>
      </c>
    </row>
    <row r="532" spans="1:22" ht="25.15" customHeight="1" x14ac:dyDescent="0.25">
      <c r="A532" s="53" t="s">
        <v>1445</v>
      </c>
      <c r="B532" s="8" t="s">
        <v>531</v>
      </c>
      <c r="C532" s="2">
        <f t="shared" si="140"/>
        <v>2494800</v>
      </c>
      <c r="D532" s="3">
        <f t="shared" si="137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5">
        <v>0</v>
      </c>
      <c r="M532" s="5">
        <v>453.6</v>
      </c>
      <c r="N532" s="3">
        <v>2494800</v>
      </c>
      <c r="O532" s="5">
        <v>0</v>
      </c>
      <c r="P532" s="5">
        <v>0</v>
      </c>
      <c r="Q532" s="5">
        <v>0</v>
      </c>
      <c r="R532" s="3">
        <f t="shared" si="135"/>
        <v>0</v>
      </c>
      <c r="S532" s="5">
        <v>0</v>
      </c>
      <c r="T532" s="5">
        <v>0</v>
      </c>
      <c r="U532" s="5">
        <v>0</v>
      </c>
      <c r="V532" s="6">
        <f t="shared" si="136"/>
        <v>5500</v>
      </c>
    </row>
    <row r="533" spans="1:22" ht="25.15" customHeight="1" x14ac:dyDescent="0.25">
      <c r="A533" s="53" t="s">
        <v>1446</v>
      </c>
      <c r="B533" s="8" t="s">
        <v>532</v>
      </c>
      <c r="C533" s="2">
        <f t="shared" si="140"/>
        <v>2494799.9500000002</v>
      </c>
      <c r="D533" s="3">
        <f t="shared" si="137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1">
        <v>0</v>
      </c>
      <c r="L533" s="5">
        <v>0</v>
      </c>
      <c r="M533" s="5">
        <v>455</v>
      </c>
      <c r="N533" s="3">
        <v>2494799.9500000002</v>
      </c>
      <c r="O533" s="5">
        <v>0</v>
      </c>
      <c r="P533" s="5">
        <v>0</v>
      </c>
      <c r="Q533" s="5">
        <v>0</v>
      </c>
      <c r="R533" s="3">
        <f t="shared" si="135"/>
        <v>0</v>
      </c>
      <c r="S533" s="5">
        <v>0</v>
      </c>
      <c r="T533" s="5">
        <v>0</v>
      </c>
      <c r="U533" s="5">
        <v>0</v>
      </c>
      <c r="V533" s="6">
        <f t="shared" si="136"/>
        <v>5483.0768131868135</v>
      </c>
    </row>
    <row r="534" spans="1:22" ht="25.15" customHeight="1" x14ac:dyDescent="0.25">
      <c r="A534" s="53" t="s">
        <v>1447</v>
      </c>
      <c r="B534" s="8" t="s">
        <v>533</v>
      </c>
      <c r="C534" s="2">
        <f t="shared" si="140"/>
        <v>1268288.3999999999</v>
      </c>
      <c r="D534" s="3">
        <f t="shared" si="137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5">
        <v>0</v>
      </c>
      <c r="M534" s="5">
        <v>248.2</v>
      </c>
      <c r="N534" s="3">
        <v>1268288.3999999999</v>
      </c>
      <c r="O534" s="5">
        <v>0</v>
      </c>
      <c r="P534" s="5">
        <v>0</v>
      </c>
      <c r="Q534" s="5">
        <v>0</v>
      </c>
      <c r="R534" s="3">
        <f t="shared" si="135"/>
        <v>0</v>
      </c>
      <c r="S534" s="5">
        <v>0</v>
      </c>
      <c r="T534" s="5">
        <v>0</v>
      </c>
      <c r="U534" s="5">
        <v>0</v>
      </c>
      <c r="V534" s="6">
        <f t="shared" si="136"/>
        <v>5109.9452054794519</v>
      </c>
    </row>
    <row r="535" spans="1:22" ht="25.15" customHeight="1" x14ac:dyDescent="0.25">
      <c r="A535" s="53" t="s">
        <v>1448</v>
      </c>
      <c r="B535" s="8" t="s">
        <v>607</v>
      </c>
      <c r="C535" s="2">
        <f t="shared" si="140"/>
        <v>1276446.8400000001</v>
      </c>
      <c r="D535" s="3">
        <f t="shared" si="137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257.60000000000002</v>
      </c>
      <c r="N535" s="3">
        <v>1276446.8400000001</v>
      </c>
      <c r="O535" s="5">
        <v>0</v>
      </c>
      <c r="P535" s="5">
        <v>0</v>
      </c>
      <c r="Q535" s="5">
        <v>0</v>
      </c>
      <c r="R535" s="3">
        <f t="shared" si="135"/>
        <v>0</v>
      </c>
      <c r="S535" s="5">
        <v>0</v>
      </c>
      <c r="T535" s="5">
        <v>0</v>
      </c>
      <c r="U535" s="5">
        <v>0</v>
      </c>
      <c r="V535" s="6">
        <f t="shared" si="136"/>
        <v>4955.1507763975151</v>
      </c>
    </row>
    <row r="536" spans="1:22" ht="25.15" customHeight="1" x14ac:dyDescent="0.25">
      <c r="A536" s="53" t="s">
        <v>1449</v>
      </c>
      <c r="B536" s="8" t="s">
        <v>608</v>
      </c>
      <c r="C536" s="2">
        <f t="shared" si="140"/>
        <v>1309782.2</v>
      </c>
      <c r="D536" s="3">
        <f t="shared" si="137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274</v>
      </c>
      <c r="N536" s="3">
        <v>1309782.2</v>
      </c>
      <c r="O536" s="5">
        <v>0</v>
      </c>
      <c r="P536" s="5">
        <v>0</v>
      </c>
      <c r="Q536" s="5">
        <v>0</v>
      </c>
      <c r="R536" s="3">
        <f t="shared" si="135"/>
        <v>0</v>
      </c>
      <c r="S536" s="5">
        <v>0</v>
      </c>
      <c r="T536" s="5">
        <v>0</v>
      </c>
      <c r="U536" s="5">
        <v>0</v>
      </c>
      <c r="V536" s="6">
        <f t="shared" si="136"/>
        <v>4780.2270072992696</v>
      </c>
    </row>
    <row r="537" spans="1:22" ht="25.15" customHeight="1" x14ac:dyDescent="0.25">
      <c r="A537" s="53" t="s">
        <v>1450</v>
      </c>
      <c r="B537" s="8" t="s">
        <v>606</v>
      </c>
      <c r="C537" s="2">
        <f t="shared" si="140"/>
        <v>3233377.2</v>
      </c>
      <c r="D537" s="3">
        <f t="shared" si="137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1014.6</v>
      </c>
      <c r="N537" s="3">
        <v>3233377.2</v>
      </c>
      <c r="O537" s="5">
        <v>0</v>
      </c>
      <c r="P537" s="5">
        <v>0</v>
      </c>
      <c r="Q537" s="5">
        <v>0</v>
      </c>
      <c r="R537" s="3">
        <f t="shared" si="135"/>
        <v>0</v>
      </c>
      <c r="S537" s="5">
        <v>0</v>
      </c>
      <c r="T537" s="5">
        <v>0</v>
      </c>
      <c r="U537" s="5">
        <v>0</v>
      </c>
      <c r="V537" s="6">
        <f t="shared" si="136"/>
        <v>3186.8492016558253</v>
      </c>
    </row>
    <row r="538" spans="1:22" ht="25.15" customHeight="1" x14ac:dyDescent="0.25">
      <c r="A538" s="53" t="s">
        <v>1451</v>
      </c>
      <c r="B538" s="8" t="s">
        <v>497</v>
      </c>
      <c r="C538" s="2">
        <f>D538+L538+N538+P538+R538+S538+T538+U538</f>
        <v>528478.31000000006</v>
      </c>
      <c r="D538" s="3">
        <f>SUM(E538:J538)</f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6" t="e">
        <f>N538/M538</f>
        <v>#DIV/0!</v>
      </c>
    </row>
    <row r="539" spans="1:22" ht="24.6" customHeight="1" x14ac:dyDescent="0.25">
      <c r="A539" s="53" t="s">
        <v>1452</v>
      </c>
      <c r="B539" s="8" t="s">
        <v>498</v>
      </c>
      <c r="C539" s="2">
        <f>D539+L539+N539+P539+R539+S539+T539+U539</f>
        <v>444234.09</v>
      </c>
      <c r="D539" s="3">
        <f>SUM(E539:J539)</f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6" t="e">
        <f>N539/M539</f>
        <v>#DIV/0!</v>
      </c>
    </row>
    <row r="540" spans="1:22" ht="25.15" customHeight="1" x14ac:dyDescent="0.25">
      <c r="A540" s="53" t="s">
        <v>1453</v>
      </c>
      <c r="B540" s="24" t="s">
        <v>878</v>
      </c>
      <c r="C540" s="2">
        <f>D540+L540+N540+P540+R540+S540+T540+U540</f>
        <v>309382.96000000002</v>
      </c>
      <c r="D540" s="3">
        <f>SUM(E540:J540)</f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6" t="e">
        <f>N540/M540</f>
        <v>#DIV/0!</v>
      </c>
    </row>
    <row r="541" spans="1:22" ht="25.15" customHeight="1" x14ac:dyDescent="0.25">
      <c r="A541" s="53" t="s">
        <v>1454</v>
      </c>
      <c r="B541" s="8" t="s">
        <v>609</v>
      </c>
      <c r="C541" s="2">
        <f t="shared" ref="C541:C552" si="144">D541+L541+N541+P541+R541+S541+T541+U541</f>
        <v>1455300</v>
      </c>
      <c r="D541" s="3">
        <f t="shared" ref="D541:D552" si="145">SUM(E541:J541)</f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264.60000000000002</v>
      </c>
      <c r="N541" s="3">
        <v>1455300</v>
      </c>
      <c r="O541" s="5">
        <v>0</v>
      </c>
      <c r="P541" s="5">
        <v>0</v>
      </c>
      <c r="Q541" s="5">
        <v>0</v>
      </c>
      <c r="R541" s="3">
        <f>Q541*3000</f>
        <v>0</v>
      </c>
      <c r="S541" s="5">
        <v>0</v>
      </c>
      <c r="T541" s="5">
        <v>0</v>
      </c>
      <c r="U541" s="5">
        <v>0</v>
      </c>
      <c r="V541" s="6">
        <f t="shared" ref="V541:V552" si="146">N541/M541</f>
        <v>5499.9999999999991</v>
      </c>
    </row>
    <row r="542" spans="1:22" ht="25.15" customHeight="1" x14ac:dyDescent="0.25">
      <c r="A542" s="53" t="s">
        <v>1455</v>
      </c>
      <c r="B542" s="8" t="s">
        <v>610</v>
      </c>
      <c r="C542" s="2">
        <f t="shared" si="144"/>
        <v>89215.03</v>
      </c>
      <c r="D542" s="3">
        <f t="shared" si="145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5">
        <v>0</v>
      </c>
      <c r="M542" s="5">
        <v>0</v>
      </c>
      <c r="N542" s="3">
        <f>M542*5500</f>
        <v>0</v>
      </c>
      <c r="O542" s="5">
        <v>0</v>
      </c>
      <c r="P542" s="5">
        <v>0</v>
      </c>
      <c r="Q542" s="5">
        <v>0</v>
      </c>
      <c r="R542" s="3">
        <f>Q542*3000</f>
        <v>0</v>
      </c>
      <c r="S542" s="5">
        <v>0</v>
      </c>
      <c r="T542" s="5">
        <v>0</v>
      </c>
      <c r="U542" s="5">
        <v>89215.03</v>
      </c>
      <c r="V542" s="6" t="e">
        <f t="shared" si="146"/>
        <v>#DIV/0!</v>
      </c>
    </row>
    <row r="543" spans="1:22" ht="25.15" customHeight="1" x14ac:dyDescent="0.25">
      <c r="A543" s="53" t="s">
        <v>1456</v>
      </c>
      <c r="B543" s="8" t="s">
        <v>611</v>
      </c>
      <c r="C543" s="2">
        <f t="shared" si="144"/>
        <v>88503.16</v>
      </c>
      <c r="D543" s="3">
        <f t="shared" si="145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5">
        <v>0</v>
      </c>
      <c r="M543" s="5">
        <v>0</v>
      </c>
      <c r="N543" s="3">
        <f>M543*5500</f>
        <v>0</v>
      </c>
      <c r="O543" s="5">
        <v>0</v>
      </c>
      <c r="P543" s="5">
        <v>0</v>
      </c>
      <c r="Q543" s="5">
        <v>0</v>
      </c>
      <c r="R543" s="3">
        <f>Q543*3000</f>
        <v>0</v>
      </c>
      <c r="S543" s="5">
        <v>0</v>
      </c>
      <c r="T543" s="5">
        <v>0</v>
      </c>
      <c r="U543" s="5">
        <v>88503.16</v>
      </c>
      <c r="V543" s="6" t="e">
        <f t="shared" si="146"/>
        <v>#DIV/0!</v>
      </c>
    </row>
    <row r="544" spans="1:22" ht="25.15" customHeight="1" x14ac:dyDescent="0.25">
      <c r="A544" s="53" t="s">
        <v>1457</v>
      </c>
      <c r="B544" s="24" t="s">
        <v>910</v>
      </c>
      <c r="C544" s="2">
        <f t="shared" si="144"/>
        <v>3440516.22</v>
      </c>
      <c r="D544" s="3">
        <f t="shared" si="145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6" t="e">
        <f t="shared" si="146"/>
        <v>#DIV/0!</v>
      </c>
    </row>
    <row r="545" spans="1:22" ht="25.15" customHeight="1" x14ac:dyDescent="0.25">
      <c r="A545" s="53" t="s">
        <v>1458</v>
      </c>
      <c r="B545" s="24" t="s">
        <v>885</v>
      </c>
      <c r="C545" s="2">
        <f>D545+L545+N545+P545+R545+S545+T545+U545</f>
        <v>5033631.7799999993</v>
      </c>
      <c r="D545" s="3">
        <f>SUM(E545:J545)</f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6">
        <f>N545/M545</f>
        <v>3911.2276865671643</v>
      </c>
    </row>
    <row r="546" spans="1:22" ht="25.15" customHeight="1" x14ac:dyDescent="0.25">
      <c r="A546" s="53" t="s">
        <v>1459</v>
      </c>
      <c r="B546" s="8" t="s">
        <v>861</v>
      </c>
      <c r="C546" s="2">
        <f t="shared" si="144"/>
        <v>19015186.169999998</v>
      </c>
      <c r="D546" s="3">
        <f t="shared" si="145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1">
        <v>0</v>
      </c>
      <c r="L546" s="5">
        <v>0</v>
      </c>
      <c r="M546" s="5">
        <v>957</v>
      </c>
      <c r="N546" s="3">
        <v>3445304.2</v>
      </c>
      <c r="O546" s="5">
        <v>0</v>
      </c>
      <c r="P546" s="5">
        <v>0</v>
      </c>
      <c r="Q546" s="5">
        <v>2417</v>
      </c>
      <c r="R546" s="3">
        <v>6902212.7999999998</v>
      </c>
      <c r="S546" s="5">
        <v>0</v>
      </c>
      <c r="T546" s="5">
        <v>0</v>
      </c>
      <c r="U546" s="5">
        <v>287245.96999999997</v>
      </c>
      <c r="V546" s="6">
        <f t="shared" si="146"/>
        <v>3600.1088819226752</v>
      </c>
    </row>
    <row r="547" spans="1:22" ht="25.15" customHeight="1" x14ac:dyDescent="0.25">
      <c r="A547" s="53" t="s">
        <v>1460</v>
      </c>
      <c r="B547" s="24" t="s">
        <v>1219</v>
      </c>
      <c r="C547" s="2">
        <f>D547+L547+N547+P547+R547+S547+T547+U547</f>
        <v>405044.7</v>
      </c>
      <c r="D547" s="3">
        <f>SUM(E547:J547)</f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6" t="e">
        <f>N547/M547</f>
        <v>#DIV/0!</v>
      </c>
    </row>
    <row r="548" spans="1:22" ht="24.6" customHeight="1" x14ac:dyDescent="0.25">
      <c r="A548" s="53" t="s">
        <v>1461</v>
      </c>
      <c r="B548" s="8" t="s">
        <v>615</v>
      </c>
      <c r="C548" s="2">
        <f>D548+L548+N548+P548+R548+S548+T548+U548</f>
        <v>10645250</v>
      </c>
      <c r="D548" s="3">
        <f>SUM(E548:J548)</f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1935.5</v>
      </c>
      <c r="N548" s="3">
        <v>10645250</v>
      </c>
      <c r="O548" s="5">
        <v>0</v>
      </c>
      <c r="P548" s="5">
        <v>0</v>
      </c>
      <c r="Q548" s="5">
        <v>0</v>
      </c>
      <c r="R548" s="3">
        <f>Q548*3000</f>
        <v>0</v>
      </c>
      <c r="S548" s="5">
        <v>0</v>
      </c>
      <c r="T548" s="5">
        <v>0</v>
      </c>
      <c r="U548" s="5">
        <v>0</v>
      </c>
      <c r="V548" s="6">
        <f>N548/M548</f>
        <v>5500</v>
      </c>
    </row>
    <row r="549" spans="1:22" ht="25.15" customHeight="1" x14ac:dyDescent="0.25">
      <c r="A549" s="53" t="s">
        <v>1462</v>
      </c>
      <c r="B549" s="8" t="s">
        <v>613</v>
      </c>
      <c r="C549" s="2">
        <f t="shared" si="144"/>
        <v>3241700</v>
      </c>
      <c r="D549" s="3">
        <f t="shared" si="145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5">
        <v>0</v>
      </c>
      <c r="M549" s="5">
        <v>589.4</v>
      </c>
      <c r="N549" s="3">
        <v>3241700</v>
      </c>
      <c r="O549" s="5">
        <v>0</v>
      </c>
      <c r="P549" s="5">
        <v>0</v>
      </c>
      <c r="Q549" s="5">
        <v>0</v>
      </c>
      <c r="R549" s="3">
        <f t="shared" ref="R549" si="147">Q549*3000</f>
        <v>0</v>
      </c>
      <c r="S549" s="5">
        <v>0</v>
      </c>
      <c r="T549" s="5">
        <v>0</v>
      </c>
      <c r="U549" s="5">
        <v>0</v>
      </c>
      <c r="V549" s="6">
        <f t="shared" si="146"/>
        <v>5500</v>
      </c>
    </row>
    <row r="550" spans="1:22" ht="25.15" customHeight="1" x14ac:dyDescent="0.25">
      <c r="A550" s="53" t="s">
        <v>1463</v>
      </c>
      <c r="B550" s="8" t="s">
        <v>809</v>
      </c>
      <c r="C550" s="2">
        <f t="shared" si="144"/>
        <v>20745607.530000001</v>
      </c>
      <c r="D550" s="3">
        <f t="shared" si="145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5">
        <v>609.98</v>
      </c>
      <c r="N550" s="5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6">
        <f t="shared" si="146"/>
        <v>3124.0448867175969</v>
      </c>
    </row>
    <row r="551" spans="1:22" ht="25.15" customHeight="1" x14ac:dyDescent="0.25">
      <c r="A551" s="53" t="s">
        <v>1464</v>
      </c>
      <c r="B551" s="8" t="s">
        <v>616</v>
      </c>
      <c r="C551" s="2">
        <f t="shared" si="144"/>
        <v>2941440</v>
      </c>
      <c r="D551" s="3">
        <f t="shared" si="145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262.08</v>
      </c>
      <c r="N551" s="3">
        <v>1441440</v>
      </c>
      <c r="O551" s="5">
        <v>0</v>
      </c>
      <c r="P551" s="5">
        <v>0</v>
      </c>
      <c r="Q551" s="5">
        <v>500</v>
      </c>
      <c r="R551" s="3">
        <v>1500000</v>
      </c>
      <c r="S551" s="5">
        <v>0</v>
      </c>
      <c r="T551" s="5">
        <v>0</v>
      </c>
      <c r="U551" s="5">
        <v>0</v>
      </c>
      <c r="V551" s="6">
        <f t="shared" si="146"/>
        <v>5500</v>
      </c>
    </row>
    <row r="552" spans="1:22" ht="25.15" customHeight="1" x14ac:dyDescent="0.25">
      <c r="A552" s="53" t="s">
        <v>1465</v>
      </c>
      <c r="B552" s="23" t="s">
        <v>617</v>
      </c>
      <c r="C552" s="2">
        <f t="shared" si="144"/>
        <v>1406877.6</v>
      </c>
      <c r="D552" s="3">
        <f t="shared" si="145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1">
        <v>0</v>
      </c>
      <c r="L552" s="5">
        <v>0</v>
      </c>
      <c r="M552" s="5">
        <v>261.97000000000003</v>
      </c>
      <c r="N552" s="3">
        <v>1406877.6</v>
      </c>
      <c r="O552" s="5">
        <v>0</v>
      </c>
      <c r="P552" s="5">
        <v>0</v>
      </c>
      <c r="Q552" s="5">
        <v>0</v>
      </c>
      <c r="R552" s="3">
        <f>Q552*3000</f>
        <v>0</v>
      </c>
      <c r="S552" s="5">
        <v>0</v>
      </c>
      <c r="T552" s="5">
        <v>0</v>
      </c>
      <c r="U552" s="5">
        <v>0</v>
      </c>
      <c r="V552" s="6">
        <f t="shared" si="146"/>
        <v>5370.3767606977899</v>
      </c>
    </row>
    <row r="553" spans="1:22" ht="25.15" customHeight="1" x14ac:dyDescent="0.25">
      <c r="A553" s="53" t="s">
        <v>1466</v>
      </c>
      <c r="B553" s="8" t="s">
        <v>922</v>
      </c>
      <c r="C553" s="2">
        <f>D553+L553+N553+P553+R553+S553+T553+U553</f>
        <v>11716137.449999999</v>
      </c>
      <c r="D553" s="3">
        <f>SUM(E553:J553)</f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6</v>
      </c>
      <c r="L553" s="5">
        <v>11223000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3">
        <f>Q553*3000</f>
        <v>0</v>
      </c>
      <c r="S553" s="5">
        <v>0</v>
      </c>
      <c r="T553" s="5">
        <v>0</v>
      </c>
      <c r="U553" s="5">
        <v>493137.45</v>
      </c>
      <c r="V553" s="6" t="e">
        <f>N553/M553</f>
        <v>#DIV/0!</v>
      </c>
    </row>
    <row r="554" spans="1:22" ht="25.15" customHeight="1" x14ac:dyDescent="0.25">
      <c r="A554" s="53" t="s">
        <v>1467</v>
      </c>
      <c r="B554" s="8" t="s">
        <v>534</v>
      </c>
      <c r="C554" s="2">
        <f t="shared" si="140"/>
        <v>131456.18</v>
      </c>
      <c r="D554" s="3">
        <f t="shared" ref="D554:D616" si="14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5">
        <v>0</v>
      </c>
      <c r="M554" s="5">
        <v>0</v>
      </c>
      <c r="N554" s="3">
        <v>0</v>
      </c>
      <c r="O554" s="5">
        <v>0</v>
      </c>
      <c r="P554" s="5">
        <v>0</v>
      </c>
      <c r="Q554" s="5">
        <v>0</v>
      </c>
      <c r="R554" s="3">
        <f t="shared" ref="R554:R617" si="149">Q554*3000</f>
        <v>0</v>
      </c>
      <c r="S554" s="5">
        <v>0</v>
      </c>
      <c r="T554" s="5">
        <v>0</v>
      </c>
      <c r="U554" s="5">
        <v>131456.18</v>
      </c>
      <c r="V554" s="6" t="e">
        <f t="shared" ref="V554:V617" si="150">N554/M554</f>
        <v>#DIV/0!</v>
      </c>
    </row>
    <row r="555" spans="1:22" ht="25.15" customHeight="1" x14ac:dyDescent="0.25">
      <c r="A555" s="53" t="s">
        <v>1468</v>
      </c>
      <c r="B555" s="8" t="s">
        <v>618</v>
      </c>
      <c r="C555" s="2">
        <f t="shared" si="140"/>
        <v>1407450</v>
      </c>
      <c r="D555" s="3">
        <f t="shared" si="14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5">
        <v>0</v>
      </c>
      <c r="M555" s="5">
        <v>225.9</v>
      </c>
      <c r="N555" s="3">
        <v>1407450</v>
      </c>
      <c r="O555" s="5">
        <v>0</v>
      </c>
      <c r="P555" s="5">
        <v>0</v>
      </c>
      <c r="Q555" s="5">
        <v>0</v>
      </c>
      <c r="R555" s="3">
        <f t="shared" si="149"/>
        <v>0</v>
      </c>
      <c r="S555" s="5">
        <v>0</v>
      </c>
      <c r="T555" s="5">
        <v>0</v>
      </c>
      <c r="U555" s="5">
        <v>0</v>
      </c>
      <c r="V555" s="6">
        <f t="shared" si="150"/>
        <v>6230.4116865869855</v>
      </c>
    </row>
    <row r="556" spans="1:22" ht="24.6" customHeight="1" x14ac:dyDescent="0.25">
      <c r="A556" s="53" t="s">
        <v>1469</v>
      </c>
      <c r="B556" s="23" t="s">
        <v>535</v>
      </c>
      <c r="C556" s="2">
        <f t="shared" si="140"/>
        <v>88717.43</v>
      </c>
      <c r="D556" s="3">
        <f t="shared" si="14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0</v>
      </c>
      <c r="N556" s="3">
        <f>M556*5500</f>
        <v>0</v>
      </c>
      <c r="O556" s="5">
        <v>0</v>
      </c>
      <c r="P556" s="5">
        <v>0</v>
      </c>
      <c r="Q556" s="5">
        <v>0</v>
      </c>
      <c r="R556" s="3">
        <f t="shared" si="149"/>
        <v>0</v>
      </c>
      <c r="S556" s="5">
        <v>0</v>
      </c>
      <c r="T556" s="5">
        <v>0</v>
      </c>
      <c r="U556" s="5">
        <v>88717.43</v>
      </c>
      <c r="V556" s="6" t="e">
        <f t="shared" si="150"/>
        <v>#DIV/0!</v>
      </c>
    </row>
    <row r="557" spans="1:22" ht="25.15" customHeight="1" x14ac:dyDescent="0.25">
      <c r="A557" s="53" t="s">
        <v>1470</v>
      </c>
      <c r="B557" s="8" t="s">
        <v>620</v>
      </c>
      <c r="C557" s="2">
        <f t="shared" si="140"/>
        <v>3089034.2</v>
      </c>
      <c r="D557" s="3">
        <f t="shared" si="14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562.04</v>
      </c>
      <c r="N557" s="3">
        <v>3089034.2</v>
      </c>
      <c r="O557" s="5">
        <v>0</v>
      </c>
      <c r="P557" s="5">
        <v>0</v>
      </c>
      <c r="Q557" s="5">
        <v>0</v>
      </c>
      <c r="R557" s="3">
        <f t="shared" si="149"/>
        <v>0</v>
      </c>
      <c r="S557" s="5">
        <v>0</v>
      </c>
      <c r="T557" s="5">
        <v>0</v>
      </c>
      <c r="U557" s="5">
        <v>0</v>
      </c>
      <c r="V557" s="6">
        <f t="shared" si="150"/>
        <v>5496.1109529570858</v>
      </c>
    </row>
    <row r="558" spans="1:22" ht="25.15" customHeight="1" x14ac:dyDescent="0.25">
      <c r="A558" s="53" t="s">
        <v>1471</v>
      </c>
      <c r="B558" s="8" t="s">
        <v>536</v>
      </c>
      <c r="C558" s="2">
        <f t="shared" si="140"/>
        <v>190659.06</v>
      </c>
      <c r="D558" s="3">
        <f t="shared" si="14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0</v>
      </c>
      <c r="N558" s="3">
        <v>0</v>
      </c>
      <c r="O558" s="5">
        <v>0</v>
      </c>
      <c r="P558" s="5">
        <v>0</v>
      </c>
      <c r="Q558" s="5">
        <v>0</v>
      </c>
      <c r="R558" s="3">
        <f t="shared" si="149"/>
        <v>0</v>
      </c>
      <c r="S558" s="5">
        <v>0</v>
      </c>
      <c r="T558" s="5">
        <v>0</v>
      </c>
      <c r="U558" s="5">
        <v>190659.06</v>
      </c>
      <c r="V558" s="6" t="e">
        <f t="shared" si="150"/>
        <v>#DIV/0!</v>
      </c>
    </row>
    <row r="559" spans="1:22" ht="25.15" customHeight="1" x14ac:dyDescent="0.25">
      <c r="A559" s="53" t="s">
        <v>1472</v>
      </c>
      <c r="B559" s="8" t="s">
        <v>619</v>
      </c>
      <c r="C559" s="2">
        <f t="shared" si="140"/>
        <v>3096500</v>
      </c>
      <c r="D559" s="3">
        <f t="shared" si="14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563</v>
      </c>
      <c r="N559" s="3">
        <v>3096500</v>
      </c>
      <c r="O559" s="5">
        <v>0</v>
      </c>
      <c r="P559" s="5">
        <v>0</v>
      </c>
      <c r="Q559" s="5">
        <v>0</v>
      </c>
      <c r="R559" s="3">
        <f t="shared" si="149"/>
        <v>0</v>
      </c>
      <c r="S559" s="5">
        <v>0</v>
      </c>
      <c r="T559" s="5">
        <v>0</v>
      </c>
      <c r="U559" s="5">
        <v>0</v>
      </c>
      <c r="V559" s="6">
        <f t="shared" si="150"/>
        <v>5500</v>
      </c>
    </row>
    <row r="560" spans="1:22" ht="25.15" customHeight="1" x14ac:dyDescent="0.25">
      <c r="A560" s="53" t="s">
        <v>1473</v>
      </c>
      <c r="B560" s="8" t="s">
        <v>621</v>
      </c>
      <c r="C560" s="2">
        <f t="shared" si="140"/>
        <v>6013006</v>
      </c>
      <c r="D560" s="3">
        <f t="shared" si="14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1">
        <v>0</v>
      </c>
      <c r="L560" s="5">
        <v>0</v>
      </c>
      <c r="M560" s="5">
        <v>533.70000000000005</v>
      </c>
      <c r="N560" s="3">
        <v>2615250</v>
      </c>
      <c r="O560" s="5">
        <v>0</v>
      </c>
      <c r="P560" s="5">
        <v>0</v>
      </c>
      <c r="Q560" s="5">
        <v>1030.74</v>
      </c>
      <c r="R560" s="3">
        <v>2236273</v>
      </c>
      <c r="S560" s="5">
        <v>0</v>
      </c>
      <c r="T560" s="5">
        <v>0</v>
      </c>
      <c r="U560" s="5">
        <v>202024</v>
      </c>
      <c r="V560" s="6">
        <f t="shared" si="150"/>
        <v>4900.2248454187738</v>
      </c>
    </row>
    <row r="561" spans="1:22" ht="25.15" customHeight="1" x14ac:dyDescent="0.25">
      <c r="A561" s="53" t="s">
        <v>1474</v>
      </c>
      <c r="B561" s="8" t="s">
        <v>537</v>
      </c>
      <c r="C561" s="2">
        <f t="shared" si="140"/>
        <v>1383804.9</v>
      </c>
      <c r="D561" s="3">
        <f t="shared" si="14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5">
        <v>0</v>
      </c>
      <c r="M561" s="5">
        <v>259</v>
      </c>
      <c r="N561" s="3">
        <v>1383804.9</v>
      </c>
      <c r="O561" s="5">
        <v>0</v>
      </c>
      <c r="P561" s="5">
        <v>0</v>
      </c>
      <c r="Q561" s="5">
        <v>0</v>
      </c>
      <c r="R561" s="3">
        <f t="shared" si="149"/>
        <v>0</v>
      </c>
      <c r="S561" s="5">
        <v>0</v>
      </c>
      <c r="T561" s="5">
        <v>0</v>
      </c>
      <c r="U561" s="5">
        <v>0</v>
      </c>
      <c r="V561" s="6">
        <f t="shared" si="150"/>
        <v>5342.8760617760618</v>
      </c>
    </row>
    <row r="562" spans="1:22" ht="25.15" customHeight="1" x14ac:dyDescent="0.25">
      <c r="A562" s="53" t="s">
        <v>1475</v>
      </c>
      <c r="B562" s="8" t="s">
        <v>538</v>
      </c>
      <c r="C562" s="2">
        <f t="shared" si="140"/>
        <v>1437315</v>
      </c>
      <c r="D562" s="3">
        <f t="shared" si="14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5">
        <v>0</v>
      </c>
      <c r="M562" s="5">
        <v>261.33</v>
      </c>
      <c r="N562" s="3">
        <v>1437315</v>
      </c>
      <c r="O562" s="5">
        <v>0</v>
      </c>
      <c r="P562" s="5">
        <v>0</v>
      </c>
      <c r="Q562" s="5">
        <v>0</v>
      </c>
      <c r="R562" s="3">
        <f t="shared" si="149"/>
        <v>0</v>
      </c>
      <c r="S562" s="5">
        <v>0</v>
      </c>
      <c r="T562" s="5">
        <v>0</v>
      </c>
      <c r="U562" s="5">
        <v>0</v>
      </c>
      <c r="V562" s="6">
        <f t="shared" si="150"/>
        <v>5500</v>
      </c>
    </row>
    <row r="563" spans="1:22" ht="25.15" customHeight="1" x14ac:dyDescent="0.25">
      <c r="A563" s="53" t="s">
        <v>1476</v>
      </c>
      <c r="B563" s="8" t="s">
        <v>622</v>
      </c>
      <c r="C563" s="2">
        <f t="shared" si="140"/>
        <v>1442870</v>
      </c>
      <c r="D563" s="3">
        <f t="shared" si="14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5">
        <v>0</v>
      </c>
      <c r="M563" s="5">
        <v>262.33999999999997</v>
      </c>
      <c r="N563" s="3">
        <v>1442870</v>
      </c>
      <c r="O563" s="5">
        <v>0</v>
      </c>
      <c r="P563" s="5">
        <v>0</v>
      </c>
      <c r="Q563" s="5">
        <v>0</v>
      </c>
      <c r="R563" s="3">
        <f t="shared" si="149"/>
        <v>0</v>
      </c>
      <c r="S563" s="5">
        <v>0</v>
      </c>
      <c r="T563" s="5">
        <v>0</v>
      </c>
      <c r="U563" s="5">
        <v>0</v>
      </c>
      <c r="V563" s="6">
        <f t="shared" si="150"/>
        <v>5500.0000000000009</v>
      </c>
    </row>
    <row r="564" spans="1:22" ht="25.15" customHeight="1" x14ac:dyDescent="0.25">
      <c r="A564" s="53" t="s">
        <v>1477</v>
      </c>
      <c r="B564" s="8" t="s">
        <v>623</v>
      </c>
      <c r="C564" s="2">
        <f t="shared" si="140"/>
        <v>1410750</v>
      </c>
      <c r="D564" s="3">
        <f t="shared" si="14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256.5</v>
      </c>
      <c r="N564" s="3">
        <v>1410750</v>
      </c>
      <c r="O564" s="5">
        <v>0</v>
      </c>
      <c r="P564" s="5">
        <v>0</v>
      </c>
      <c r="Q564" s="5">
        <v>0</v>
      </c>
      <c r="R564" s="3">
        <f t="shared" si="149"/>
        <v>0</v>
      </c>
      <c r="S564" s="5">
        <v>0</v>
      </c>
      <c r="T564" s="5">
        <v>0</v>
      </c>
      <c r="U564" s="5">
        <v>0</v>
      </c>
      <c r="V564" s="6">
        <f t="shared" si="150"/>
        <v>5500</v>
      </c>
    </row>
    <row r="565" spans="1:22" ht="25.15" customHeight="1" x14ac:dyDescent="0.25">
      <c r="A565" s="53" t="s">
        <v>1478</v>
      </c>
      <c r="B565" s="8" t="s">
        <v>624</v>
      </c>
      <c r="C565" s="2">
        <f t="shared" si="140"/>
        <v>95281.24</v>
      </c>
      <c r="D565" s="3">
        <f t="shared" si="148"/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f>350*0</f>
        <v>0</v>
      </c>
      <c r="K565" s="11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3">
        <f t="shared" si="149"/>
        <v>0</v>
      </c>
      <c r="S565" s="5">
        <v>0</v>
      </c>
      <c r="T565" s="5">
        <v>0</v>
      </c>
      <c r="U565" s="5">
        <v>95281.24</v>
      </c>
      <c r="V565" s="6" t="e">
        <f t="shared" si="150"/>
        <v>#DIV/0!</v>
      </c>
    </row>
    <row r="566" spans="1:22" ht="25.15" customHeight="1" x14ac:dyDescent="0.25">
      <c r="A566" s="53" t="s">
        <v>1479</v>
      </c>
      <c r="B566" s="8" t="s">
        <v>625</v>
      </c>
      <c r="C566" s="2">
        <f t="shared" si="140"/>
        <v>1464870</v>
      </c>
      <c r="D566" s="3">
        <f t="shared" si="14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5">
        <v>0</v>
      </c>
      <c r="M566" s="5">
        <v>266.33999999999997</v>
      </c>
      <c r="N566" s="3">
        <v>1464870</v>
      </c>
      <c r="O566" s="5">
        <v>0</v>
      </c>
      <c r="P566" s="5">
        <v>0</v>
      </c>
      <c r="Q566" s="5">
        <v>0</v>
      </c>
      <c r="R566" s="3">
        <f t="shared" si="149"/>
        <v>0</v>
      </c>
      <c r="S566" s="5">
        <v>0</v>
      </c>
      <c r="T566" s="5">
        <v>0</v>
      </c>
      <c r="U566" s="5">
        <v>0</v>
      </c>
      <c r="V566" s="6">
        <f t="shared" si="150"/>
        <v>5500.0000000000009</v>
      </c>
    </row>
    <row r="567" spans="1:22" ht="25.15" customHeight="1" x14ac:dyDescent="0.25">
      <c r="A567" s="53" t="s">
        <v>1480</v>
      </c>
      <c r="B567" s="8" t="s">
        <v>626</v>
      </c>
      <c r="C567" s="2">
        <f t="shared" si="140"/>
        <v>1423125</v>
      </c>
      <c r="D567" s="3">
        <f t="shared" si="14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258.75</v>
      </c>
      <c r="N567" s="3">
        <v>1423125</v>
      </c>
      <c r="O567" s="5">
        <v>0</v>
      </c>
      <c r="P567" s="5">
        <v>0</v>
      </c>
      <c r="Q567" s="5">
        <v>0</v>
      </c>
      <c r="R567" s="3">
        <f t="shared" si="149"/>
        <v>0</v>
      </c>
      <c r="S567" s="5">
        <v>0</v>
      </c>
      <c r="T567" s="5">
        <v>0</v>
      </c>
      <c r="U567" s="5">
        <v>0</v>
      </c>
      <c r="V567" s="6">
        <f t="shared" si="150"/>
        <v>5500</v>
      </c>
    </row>
    <row r="568" spans="1:22" ht="25.15" customHeight="1" x14ac:dyDescent="0.25">
      <c r="A568" s="53" t="s">
        <v>1481</v>
      </c>
      <c r="B568" s="8" t="s">
        <v>627</v>
      </c>
      <c r="C568" s="2">
        <f t="shared" si="140"/>
        <v>1350249.21</v>
      </c>
      <c r="D568" s="3">
        <f t="shared" si="14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245.5</v>
      </c>
      <c r="N568" s="3">
        <v>1350249.21</v>
      </c>
      <c r="O568" s="5">
        <v>0</v>
      </c>
      <c r="P568" s="5">
        <v>0</v>
      </c>
      <c r="Q568" s="5">
        <v>0</v>
      </c>
      <c r="R568" s="3">
        <f t="shared" si="149"/>
        <v>0</v>
      </c>
      <c r="S568" s="5">
        <v>0</v>
      </c>
      <c r="T568" s="5">
        <v>0</v>
      </c>
      <c r="U568" s="5">
        <v>0</v>
      </c>
      <c r="V568" s="6">
        <f t="shared" si="150"/>
        <v>5499.9967820773927</v>
      </c>
    </row>
    <row r="569" spans="1:22" ht="25.15" customHeight="1" x14ac:dyDescent="0.25">
      <c r="A569" s="53" t="s">
        <v>1482</v>
      </c>
      <c r="B569" s="24" t="s">
        <v>872</v>
      </c>
      <c r="C569" s="2">
        <f>D569+L569+N569+P569+R569+S569+T569+U569</f>
        <v>377276.64</v>
      </c>
      <c r="D569" s="3">
        <f>SUM(E569:J569)</f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6" t="e">
        <f>N569/M569</f>
        <v>#DIV/0!</v>
      </c>
    </row>
    <row r="570" spans="1:22" ht="25.15" customHeight="1" x14ac:dyDescent="0.25">
      <c r="A570" s="53" t="s">
        <v>1483</v>
      </c>
      <c r="B570" s="8" t="s">
        <v>629</v>
      </c>
      <c r="C570" s="2">
        <f t="shared" si="140"/>
        <v>1581247.96</v>
      </c>
      <c r="D570" s="3">
        <f t="shared" si="14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5">
        <v>0</v>
      </c>
      <c r="M570" s="5">
        <v>287.5</v>
      </c>
      <c r="N570" s="3">
        <v>1581247.96</v>
      </c>
      <c r="O570" s="5">
        <v>0</v>
      </c>
      <c r="P570" s="5">
        <v>0</v>
      </c>
      <c r="Q570" s="5">
        <v>0</v>
      </c>
      <c r="R570" s="3">
        <f t="shared" si="149"/>
        <v>0</v>
      </c>
      <c r="S570" s="5">
        <v>0</v>
      </c>
      <c r="T570" s="5">
        <v>0</v>
      </c>
      <c r="U570" s="5">
        <v>0</v>
      </c>
      <c r="V570" s="6">
        <f t="shared" si="150"/>
        <v>5499.992904347826</v>
      </c>
    </row>
    <row r="571" spans="1:22" ht="25.15" customHeight="1" x14ac:dyDescent="0.25">
      <c r="A571" s="53" t="s">
        <v>1484</v>
      </c>
      <c r="B571" s="8" t="s">
        <v>539</v>
      </c>
      <c r="C571" s="2">
        <f t="shared" si="140"/>
        <v>1595644.99</v>
      </c>
      <c r="D571" s="3">
        <f t="shared" si="14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5">
        <v>0</v>
      </c>
      <c r="M571" s="5">
        <v>290.2</v>
      </c>
      <c r="N571" s="3">
        <v>1595644.99</v>
      </c>
      <c r="O571" s="5">
        <v>0</v>
      </c>
      <c r="P571" s="5">
        <v>0</v>
      </c>
      <c r="Q571" s="5">
        <v>0</v>
      </c>
      <c r="R571" s="3">
        <f t="shared" si="149"/>
        <v>0</v>
      </c>
      <c r="S571" s="5">
        <v>0</v>
      </c>
      <c r="T571" s="5">
        <v>0</v>
      </c>
      <c r="U571" s="5">
        <v>0</v>
      </c>
      <c r="V571" s="6">
        <f t="shared" si="150"/>
        <v>5498.4320813232252</v>
      </c>
    </row>
    <row r="572" spans="1:22" ht="25.15" customHeight="1" x14ac:dyDescent="0.25">
      <c r="A572" s="53" t="s">
        <v>1485</v>
      </c>
      <c r="B572" s="8" t="s">
        <v>630</v>
      </c>
      <c r="C572" s="2">
        <f t="shared" si="140"/>
        <v>1447600</v>
      </c>
      <c r="D572" s="3">
        <f t="shared" si="14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1">
        <v>0</v>
      </c>
      <c r="L572" s="5">
        <v>0</v>
      </c>
      <c r="M572" s="5">
        <v>263.2</v>
      </c>
      <c r="N572" s="3">
        <v>1447600</v>
      </c>
      <c r="O572" s="5">
        <v>0</v>
      </c>
      <c r="P572" s="5">
        <v>0</v>
      </c>
      <c r="Q572" s="5">
        <v>0</v>
      </c>
      <c r="R572" s="3">
        <f t="shared" si="149"/>
        <v>0</v>
      </c>
      <c r="S572" s="5">
        <v>0</v>
      </c>
      <c r="T572" s="5">
        <v>0</v>
      </c>
      <c r="U572" s="5">
        <v>0</v>
      </c>
      <c r="V572" s="6">
        <f t="shared" si="150"/>
        <v>5500</v>
      </c>
    </row>
    <row r="573" spans="1:22" ht="25.15" customHeight="1" x14ac:dyDescent="0.25">
      <c r="A573" s="53" t="s">
        <v>1486</v>
      </c>
      <c r="B573" s="8" t="s">
        <v>631</v>
      </c>
      <c r="C573" s="2">
        <f t="shared" si="140"/>
        <v>1325296</v>
      </c>
      <c r="D573" s="3">
        <f t="shared" si="14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5">
        <v>0</v>
      </c>
      <c r="M573" s="5">
        <v>241</v>
      </c>
      <c r="N573" s="3">
        <v>1325296</v>
      </c>
      <c r="O573" s="5">
        <v>0</v>
      </c>
      <c r="P573" s="5">
        <v>0</v>
      </c>
      <c r="Q573" s="5">
        <v>0</v>
      </c>
      <c r="R573" s="3">
        <f t="shared" si="149"/>
        <v>0</v>
      </c>
      <c r="S573" s="5">
        <v>0</v>
      </c>
      <c r="T573" s="5">
        <v>0</v>
      </c>
      <c r="U573" s="5">
        <v>0</v>
      </c>
      <c r="V573" s="6">
        <f t="shared" si="150"/>
        <v>5499.1535269709548</v>
      </c>
    </row>
    <row r="574" spans="1:22" ht="25.15" customHeight="1" x14ac:dyDescent="0.25">
      <c r="A574" s="53" t="s">
        <v>1487</v>
      </c>
      <c r="B574" s="8" t="s">
        <v>445</v>
      </c>
      <c r="C574" s="2">
        <f t="shared" si="140"/>
        <v>3207817.2</v>
      </c>
      <c r="D574" s="3">
        <f>SUM(E574:J574)</f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6">
        <f t="shared" si="150"/>
        <v>4305.7948993288592</v>
      </c>
    </row>
    <row r="575" spans="1:22" ht="25.15" customHeight="1" x14ac:dyDescent="0.25">
      <c r="A575" s="53" t="s">
        <v>1488</v>
      </c>
      <c r="B575" s="24" t="s">
        <v>1220</v>
      </c>
      <c r="C575" s="2">
        <f>D575+L575+N575+P575+R575+S575+T575+U575</f>
        <v>334449.2</v>
      </c>
      <c r="D575" s="3">
        <f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6" t="e">
        <f>N575/M575</f>
        <v>#DIV/0!</v>
      </c>
    </row>
    <row r="576" spans="1:22" ht="25.15" customHeight="1" x14ac:dyDescent="0.25">
      <c r="A576" s="53" t="s">
        <v>1489</v>
      </c>
      <c r="B576" s="8" t="s">
        <v>634</v>
      </c>
      <c r="C576" s="2">
        <f>D576+L576+N576+P576+R576+S576+T576+U576</f>
        <v>3896200</v>
      </c>
      <c r="D576" s="3">
        <f>SUM(E576:J576)</f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5">
        <v>0</v>
      </c>
      <c r="M576" s="5">
        <v>708.4</v>
      </c>
      <c r="N576" s="3">
        <f>M576*5500</f>
        <v>3896200</v>
      </c>
      <c r="O576" s="5">
        <v>0</v>
      </c>
      <c r="P576" s="5">
        <v>0</v>
      </c>
      <c r="Q576" s="5">
        <v>0</v>
      </c>
      <c r="R576" s="3">
        <f>Q576*3000</f>
        <v>0</v>
      </c>
      <c r="S576" s="5">
        <v>0</v>
      </c>
      <c r="T576" s="5">
        <v>0</v>
      </c>
      <c r="U576" s="5">
        <v>0</v>
      </c>
      <c r="V576" s="6">
        <f>N576/M576</f>
        <v>5500</v>
      </c>
    </row>
    <row r="577" spans="1:22" ht="25.15" customHeight="1" x14ac:dyDescent="0.25">
      <c r="A577" s="53" t="s">
        <v>1490</v>
      </c>
      <c r="B577" s="8" t="s">
        <v>632</v>
      </c>
      <c r="C577" s="2">
        <f t="shared" si="140"/>
        <v>1702800</v>
      </c>
      <c r="D577" s="3">
        <f t="shared" si="14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5">
        <v>0</v>
      </c>
      <c r="M577" s="5">
        <v>309.60000000000002</v>
      </c>
      <c r="N577" s="3">
        <v>1702800</v>
      </c>
      <c r="O577" s="5">
        <v>0</v>
      </c>
      <c r="P577" s="5">
        <v>0</v>
      </c>
      <c r="Q577" s="5">
        <v>0</v>
      </c>
      <c r="R577" s="3">
        <f t="shared" si="149"/>
        <v>0</v>
      </c>
      <c r="S577" s="5">
        <v>0</v>
      </c>
      <c r="T577" s="5">
        <v>0</v>
      </c>
      <c r="U577" s="5">
        <v>0</v>
      </c>
      <c r="V577" s="6">
        <f t="shared" si="150"/>
        <v>5500</v>
      </c>
    </row>
    <row r="578" spans="1:22" ht="25.15" customHeight="1" x14ac:dyDescent="0.25">
      <c r="A578" s="53" t="s">
        <v>1491</v>
      </c>
      <c r="B578" s="8" t="s">
        <v>633</v>
      </c>
      <c r="C578" s="2">
        <f t="shared" si="140"/>
        <v>2810500</v>
      </c>
      <c r="D578" s="3">
        <f t="shared" si="14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1">
        <v>0</v>
      </c>
      <c r="L578" s="5">
        <v>0</v>
      </c>
      <c r="M578" s="5">
        <v>511</v>
      </c>
      <c r="N578" s="3">
        <v>2810500</v>
      </c>
      <c r="O578" s="5">
        <v>0</v>
      </c>
      <c r="P578" s="5">
        <v>0</v>
      </c>
      <c r="Q578" s="5">
        <v>0</v>
      </c>
      <c r="R578" s="3">
        <f t="shared" si="149"/>
        <v>0</v>
      </c>
      <c r="S578" s="5">
        <v>0</v>
      </c>
      <c r="T578" s="5">
        <v>0</v>
      </c>
      <c r="U578" s="5">
        <v>0</v>
      </c>
      <c r="V578" s="6">
        <f t="shared" si="150"/>
        <v>5500</v>
      </c>
    </row>
    <row r="579" spans="1:22" ht="24.6" customHeight="1" x14ac:dyDescent="0.25">
      <c r="A579" s="53" t="s">
        <v>1492</v>
      </c>
      <c r="B579" s="8" t="s">
        <v>540</v>
      </c>
      <c r="C579" s="2">
        <f t="shared" si="140"/>
        <v>2205500</v>
      </c>
      <c r="D579" s="3">
        <f t="shared" si="14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1">
        <v>0</v>
      </c>
      <c r="L579" s="5">
        <v>0</v>
      </c>
      <c r="M579" s="5">
        <v>401</v>
      </c>
      <c r="N579" s="3">
        <v>2205500</v>
      </c>
      <c r="O579" s="5">
        <v>0</v>
      </c>
      <c r="P579" s="5">
        <v>0</v>
      </c>
      <c r="Q579" s="5">
        <v>0</v>
      </c>
      <c r="R579" s="3">
        <f t="shared" si="149"/>
        <v>0</v>
      </c>
      <c r="S579" s="5">
        <v>0</v>
      </c>
      <c r="T579" s="5">
        <v>0</v>
      </c>
      <c r="U579" s="5">
        <v>0</v>
      </c>
      <c r="V579" s="6">
        <f t="shared" si="150"/>
        <v>5500</v>
      </c>
    </row>
    <row r="580" spans="1:22" ht="25.15" customHeight="1" x14ac:dyDescent="0.25">
      <c r="A580" s="53" t="s">
        <v>1493</v>
      </c>
      <c r="B580" s="8" t="s">
        <v>635</v>
      </c>
      <c r="C580" s="2">
        <f t="shared" si="140"/>
        <v>2817356.6</v>
      </c>
      <c r="D580" s="3">
        <f t="shared" si="14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5">
        <v>0</v>
      </c>
      <c r="M580" s="5">
        <v>539.74</v>
      </c>
      <c r="N580" s="3">
        <v>2817356.6</v>
      </c>
      <c r="O580" s="5">
        <v>0</v>
      </c>
      <c r="P580" s="5">
        <v>0</v>
      </c>
      <c r="Q580" s="5">
        <v>0</v>
      </c>
      <c r="R580" s="3">
        <f t="shared" si="149"/>
        <v>0</v>
      </c>
      <c r="S580" s="5">
        <v>0</v>
      </c>
      <c r="T580" s="5">
        <v>0</v>
      </c>
      <c r="U580" s="5">
        <v>0</v>
      </c>
      <c r="V580" s="6">
        <f t="shared" si="150"/>
        <v>5219.8402934746364</v>
      </c>
    </row>
    <row r="581" spans="1:22" ht="25.15" customHeight="1" x14ac:dyDescent="0.25">
      <c r="A581" s="53" t="s">
        <v>1494</v>
      </c>
      <c r="B581" s="8" t="s">
        <v>636</v>
      </c>
      <c r="C581" s="2">
        <f t="shared" si="140"/>
        <v>132711.07999999999</v>
      </c>
      <c r="D581" s="3">
        <f t="shared" si="14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5">
        <v>0</v>
      </c>
      <c r="M581" s="5">
        <v>0</v>
      </c>
      <c r="N581" s="3">
        <f>M581*5500</f>
        <v>0</v>
      </c>
      <c r="O581" s="5">
        <v>0</v>
      </c>
      <c r="P581" s="5">
        <v>0</v>
      </c>
      <c r="Q581" s="5">
        <v>0</v>
      </c>
      <c r="R581" s="3">
        <f t="shared" si="149"/>
        <v>0</v>
      </c>
      <c r="S581" s="5">
        <v>0</v>
      </c>
      <c r="T581" s="5">
        <v>0</v>
      </c>
      <c r="U581" s="5">
        <v>132711.07999999999</v>
      </c>
      <c r="V581" s="6" t="e">
        <f t="shared" si="150"/>
        <v>#DIV/0!</v>
      </c>
    </row>
    <row r="582" spans="1:22" ht="25.15" customHeight="1" x14ac:dyDescent="0.25">
      <c r="A582" s="53" t="s">
        <v>1495</v>
      </c>
      <c r="B582" s="8" t="s">
        <v>541</v>
      </c>
      <c r="C582" s="2">
        <f t="shared" si="140"/>
        <v>3288010.0000000005</v>
      </c>
      <c r="D582" s="3">
        <f t="shared" si="14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5">
        <v>0</v>
      </c>
      <c r="M582" s="5">
        <v>597.82000000000005</v>
      </c>
      <c r="N582" s="3">
        <f>M582*5500</f>
        <v>3288010.0000000005</v>
      </c>
      <c r="O582" s="5">
        <v>0</v>
      </c>
      <c r="P582" s="5">
        <v>0</v>
      </c>
      <c r="Q582" s="5">
        <v>0</v>
      </c>
      <c r="R582" s="3">
        <f t="shared" si="149"/>
        <v>0</v>
      </c>
      <c r="S582" s="5">
        <v>0</v>
      </c>
      <c r="T582" s="5">
        <v>0</v>
      </c>
      <c r="U582" s="5">
        <v>0</v>
      </c>
      <c r="V582" s="6">
        <f t="shared" si="150"/>
        <v>5500</v>
      </c>
    </row>
    <row r="583" spans="1:22" ht="25.15" customHeight="1" x14ac:dyDescent="0.25">
      <c r="A583" s="53" t="s">
        <v>1496</v>
      </c>
      <c r="B583" s="23" t="s">
        <v>542</v>
      </c>
      <c r="C583" s="2">
        <f t="shared" ref="C583:C643" si="151">D583+L583+N583+P583+R583+S583+T583+U583</f>
        <v>3995087.78</v>
      </c>
      <c r="D583" s="3">
        <f t="shared" si="14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5">
        <v>0</v>
      </c>
      <c r="M583" s="5">
        <v>783.4</v>
      </c>
      <c r="N583" s="3">
        <v>3995087.78</v>
      </c>
      <c r="O583" s="5">
        <v>0</v>
      </c>
      <c r="P583" s="5">
        <v>0</v>
      </c>
      <c r="Q583" s="5">
        <v>0</v>
      </c>
      <c r="R583" s="3">
        <f t="shared" si="149"/>
        <v>0</v>
      </c>
      <c r="S583" s="5">
        <v>0</v>
      </c>
      <c r="T583" s="5">
        <v>0</v>
      </c>
      <c r="U583" s="5">
        <v>0</v>
      </c>
      <c r="V583" s="6">
        <f t="shared" si="150"/>
        <v>5099.6780444217511</v>
      </c>
    </row>
    <row r="584" spans="1:22" ht="25.15" customHeight="1" x14ac:dyDescent="0.25">
      <c r="A584" s="53" t="s">
        <v>1497</v>
      </c>
      <c r="B584" s="23" t="s">
        <v>543</v>
      </c>
      <c r="C584" s="2">
        <f t="shared" si="151"/>
        <v>4172139.48</v>
      </c>
      <c r="D584" s="3">
        <f t="shared" si="14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5">
        <v>0</v>
      </c>
      <c r="M584" s="5">
        <v>758.87</v>
      </c>
      <c r="N584" s="3">
        <v>4172139.48</v>
      </c>
      <c r="O584" s="5">
        <v>0</v>
      </c>
      <c r="P584" s="5">
        <v>0</v>
      </c>
      <c r="Q584" s="5">
        <v>0</v>
      </c>
      <c r="R584" s="3">
        <f t="shared" si="149"/>
        <v>0</v>
      </c>
      <c r="S584" s="5">
        <v>0</v>
      </c>
      <c r="T584" s="5">
        <v>0</v>
      </c>
      <c r="U584" s="5">
        <v>0</v>
      </c>
      <c r="V584" s="6">
        <f t="shared" si="150"/>
        <v>5497.8316180637003</v>
      </c>
    </row>
    <row r="585" spans="1:22" ht="25.15" customHeight="1" x14ac:dyDescent="0.25">
      <c r="A585" s="53" t="s">
        <v>1498</v>
      </c>
      <c r="B585" s="24" t="s">
        <v>881</v>
      </c>
      <c r="C585" s="2">
        <f t="shared" ref="C585:C588" si="152">D585+L585+N585+P585+R585+S585+T585+U585</f>
        <v>826594.88</v>
      </c>
      <c r="D585" s="3">
        <f t="shared" ref="D585:D588" si="153">SUM(E585:J585)</f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6" t="e">
        <f t="shared" ref="V585:V588" si="154">N585/M585</f>
        <v>#DIV/0!</v>
      </c>
    </row>
    <row r="586" spans="1:22" ht="25.15" customHeight="1" x14ac:dyDescent="0.25">
      <c r="A586" s="53" t="s">
        <v>1499</v>
      </c>
      <c r="B586" s="8" t="s">
        <v>377</v>
      </c>
      <c r="C586" s="2">
        <f t="shared" si="152"/>
        <v>1004444.74</v>
      </c>
      <c r="D586" s="3">
        <f t="shared" si="153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6" t="e">
        <f t="shared" si="154"/>
        <v>#DIV/0!</v>
      </c>
    </row>
    <row r="587" spans="1:22" ht="25.15" customHeight="1" x14ac:dyDescent="0.25">
      <c r="A587" s="53" t="s">
        <v>1500</v>
      </c>
      <c r="B587" s="24" t="s">
        <v>1221</v>
      </c>
      <c r="C587" s="2">
        <f t="shared" si="152"/>
        <v>699625.2</v>
      </c>
      <c r="D587" s="3">
        <f t="shared" si="153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6" t="e">
        <f t="shared" si="154"/>
        <v>#DIV/0!</v>
      </c>
    </row>
    <row r="588" spans="1:22" ht="25.15" customHeight="1" x14ac:dyDescent="0.25">
      <c r="A588" s="53" t="s">
        <v>1501</v>
      </c>
      <c r="B588" s="8" t="s">
        <v>395</v>
      </c>
      <c r="C588" s="2">
        <f t="shared" si="152"/>
        <v>651201.6</v>
      </c>
      <c r="D588" s="3">
        <f t="shared" si="153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6" t="e">
        <f t="shared" si="154"/>
        <v>#DIV/0!</v>
      </c>
    </row>
    <row r="589" spans="1:22" ht="25.15" customHeight="1" x14ac:dyDescent="0.25">
      <c r="A589" s="53" t="s">
        <v>1502</v>
      </c>
      <c r="B589" s="8" t="s">
        <v>544</v>
      </c>
      <c r="C589" s="2">
        <f t="shared" si="151"/>
        <v>8278334.7200000007</v>
      </c>
      <c r="D589" s="3">
        <f t="shared" si="14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2940</v>
      </c>
      <c r="R589" s="3">
        <v>7975676.4000000004</v>
      </c>
      <c r="S589" s="5">
        <v>0</v>
      </c>
      <c r="T589" s="5">
        <v>0</v>
      </c>
      <c r="U589" s="5">
        <v>302658.32</v>
      </c>
      <c r="V589" s="6" t="e">
        <f t="shared" si="150"/>
        <v>#DIV/0!</v>
      </c>
    </row>
    <row r="590" spans="1:22" ht="25.15" customHeight="1" x14ac:dyDescent="0.25">
      <c r="A590" s="53" t="s">
        <v>1503</v>
      </c>
      <c r="B590" s="8" t="s">
        <v>448</v>
      </c>
      <c r="C590" s="2">
        <f t="shared" si="151"/>
        <v>750416.4</v>
      </c>
      <c r="D590" s="3">
        <f>SUM(E590:J590)</f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6" t="e">
        <f t="shared" si="150"/>
        <v>#DIV/0!</v>
      </c>
    </row>
    <row r="591" spans="1:22" ht="25.15" customHeight="1" x14ac:dyDescent="0.25">
      <c r="A591" s="53" t="s">
        <v>1504</v>
      </c>
      <c r="B591" s="8" t="s">
        <v>371</v>
      </c>
      <c r="C591" s="2">
        <f>D591+L591+N591+P591+R591+S591+T591+U591</f>
        <v>424722.41</v>
      </c>
      <c r="D591" s="3">
        <f>SUM(E591:J591)</f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6" t="e">
        <f>N591/M591</f>
        <v>#DIV/0!</v>
      </c>
    </row>
    <row r="592" spans="1:22" ht="25.15" customHeight="1" x14ac:dyDescent="0.25">
      <c r="A592" s="53" t="s">
        <v>1505</v>
      </c>
      <c r="B592" s="23" t="s">
        <v>637</v>
      </c>
      <c r="C592" s="2">
        <f t="shared" si="151"/>
        <v>4639697.1399999997</v>
      </c>
      <c r="D592" s="3">
        <f t="shared" si="14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972</v>
      </c>
      <c r="N592" s="3">
        <v>4639697.1399999997</v>
      </c>
      <c r="O592" s="5">
        <v>0</v>
      </c>
      <c r="P592" s="5">
        <v>0</v>
      </c>
      <c r="Q592" s="5">
        <v>0</v>
      </c>
      <c r="R592" s="3">
        <f t="shared" si="149"/>
        <v>0</v>
      </c>
      <c r="S592" s="5">
        <v>0</v>
      </c>
      <c r="T592" s="5">
        <v>0</v>
      </c>
      <c r="U592" s="5">
        <v>0</v>
      </c>
      <c r="V592" s="6">
        <f t="shared" si="150"/>
        <v>4773.3509670781887</v>
      </c>
    </row>
    <row r="593" spans="1:22" ht="25.15" customHeight="1" x14ac:dyDescent="0.25">
      <c r="A593" s="53" t="s">
        <v>1506</v>
      </c>
      <c r="B593" s="8" t="s">
        <v>460</v>
      </c>
      <c r="C593" s="2">
        <f t="shared" si="151"/>
        <v>1897256</v>
      </c>
      <c r="D593" s="3">
        <f t="shared" si="14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9"/>
        <v>0</v>
      </c>
      <c r="S593" s="3">
        <v>0</v>
      </c>
      <c r="T593" s="5">
        <v>0</v>
      </c>
      <c r="U593" s="3">
        <v>0</v>
      </c>
      <c r="V593" s="6">
        <f t="shared" si="150"/>
        <v>4966.6387434554972</v>
      </c>
    </row>
    <row r="594" spans="1:22" ht="24.6" customHeight="1" x14ac:dyDescent="0.25">
      <c r="A594" s="53" t="s">
        <v>1507</v>
      </c>
      <c r="B594" s="8" t="s">
        <v>639</v>
      </c>
      <c r="C594" s="2">
        <f t="shared" si="151"/>
        <v>158458.43</v>
      </c>
      <c r="D594" s="3">
        <f t="shared" si="14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1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3">
        <f t="shared" si="149"/>
        <v>0</v>
      </c>
      <c r="S594" s="5">
        <v>0</v>
      </c>
      <c r="T594" s="5">
        <v>0</v>
      </c>
      <c r="U594" s="5">
        <v>158458.43</v>
      </c>
      <c r="V594" s="6" t="e">
        <f t="shared" si="150"/>
        <v>#DIV/0!</v>
      </c>
    </row>
    <row r="595" spans="1:22" ht="25.15" customHeight="1" x14ac:dyDescent="0.25">
      <c r="A595" s="53" t="s">
        <v>1508</v>
      </c>
      <c r="B595" s="8" t="s">
        <v>545</v>
      </c>
      <c r="C595" s="2">
        <f t="shared" si="151"/>
        <v>212386.04</v>
      </c>
      <c r="D595" s="3">
        <f t="shared" si="14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3">
        <f t="shared" si="149"/>
        <v>0</v>
      </c>
      <c r="S595" s="5">
        <v>0</v>
      </c>
      <c r="T595" s="5">
        <v>0</v>
      </c>
      <c r="U595" s="5">
        <v>212386.04</v>
      </c>
      <c r="V595" s="6" t="e">
        <f t="shared" si="150"/>
        <v>#DIV/0!</v>
      </c>
    </row>
    <row r="596" spans="1:22" ht="25.15" customHeight="1" x14ac:dyDescent="0.25">
      <c r="A596" s="53" t="s">
        <v>1509</v>
      </c>
      <c r="B596" s="8" t="s">
        <v>640</v>
      </c>
      <c r="C596" s="2">
        <f t="shared" si="151"/>
        <v>160243.18</v>
      </c>
      <c r="D596" s="3">
        <f t="shared" si="14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3">
        <f t="shared" si="149"/>
        <v>0</v>
      </c>
      <c r="S596" s="5">
        <v>0</v>
      </c>
      <c r="T596" s="5">
        <v>0</v>
      </c>
      <c r="U596" s="5">
        <v>160243.18</v>
      </c>
      <c r="V596" s="6" t="e">
        <f t="shared" si="150"/>
        <v>#DIV/0!</v>
      </c>
    </row>
    <row r="597" spans="1:22" ht="25.15" customHeight="1" x14ac:dyDescent="0.25">
      <c r="A597" s="53" t="s">
        <v>1510</v>
      </c>
      <c r="B597" s="8" t="s">
        <v>641</v>
      </c>
      <c r="C597" s="2">
        <f t="shared" si="151"/>
        <v>1083335.45</v>
      </c>
      <c r="D597" s="3">
        <f t="shared" si="14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1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3">
        <f t="shared" si="149"/>
        <v>0</v>
      </c>
      <c r="S597" s="5">
        <v>0</v>
      </c>
      <c r="T597" s="5">
        <v>0</v>
      </c>
      <c r="U597" s="5">
        <v>159774.65</v>
      </c>
      <c r="V597" s="6" t="e">
        <f t="shared" si="150"/>
        <v>#DIV/0!</v>
      </c>
    </row>
    <row r="598" spans="1:22" ht="25.15" customHeight="1" x14ac:dyDescent="0.25">
      <c r="A598" s="53" t="s">
        <v>1511</v>
      </c>
      <c r="B598" s="8" t="s">
        <v>546</v>
      </c>
      <c r="C598" s="2">
        <f t="shared" si="151"/>
        <v>87269.8</v>
      </c>
      <c r="D598" s="3">
        <f t="shared" si="14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0</v>
      </c>
      <c r="N598" s="3">
        <f>M598*5500</f>
        <v>0</v>
      </c>
      <c r="O598" s="5">
        <v>0</v>
      </c>
      <c r="P598" s="5">
        <v>0</v>
      </c>
      <c r="Q598" s="5">
        <v>0</v>
      </c>
      <c r="R598" s="3">
        <f t="shared" si="149"/>
        <v>0</v>
      </c>
      <c r="S598" s="5">
        <v>0</v>
      </c>
      <c r="T598" s="5">
        <v>0</v>
      </c>
      <c r="U598" s="5">
        <v>87269.8</v>
      </c>
      <c r="V598" s="6" t="e">
        <f t="shared" si="150"/>
        <v>#DIV/0!</v>
      </c>
    </row>
    <row r="599" spans="1:22" ht="25.15" customHeight="1" x14ac:dyDescent="0.25">
      <c r="A599" s="53" t="s">
        <v>1512</v>
      </c>
      <c r="B599" s="8" t="s">
        <v>642</v>
      </c>
      <c r="C599" s="2">
        <f t="shared" si="151"/>
        <v>1394305.44</v>
      </c>
      <c r="D599" s="3">
        <f t="shared" si="14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255.11</v>
      </c>
      <c r="N599" s="3">
        <v>1394305.44</v>
      </c>
      <c r="O599" s="5">
        <v>0</v>
      </c>
      <c r="P599" s="5">
        <v>0</v>
      </c>
      <c r="Q599" s="5">
        <v>0</v>
      </c>
      <c r="R599" s="3">
        <f t="shared" si="149"/>
        <v>0</v>
      </c>
      <c r="S599" s="5">
        <v>0</v>
      </c>
      <c r="T599" s="5">
        <v>0</v>
      </c>
      <c r="U599" s="5">
        <v>0</v>
      </c>
      <c r="V599" s="6">
        <f t="shared" si="150"/>
        <v>5465.5068009878087</v>
      </c>
    </row>
    <row r="600" spans="1:22" ht="25.15" customHeight="1" x14ac:dyDescent="0.25">
      <c r="A600" s="53" t="s">
        <v>1513</v>
      </c>
      <c r="B600" s="8" t="s">
        <v>547</v>
      </c>
      <c r="C600" s="2">
        <f t="shared" si="151"/>
        <v>1768084.63</v>
      </c>
      <c r="D600" s="3">
        <f t="shared" si="14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0</v>
      </c>
      <c r="L600" s="5">
        <v>0</v>
      </c>
      <c r="M600" s="5">
        <v>321.47000000000003</v>
      </c>
      <c r="N600" s="3">
        <v>1768084.63</v>
      </c>
      <c r="O600" s="5">
        <v>0</v>
      </c>
      <c r="P600" s="5">
        <v>0</v>
      </c>
      <c r="Q600" s="5">
        <v>0</v>
      </c>
      <c r="R600" s="3">
        <f t="shared" si="149"/>
        <v>0</v>
      </c>
      <c r="S600" s="5">
        <v>0</v>
      </c>
      <c r="T600" s="5">
        <v>0</v>
      </c>
      <c r="U600" s="5">
        <v>0</v>
      </c>
      <c r="V600" s="6">
        <f t="shared" si="150"/>
        <v>5499.9988490372343</v>
      </c>
    </row>
    <row r="601" spans="1:22" ht="25.9" customHeight="1" x14ac:dyDescent="0.25">
      <c r="A601" s="53" t="s">
        <v>1514</v>
      </c>
      <c r="B601" s="8" t="s">
        <v>450</v>
      </c>
      <c r="C601" s="2">
        <f t="shared" si="151"/>
        <v>3897065.38</v>
      </c>
      <c r="D601" s="3">
        <f>SUM(E601:J601)</f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6">
        <f t="shared" si="150"/>
        <v>4566.8378137670798</v>
      </c>
    </row>
    <row r="602" spans="1:22" ht="25.15" customHeight="1" x14ac:dyDescent="0.25">
      <c r="A602" s="53" t="s">
        <v>1515</v>
      </c>
      <c r="B602" s="8" t="s">
        <v>644</v>
      </c>
      <c r="C602" s="2">
        <f t="shared" si="151"/>
        <v>2279200</v>
      </c>
      <c r="D602" s="3">
        <f t="shared" si="14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5">
        <v>0</v>
      </c>
      <c r="M602" s="5">
        <v>414.4</v>
      </c>
      <c r="N602" s="3">
        <v>2279200</v>
      </c>
      <c r="O602" s="5">
        <v>0</v>
      </c>
      <c r="P602" s="5">
        <v>0</v>
      </c>
      <c r="Q602" s="5">
        <v>0</v>
      </c>
      <c r="R602" s="3">
        <f t="shared" si="149"/>
        <v>0</v>
      </c>
      <c r="S602" s="5">
        <v>0</v>
      </c>
      <c r="T602" s="5">
        <v>0</v>
      </c>
      <c r="U602" s="5">
        <v>0</v>
      </c>
      <c r="V602" s="6">
        <f t="shared" si="150"/>
        <v>5500</v>
      </c>
    </row>
    <row r="603" spans="1:22" ht="25.15" customHeight="1" x14ac:dyDescent="0.25">
      <c r="A603" s="53" t="s">
        <v>1516</v>
      </c>
      <c r="B603" s="24" t="s">
        <v>901</v>
      </c>
      <c r="C603" s="2">
        <f>D603+L603+N603+P603+R603+S603+T603+U603</f>
        <v>2310657</v>
      </c>
      <c r="D603" s="3">
        <f>SUM(E603:J603)</f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6">
        <f>N603/M603</f>
        <v>5009.0114892694555</v>
      </c>
    </row>
    <row r="604" spans="1:22" ht="25.15" customHeight="1" x14ac:dyDescent="0.25">
      <c r="A604" s="53" t="s">
        <v>1517</v>
      </c>
      <c r="B604" s="8" t="s">
        <v>421</v>
      </c>
      <c r="C604" s="2">
        <f>D604+L604+N604+P604+R604+S604+T604+U604</f>
        <v>5722137.5499999998</v>
      </c>
      <c r="D604" s="3">
        <f>SUM(E604:J604)</f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6" t="e">
        <f>N604/M604</f>
        <v>#DIV/0!</v>
      </c>
    </row>
    <row r="605" spans="1:22" ht="25.15" customHeight="1" x14ac:dyDescent="0.25">
      <c r="A605" s="53" t="s">
        <v>1518</v>
      </c>
      <c r="B605" s="8" t="s">
        <v>648</v>
      </c>
      <c r="C605" s="2">
        <f>D605+L605+N605+P605+R605+S605+T605+U605</f>
        <v>1341562.31</v>
      </c>
      <c r="D605" s="3">
        <f>SUM(E605:J605)</f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5">
        <v>0</v>
      </c>
      <c r="M605" s="5">
        <v>254.8</v>
      </c>
      <c r="N605" s="3">
        <v>1341562.31</v>
      </c>
      <c r="O605" s="5">
        <v>0</v>
      </c>
      <c r="P605" s="5">
        <v>0</v>
      </c>
      <c r="Q605" s="5">
        <v>0</v>
      </c>
      <c r="R605" s="3">
        <f>Q605*3000</f>
        <v>0</v>
      </c>
      <c r="S605" s="5">
        <v>0</v>
      </c>
      <c r="T605" s="5">
        <v>0</v>
      </c>
      <c r="U605" s="5">
        <v>0</v>
      </c>
      <c r="V605" s="6">
        <f>N605/M605</f>
        <v>5265.1582025117741</v>
      </c>
    </row>
    <row r="606" spans="1:22" ht="25.15" customHeight="1" x14ac:dyDescent="0.25">
      <c r="A606" s="53" t="s">
        <v>1519</v>
      </c>
      <c r="B606" s="8" t="s">
        <v>645</v>
      </c>
      <c r="C606" s="2">
        <f t="shared" si="151"/>
        <v>84898.94</v>
      </c>
      <c r="D606" s="3">
        <f t="shared" si="14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5">
        <v>0</v>
      </c>
      <c r="M606" s="5">
        <v>0</v>
      </c>
      <c r="N606" s="3">
        <v>0</v>
      </c>
      <c r="O606" s="5">
        <v>0</v>
      </c>
      <c r="P606" s="5">
        <v>0</v>
      </c>
      <c r="Q606" s="5">
        <v>0</v>
      </c>
      <c r="R606" s="3">
        <f t="shared" si="149"/>
        <v>0</v>
      </c>
      <c r="S606" s="5">
        <v>0</v>
      </c>
      <c r="T606" s="5">
        <v>0</v>
      </c>
      <c r="U606" s="5">
        <v>84898.94</v>
      </c>
      <c r="V606" s="6" t="e">
        <f t="shared" si="150"/>
        <v>#DIV/0!</v>
      </c>
    </row>
    <row r="607" spans="1:22" ht="25.15" customHeight="1" x14ac:dyDescent="0.25">
      <c r="A607" s="53" t="s">
        <v>1520</v>
      </c>
      <c r="B607" s="8" t="s">
        <v>646</v>
      </c>
      <c r="C607" s="2">
        <f t="shared" si="151"/>
        <v>1392424</v>
      </c>
      <c r="D607" s="3">
        <f t="shared" si="14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5">
        <v>0</v>
      </c>
      <c r="M607" s="5">
        <v>258.5</v>
      </c>
      <c r="N607" s="3">
        <v>1392424</v>
      </c>
      <c r="O607" s="5">
        <v>0</v>
      </c>
      <c r="P607" s="5">
        <v>0</v>
      </c>
      <c r="Q607" s="5">
        <v>0</v>
      </c>
      <c r="R607" s="3">
        <f t="shared" si="149"/>
        <v>0</v>
      </c>
      <c r="S607" s="5">
        <v>0</v>
      </c>
      <c r="T607" s="5">
        <v>0</v>
      </c>
      <c r="U607" s="5">
        <v>0</v>
      </c>
      <c r="V607" s="6">
        <f t="shared" si="150"/>
        <v>5386.5531914893618</v>
      </c>
    </row>
    <row r="608" spans="1:22" ht="25.15" customHeight="1" x14ac:dyDescent="0.25">
      <c r="A608" s="53" t="s">
        <v>1521</v>
      </c>
      <c r="B608" s="8" t="s">
        <v>647</v>
      </c>
      <c r="C608" s="2">
        <f t="shared" si="151"/>
        <v>1377172.24</v>
      </c>
      <c r="D608" s="3">
        <f t="shared" si="14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1">
        <v>0</v>
      </c>
      <c r="L608" s="5">
        <v>0</v>
      </c>
      <c r="M608" s="5">
        <v>258</v>
      </c>
      <c r="N608" s="3">
        <v>1377172.24</v>
      </c>
      <c r="O608" s="5">
        <v>0</v>
      </c>
      <c r="P608" s="5">
        <v>0</v>
      </c>
      <c r="Q608" s="5">
        <v>0</v>
      </c>
      <c r="R608" s="3">
        <f t="shared" si="149"/>
        <v>0</v>
      </c>
      <c r="S608" s="5">
        <v>0</v>
      </c>
      <c r="T608" s="5">
        <v>0</v>
      </c>
      <c r="U608" s="5">
        <v>0</v>
      </c>
      <c r="V608" s="6">
        <f t="shared" si="150"/>
        <v>5337.876899224806</v>
      </c>
    </row>
    <row r="609" spans="1:22" ht="25.15" customHeight="1" x14ac:dyDescent="0.25">
      <c r="A609" s="53" t="s">
        <v>1522</v>
      </c>
      <c r="B609" s="8" t="s">
        <v>556</v>
      </c>
      <c r="C609" s="2">
        <f>D609+L609+N609+P609+R609+S609+T609+U609</f>
        <v>2038405</v>
      </c>
      <c r="D609" s="3">
        <f>SUM(E609:J609)</f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1">
        <v>0</v>
      </c>
      <c r="L609" s="5">
        <v>0</v>
      </c>
      <c r="M609" s="5">
        <v>374.56</v>
      </c>
      <c r="N609" s="3">
        <v>2038405</v>
      </c>
      <c r="O609" s="5">
        <v>0</v>
      </c>
      <c r="P609" s="5">
        <v>0</v>
      </c>
      <c r="Q609" s="5">
        <v>0</v>
      </c>
      <c r="R609" s="3">
        <f>Q609*3000</f>
        <v>0</v>
      </c>
      <c r="S609" s="5">
        <v>0</v>
      </c>
      <c r="T609" s="5">
        <v>0</v>
      </c>
      <c r="U609" s="5">
        <v>0</v>
      </c>
      <c r="V609" s="6">
        <f>N609/M609</f>
        <v>5442.1321016659549</v>
      </c>
    </row>
    <row r="610" spans="1:22" ht="25.15" customHeight="1" x14ac:dyDescent="0.25">
      <c r="A610" s="53" t="s">
        <v>1523</v>
      </c>
      <c r="B610" s="8" t="s">
        <v>557</v>
      </c>
      <c r="C610" s="2">
        <f>D610+L610+N610+P610+R610+S610+T610+U610</f>
        <v>2076196</v>
      </c>
      <c r="D610" s="3">
        <f>SUM(E610:J610)</f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377.63</v>
      </c>
      <c r="N610" s="3">
        <v>2076196</v>
      </c>
      <c r="O610" s="5">
        <v>0</v>
      </c>
      <c r="P610" s="5">
        <v>0</v>
      </c>
      <c r="Q610" s="5">
        <v>0</v>
      </c>
      <c r="R610" s="3">
        <f>Q610*3000</f>
        <v>0</v>
      </c>
      <c r="S610" s="5">
        <v>0</v>
      </c>
      <c r="T610" s="5">
        <v>0</v>
      </c>
      <c r="U610" s="5">
        <v>0</v>
      </c>
      <c r="V610" s="6">
        <f>N610/M610</f>
        <v>5497.9636151788791</v>
      </c>
    </row>
    <row r="611" spans="1:22" ht="25.15" customHeight="1" x14ac:dyDescent="0.25">
      <c r="A611" s="53" t="s">
        <v>1524</v>
      </c>
      <c r="B611" s="8" t="s">
        <v>549</v>
      </c>
      <c r="C611" s="2">
        <f t="shared" si="151"/>
        <v>2326115</v>
      </c>
      <c r="D611" s="3">
        <f t="shared" si="14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5">
        <v>0</v>
      </c>
      <c r="M611" s="5">
        <v>434.8</v>
      </c>
      <c r="N611" s="3">
        <v>2326115</v>
      </c>
      <c r="O611" s="5">
        <v>0</v>
      </c>
      <c r="P611" s="5">
        <v>0</v>
      </c>
      <c r="Q611" s="5">
        <v>0</v>
      </c>
      <c r="R611" s="3">
        <f t="shared" si="149"/>
        <v>0</v>
      </c>
      <c r="S611" s="5">
        <v>0</v>
      </c>
      <c r="T611" s="5">
        <v>0</v>
      </c>
      <c r="U611" s="5">
        <v>0</v>
      </c>
      <c r="V611" s="6">
        <f t="shared" si="150"/>
        <v>5349.8505059797608</v>
      </c>
    </row>
    <row r="612" spans="1:22" ht="25.15" customHeight="1" x14ac:dyDescent="0.25">
      <c r="A612" s="53" t="s">
        <v>1525</v>
      </c>
      <c r="B612" s="8" t="s">
        <v>649</v>
      </c>
      <c r="C612" s="2">
        <f t="shared" si="151"/>
        <v>84299.839999999997</v>
      </c>
      <c r="D612" s="3">
        <f t="shared" si="14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5">
        <v>0</v>
      </c>
      <c r="M612" s="5">
        <v>0</v>
      </c>
      <c r="N612" s="3">
        <f>M612*5500</f>
        <v>0</v>
      </c>
      <c r="O612" s="5">
        <v>0</v>
      </c>
      <c r="P612" s="5">
        <v>0</v>
      </c>
      <c r="Q612" s="5">
        <v>0</v>
      </c>
      <c r="R612" s="3">
        <f t="shared" si="149"/>
        <v>0</v>
      </c>
      <c r="S612" s="5">
        <v>0</v>
      </c>
      <c r="T612" s="5">
        <v>0</v>
      </c>
      <c r="U612" s="5">
        <v>84299.839999999997</v>
      </c>
      <c r="V612" s="6" t="e">
        <f t="shared" si="150"/>
        <v>#DIV/0!</v>
      </c>
    </row>
    <row r="613" spans="1:22" ht="25.15" customHeight="1" x14ac:dyDescent="0.25">
      <c r="A613" s="53" t="s">
        <v>1526</v>
      </c>
      <c r="B613" s="8" t="s">
        <v>650</v>
      </c>
      <c r="C613" s="2">
        <f t="shared" si="151"/>
        <v>82469.55</v>
      </c>
      <c r="D613" s="3">
        <f t="shared" si="14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0</v>
      </c>
      <c r="N613" s="3">
        <f>M613*5500</f>
        <v>0</v>
      </c>
      <c r="O613" s="5">
        <v>0</v>
      </c>
      <c r="P613" s="5">
        <v>0</v>
      </c>
      <c r="Q613" s="5">
        <v>0</v>
      </c>
      <c r="R613" s="3">
        <f t="shared" si="149"/>
        <v>0</v>
      </c>
      <c r="S613" s="5">
        <v>0</v>
      </c>
      <c r="T613" s="5">
        <v>0</v>
      </c>
      <c r="U613" s="5">
        <v>82469.55</v>
      </c>
      <c r="V613" s="6" t="e">
        <f t="shared" si="150"/>
        <v>#DIV/0!</v>
      </c>
    </row>
    <row r="614" spans="1:22" ht="25.15" customHeight="1" x14ac:dyDescent="0.25">
      <c r="A614" s="53" t="s">
        <v>1527</v>
      </c>
      <c r="B614" s="8" t="s">
        <v>651</v>
      </c>
      <c r="C614" s="2">
        <f t="shared" si="151"/>
        <v>83697.460000000006</v>
      </c>
      <c r="D614" s="3">
        <f t="shared" si="14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0</v>
      </c>
      <c r="N614" s="3">
        <f>M614*5500</f>
        <v>0</v>
      </c>
      <c r="O614" s="5">
        <v>0</v>
      </c>
      <c r="P614" s="5">
        <v>0</v>
      </c>
      <c r="Q614" s="5">
        <v>0</v>
      </c>
      <c r="R614" s="3">
        <f t="shared" si="149"/>
        <v>0</v>
      </c>
      <c r="S614" s="5">
        <v>0</v>
      </c>
      <c r="T614" s="5">
        <v>0</v>
      </c>
      <c r="U614" s="5">
        <v>83697.460000000006</v>
      </c>
      <c r="V614" s="6" t="e">
        <f t="shared" si="150"/>
        <v>#DIV/0!</v>
      </c>
    </row>
    <row r="615" spans="1:22" ht="25.15" customHeight="1" x14ac:dyDescent="0.25">
      <c r="A615" s="53" t="s">
        <v>1528</v>
      </c>
      <c r="B615" s="8" t="s">
        <v>652</v>
      </c>
      <c r="C615" s="2">
        <f t="shared" si="151"/>
        <v>1805462.52</v>
      </c>
      <c r="D615" s="3">
        <f t="shared" si="14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399</v>
      </c>
      <c r="N615" s="3">
        <v>1805462.52</v>
      </c>
      <c r="O615" s="5">
        <v>0</v>
      </c>
      <c r="P615" s="5">
        <v>0</v>
      </c>
      <c r="Q615" s="5">
        <v>0</v>
      </c>
      <c r="R615" s="3">
        <f t="shared" si="149"/>
        <v>0</v>
      </c>
      <c r="S615" s="5">
        <v>0</v>
      </c>
      <c r="T615" s="5">
        <v>0</v>
      </c>
      <c r="U615" s="5">
        <v>0</v>
      </c>
      <c r="V615" s="6">
        <f t="shared" si="150"/>
        <v>4524.968721804511</v>
      </c>
    </row>
    <row r="616" spans="1:22" ht="25.15" customHeight="1" x14ac:dyDescent="0.25">
      <c r="A616" s="53" t="s">
        <v>1529</v>
      </c>
      <c r="B616" s="8" t="s">
        <v>550</v>
      </c>
      <c r="C616" s="2">
        <f t="shared" si="151"/>
        <v>1149196.3999999999</v>
      </c>
      <c r="D616" s="3">
        <f t="shared" si="14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245.22</v>
      </c>
      <c r="N616" s="3">
        <v>1149196.3999999999</v>
      </c>
      <c r="O616" s="5">
        <v>0</v>
      </c>
      <c r="P616" s="5">
        <v>0</v>
      </c>
      <c r="Q616" s="5">
        <v>0</v>
      </c>
      <c r="R616" s="3">
        <f t="shared" si="149"/>
        <v>0</v>
      </c>
      <c r="S616" s="5">
        <v>0</v>
      </c>
      <c r="T616" s="5">
        <v>0</v>
      </c>
      <c r="U616" s="5">
        <v>0</v>
      </c>
      <c r="V616" s="6">
        <f t="shared" si="150"/>
        <v>4686.3893646521483</v>
      </c>
    </row>
    <row r="617" spans="1:22" ht="25.15" customHeight="1" x14ac:dyDescent="0.25">
      <c r="A617" s="53" t="s">
        <v>1530</v>
      </c>
      <c r="B617" s="8" t="s">
        <v>551</v>
      </c>
      <c r="C617" s="2">
        <f t="shared" si="151"/>
        <v>1221124.1200000001</v>
      </c>
      <c r="D617" s="3">
        <f t="shared" ref="D617:D626" si="155">SUM(E617:J617)</f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243</v>
      </c>
      <c r="N617" s="3">
        <v>1221124.1200000001</v>
      </c>
      <c r="O617" s="5">
        <v>0</v>
      </c>
      <c r="P617" s="5">
        <v>0</v>
      </c>
      <c r="Q617" s="5">
        <v>0</v>
      </c>
      <c r="R617" s="3">
        <f t="shared" si="149"/>
        <v>0</v>
      </c>
      <c r="S617" s="5">
        <v>0</v>
      </c>
      <c r="T617" s="5">
        <v>0</v>
      </c>
      <c r="U617" s="5">
        <v>0</v>
      </c>
      <c r="V617" s="6">
        <f t="shared" si="150"/>
        <v>5025.2021399176956</v>
      </c>
    </row>
    <row r="618" spans="1:22" ht="25.15" customHeight="1" x14ac:dyDescent="0.25">
      <c r="A618" s="53" t="s">
        <v>1531</v>
      </c>
      <c r="B618" s="8" t="s">
        <v>552</v>
      </c>
      <c r="C618" s="2">
        <f t="shared" si="151"/>
        <v>1247989</v>
      </c>
      <c r="D618" s="3">
        <f t="shared" si="155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226.92</v>
      </c>
      <c r="N618" s="3">
        <v>1247989</v>
      </c>
      <c r="O618" s="5">
        <v>0</v>
      </c>
      <c r="P618" s="5">
        <v>0</v>
      </c>
      <c r="Q618" s="5">
        <v>0</v>
      </c>
      <c r="R618" s="3">
        <f t="shared" ref="R618:R626" si="156">Q618*3000</f>
        <v>0</v>
      </c>
      <c r="S618" s="5">
        <v>0</v>
      </c>
      <c r="T618" s="5">
        <v>0</v>
      </c>
      <c r="U618" s="5">
        <v>0</v>
      </c>
      <c r="V618" s="6">
        <f t="shared" ref="V618:V626" si="157">N618/M618</f>
        <v>5499.6871144015513</v>
      </c>
    </row>
    <row r="619" spans="1:22" ht="25.15" customHeight="1" x14ac:dyDescent="0.25">
      <c r="A619" s="53" t="s">
        <v>1532</v>
      </c>
      <c r="B619" s="8" t="s">
        <v>553</v>
      </c>
      <c r="C619" s="2">
        <f t="shared" si="151"/>
        <v>1332902.3999999999</v>
      </c>
      <c r="D619" s="3">
        <f t="shared" si="15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1">
        <v>0</v>
      </c>
      <c r="L619" s="5">
        <v>0</v>
      </c>
      <c r="M619" s="5">
        <v>242.88</v>
      </c>
      <c r="N619" s="3">
        <v>1332902.3999999999</v>
      </c>
      <c r="O619" s="5">
        <v>0</v>
      </c>
      <c r="P619" s="5">
        <v>0</v>
      </c>
      <c r="Q619" s="5">
        <v>0</v>
      </c>
      <c r="R619" s="3">
        <f t="shared" si="156"/>
        <v>0</v>
      </c>
      <c r="S619" s="5">
        <v>0</v>
      </c>
      <c r="T619" s="5">
        <v>0</v>
      </c>
      <c r="U619" s="5">
        <v>0</v>
      </c>
      <c r="V619" s="6">
        <f t="shared" si="157"/>
        <v>5487.905138339921</v>
      </c>
    </row>
    <row r="620" spans="1:22" ht="25.15" customHeight="1" x14ac:dyDescent="0.25">
      <c r="A620" s="53" t="s">
        <v>1533</v>
      </c>
      <c r="B620" s="8" t="s">
        <v>554</v>
      </c>
      <c r="C620" s="2">
        <f t="shared" si="151"/>
        <v>1366174.4</v>
      </c>
      <c r="D620" s="3">
        <f t="shared" si="15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5">
        <v>0</v>
      </c>
      <c r="M620" s="5">
        <v>252.01</v>
      </c>
      <c r="N620" s="3">
        <v>1366174.4</v>
      </c>
      <c r="O620" s="5">
        <v>0</v>
      </c>
      <c r="P620" s="5">
        <v>0</v>
      </c>
      <c r="Q620" s="5">
        <v>0</v>
      </c>
      <c r="R620" s="3">
        <f t="shared" si="156"/>
        <v>0</v>
      </c>
      <c r="S620" s="5">
        <v>0</v>
      </c>
      <c r="T620" s="5">
        <v>0</v>
      </c>
      <c r="U620" s="5">
        <v>0</v>
      </c>
      <c r="V620" s="6">
        <f t="shared" si="157"/>
        <v>5421.1118606404507</v>
      </c>
    </row>
    <row r="621" spans="1:22" ht="25.15" customHeight="1" x14ac:dyDescent="0.25">
      <c r="A621" s="53" t="s">
        <v>1534</v>
      </c>
      <c r="B621" s="8" t="s">
        <v>555</v>
      </c>
      <c r="C621" s="2">
        <f t="shared" si="151"/>
        <v>1283749.17</v>
      </c>
      <c r="D621" s="3">
        <f t="shared" si="15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5">
        <v>0</v>
      </c>
      <c r="M621" s="5">
        <v>254.27</v>
      </c>
      <c r="N621" s="3">
        <v>1283749.17</v>
      </c>
      <c r="O621" s="5">
        <v>0</v>
      </c>
      <c r="P621" s="5">
        <v>0</v>
      </c>
      <c r="Q621" s="5">
        <v>0</v>
      </c>
      <c r="R621" s="3">
        <f t="shared" si="156"/>
        <v>0</v>
      </c>
      <c r="S621" s="5">
        <v>0</v>
      </c>
      <c r="T621" s="5">
        <v>0</v>
      </c>
      <c r="U621" s="5">
        <v>0</v>
      </c>
      <c r="V621" s="6">
        <f t="shared" si="157"/>
        <v>5048.763794391788</v>
      </c>
    </row>
    <row r="622" spans="1:22" ht="25.15" customHeight="1" x14ac:dyDescent="0.25">
      <c r="A622" s="53" t="s">
        <v>1535</v>
      </c>
      <c r="B622" s="8" t="s">
        <v>558</v>
      </c>
      <c r="C622" s="2">
        <f t="shared" si="151"/>
        <v>1481150</v>
      </c>
      <c r="D622" s="3">
        <f t="shared" si="15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5">
        <v>0</v>
      </c>
      <c r="M622" s="5">
        <v>269.3</v>
      </c>
      <c r="N622" s="3">
        <v>1481150</v>
      </c>
      <c r="O622" s="5">
        <v>0</v>
      </c>
      <c r="P622" s="5">
        <v>0</v>
      </c>
      <c r="Q622" s="5">
        <v>0</v>
      </c>
      <c r="R622" s="3">
        <f t="shared" si="156"/>
        <v>0</v>
      </c>
      <c r="S622" s="5">
        <v>0</v>
      </c>
      <c r="T622" s="5">
        <v>0</v>
      </c>
      <c r="U622" s="5">
        <v>0</v>
      </c>
      <c r="V622" s="6">
        <f t="shared" si="157"/>
        <v>5500</v>
      </c>
    </row>
    <row r="623" spans="1:22" ht="25.15" customHeight="1" x14ac:dyDescent="0.25">
      <c r="A623" s="53" t="s">
        <v>1536</v>
      </c>
      <c r="B623" s="8" t="s">
        <v>559</v>
      </c>
      <c r="C623" s="2">
        <f t="shared" si="151"/>
        <v>1481150</v>
      </c>
      <c r="D623" s="3">
        <f t="shared" si="15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269.3</v>
      </c>
      <c r="N623" s="3">
        <v>1481150</v>
      </c>
      <c r="O623" s="5">
        <v>0</v>
      </c>
      <c r="P623" s="5">
        <v>0</v>
      </c>
      <c r="Q623" s="5">
        <v>0</v>
      </c>
      <c r="R623" s="3">
        <f t="shared" si="156"/>
        <v>0</v>
      </c>
      <c r="S623" s="5">
        <v>0</v>
      </c>
      <c r="T623" s="5">
        <v>0</v>
      </c>
      <c r="U623" s="5">
        <v>0</v>
      </c>
      <c r="V623" s="6">
        <f t="shared" si="157"/>
        <v>5500</v>
      </c>
    </row>
    <row r="624" spans="1:22" ht="25.15" customHeight="1" x14ac:dyDescent="0.25">
      <c r="A624" s="53" t="s">
        <v>1537</v>
      </c>
      <c r="B624" s="8" t="s">
        <v>560</v>
      </c>
      <c r="C624" s="2">
        <f t="shared" si="151"/>
        <v>108614.95</v>
      </c>
      <c r="D624" s="3">
        <f t="shared" si="15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5">
        <v>0</v>
      </c>
      <c r="M624" s="5">
        <v>0</v>
      </c>
      <c r="N624" s="3">
        <f>M624*5500</f>
        <v>0</v>
      </c>
      <c r="O624" s="5">
        <v>0</v>
      </c>
      <c r="P624" s="5">
        <v>0</v>
      </c>
      <c r="Q624" s="5">
        <v>0</v>
      </c>
      <c r="R624" s="3">
        <f t="shared" si="156"/>
        <v>0</v>
      </c>
      <c r="S624" s="5">
        <v>0</v>
      </c>
      <c r="T624" s="5">
        <v>0</v>
      </c>
      <c r="U624" s="5">
        <v>108614.95</v>
      </c>
      <c r="V624" s="6" t="e">
        <f t="shared" si="157"/>
        <v>#DIV/0!</v>
      </c>
    </row>
    <row r="625" spans="1:22" ht="25.15" customHeight="1" x14ac:dyDescent="0.25">
      <c r="A625" s="53" t="s">
        <v>1538</v>
      </c>
      <c r="B625" s="8" t="s">
        <v>561</v>
      </c>
      <c r="C625" s="2">
        <f t="shared" si="151"/>
        <v>2207036.4</v>
      </c>
      <c r="D625" s="3">
        <f t="shared" si="15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427.81</v>
      </c>
      <c r="N625" s="3">
        <v>2207036.4</v>
      </c>
      <c r="O625" s="5">
        <v>0</v>
      </c>
      <c r="P625" s="5">
        <v>0</v>
      </c>
      <c r="Q625" s="5">
        <v>0</v>
      </c>
      <c r="R625" s="3">
        <f t="shared" si="156"/>
        <v>0</v>
      </c>
      <c r="S625" s="5">
        <v>0</v>
      </c>
      <c r="T625" s="5">
        <v>0</v>
      </c>
      <c r="U625" s="5">
        <v>0</v>
      </c>
      <c r="V625" s="6">
        <f t="shared" si="157"/>
        <v>5158.9172763610013</v>
      </c>
    </row>
    <row r="626" spans="1:22" ht="25.15" customHeight="1" x14ac:dyDescent="0.25">
      <c r="A626" s="53" t="s">
        <v>1539</v>
      </c>
      <c r="B626" s="8" t="s">
        <v>562</v>
      </c>
      <c r="C626" s="2">
        <f t="shared" si="151"/>
        <v>2305975.2000000002</v>
      </c>
      <c r="D626" s="3">
        <f t="shared" si="15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5">
        <v>0</v>
      </c>
      <c r="M626" s="5">
        <v>435.4</v>
      </c>
      <c r="N626" s="3">
        <v>2305975.2000000002</v>
      </c>
      <c r="O626" s="5">
        <v>0</v>
      </c>
      <c r="P626" s="5">
        <v>0</v>
      </c>
      <c r="Q626" s="5">
        <v>0</v>
      </c>
      <c r="R626" s="3">
        <f t="shared" si="156"/>
        <v>0</v>
      </c>
      <c r="S626" s="5">
        <v>0</v>
      </c>
      <c r="T626" s="5">
        <v>0</v>
      </c>
      <c r="U626" s="5">
        <v>0</v>
      </c>
      <c r="V626" s="6">
        <f t="shared" si="157"/>
        <v>5296.2223242994951</v>
      </c>
    </row>
    <row r="627" spans="1:22" ht="45" customHeight="1" x14ac:dyDescent="0.25">
      <c r="A627" s="54" t="s">
        <v>276</v>
      </c>
      <c r="B627" s="54"/>
      <c r="C627" s="2">
        <f>SUM(C628:C629)</f>
        <v>7196671.2599999998</v>
      </c>
      <c r="D627" s="2">
        <f t="shared" ref="D627:U627" si="158">SUM(D628:D629)</f>
        <v>0</v>
      </c>
      <c r="E627" s="2">
        <f t="shared" si="158"/>
        <v>0</v>
      </c>
      <c r="F627" s="2">
        <f t="shared" si="158"/>
        <v>0</v>
      </c>
      <c r="G627" s="2">
        <f t="shared" si="158"/>
        <v>0</v>
      </c>
      <c r="H627" s="2">
        <f t="shared" si="158"/>
        <v>0</v>
      </c>
      <c r="I627" s="2">
        <f t="shared" si="158"/>
        <v>0</v>
      </c>
      <c r="J627" s="2">
        <f t="shared" si="158"/>
        <v>0</v>
      </c>
      <c r="K627" s="14">
        <f t="shared" si="158"/>
        <v>0</v>
      </c>
      <c r="L627" s="2">
        <f t="shared" si="158"/>
        <v>0</v>
      </c>
      <c r="M627" s="2">
        <f t="shared" si="158"/>
        <v>780.3599999999999</v>
      </c>
      <c r="N627" s="2">
        <f t="shared" si="158"/>
        <v>3994802.4</v>
      </c>
      <c r="O627" s="2">
        <f t="shared" si="158"/>
        <v>0</v>
      </c>
      <c r="P627" s="2">
        <f t="shared" si="158"/>
        <v>0</v>
      </c>
      <c r="Q627" s="2">
        <f t="shared" si="158"/>
        <v>1148.27</v>
      </c>
      <c r="R627" s="2">
        <f t="shared" si="158"/>
        <v>3146931.6</v>
      </c>
      <c r="S627" s="2">
        <f t="shared" si="158"/>
        <v>0</v>
      </c>
      <c r="T627" s="2">
        <f t="shared" si="158"/>
        <v>0</v>
      </c>
      <c r="U627" s="2">
        <f t="shared" si="158"/>
        <v>54937.259999999995</v>
      </c>
    </row>
    <row r="628" spans="1:22" ht="25.15" customHeight="1" x14ac:dyDescent="0.25">
      <c r="A628" s="37" t="s">
        <v>1540</v>
      </c>
      <c r="B628" s="8" t="s">
        <v>277</v>
      </c>
      <c r="C628" s="2">
        <f t="shared" si="151"/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5">
        <v>0</v>
      </c>
      <c r="P628" s="5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6">
        <f>N628/M628</f>
        <v>5021.4722928317233</v>
      </c>
    </row>
    <row r="629" spans="1:22" ht="25.15" customHeight="1" x14ac:dyDescent="0.25">
      <c r="A629" s="37" t="s">
        <v>1541</v>
      </c>
      <c r="B629" s="8" t="s">
        <v>278</v>
      </c>
      <c r="C629" s="2">
        <f t="shared" si="151"/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5">
        <v>0</v>
      </c>
      <c r="P629" s="5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6">
        <f>N629/M629</f>
        <v>5218.5114740541658</v>
      </c>
    </row>
    <row r="630" spans="1:22" ht="45" customHeight="1" x14ac:dyDescent="0.25">
      <c r="A630" s="54" t="s">
        <v>930</v>
      </c>
      <c r="B630" s="54"/>
      <c r="C630" s="2">
        <f>SUM(C631)</f>
        <v>3692623.6</v>
      </c>
      <c r="D630" s="2">
        <f t="shared" ref="D630:U630" si="159">SUM(D631)</f>
        <v>1005841.2</v>
      </c>
      <c r="E630" s="2">
        <f t="shared" si="159"/>
        <v>223650</v>
      </c>
      <c r="F630" s="2">
        <f t="shared" si="159"/>
        <v>670950</v>
      </c>
      <c r="G630" s="2">
        <f t="shared" si="159"/>
        <v>43770.6</v>
      </c>
      <c r="H630" s="2">
        <f t="shared" si="159"/>
        <v>0</v>
      </c>
      <c r="I630" s="2">
        <f t="shared" si="159"/>
        <v>67470.600000000006</v>
      </c>
      <c r="J630" s="2">
        <f t="shared" si="159"/>
        <v>0</v>
      </c>
      <c r="K630" s="14">
        <f t="shared" si="159"/>
        <v>0</v>
      </c>
      <c r="L630" s="2">
        <f t="shared" si="159"/>
        <v>0</v>
      </c>
      <c r="M630" s="2">
        <f t="shared" si="159"/>
        <v>312.7</v>
      </c>
      <c r="N630" s="2">
        <f t="shared" si="159"/>
        <v>1029731.4</v>
      </c>
      <c r="O630" s="2">
        <f t="shared" si="159"/>
        <v>0</v>
      </c>
      <c r="P630" s="2">
        <f t="shared" si="159"/>
        <v>0</v>
      </c>
      <c r="Q630" s="2">
        <f t="shared" si="159"/>
        <v>642</v>
      </c>
      <c r="R630" s="2">
        <f t="shared" si="159"/>
        <v>1557051</v>
      </c>
      <c r="S630" s="2">
        <f t="shared" si="159"/>
        <v>0</v>
      </c>
      <c r="T630" s="2">
        <f t="shared" si="159"/>
        <v>0</v>
      </c>
      <c r="U630" s="2">
        <f t="shared" si="159"/>
        <v>100000</v>
      </c>
    </row>
    <row r="631" spans="1:22" ht="25.15" customHeight="1" x14ac:dyDescent="0.25">
      <c r="A631" s="37" t="s">
        <v>1542</v>
      </c>
      <c r="B631" s="8" t="s">
        <v>931</v>
      </c>
      <c r="C631" s="2">
        <f t="shared" si="151"/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5">
        <v>0</v>
      </c>
      <c r="P631" s="5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6">
        <f>N631/M631</f>
        <v>3293.032938919092</v>
      </c>
    </row>
    <row r="632" spans="1:22" ht="45" customHeight="1" x14ac:dyDescent="0.25">
      <c r="A632" s="54" t="s">
        <v>281</v>
      </c>
      <c r="B632" s="54"/>
      <c r="C632" s="2">
        <f>SUM(C633:C634)</f>
        <v>7269961.7799999993</v>
      </c>
      <c r="D632" s="2">
        <f t="shared" ref="D632:U632" si="160">SUM(D633:D634)</f>
        <v>297080</v>
      </c>
      <c r="E632" s="2">
        <f t="shared" si="160"/>
        <v>297080</v>
      </c>
      <c r="F632" s="2">
        <f t="shared" si="160"/>
        <v>0</v>
      </c>
      <c r="G632" s="2">
        <f t="shared" si="160"/>
        <v>0</v>
      </c>
      <c r="H632" s="2">
        <f t="shared" si="160"/>
        <v>0</v>
      </c>
      <c r="I632" s="2">
        <f t="shared" si="160"/>
        <v>0</v>
      </c>
      <c r="J632" s="2">
        <f t="shared" si="160"/>
        <v>0</v>
      </c>
      <c r="K632" s="14">
        <f t="shared" si="160"/>
        <v>0</v>
      </c>
      <c r="L632" s="2">
        <f t="shared" si="160"/>
        <v>0</v>
      </c>
      <c r="M632" s="2">
        <f t="shared" si="160"/>
        <v>686.8</v>
      </c>
      <c r="N632" s="2">
        <f t="shared" si="160"/>
        <v>3777400</v>
      </c>
      <c r="O632" s="2">
        <f t="shared" si="160"/>
        <v>0</v>
      </c>
      <c r="P632" s="2">
        <f t="shared" si="160"/>
        <v>0</v>
      </c>
      <c r="Q632" s="2">
        <f t="shared" si="160"/>
        <v>1054.5</v>
      </c>
      <c r="R632" s="2">
        <f t="shared" si="160"/>
        <v>3043500</v>
      </c>
      <c r="S632" s="2">
        <f t="shared" si="160"/>
        <v>0</v>
      </c>
      <c r="T632" s="2">
        <f t="shared" si="160"/>
        <v>0</v>
      </c>
      <c r="U632" s="2">
        <f t="shared" si="160"/>
        <v>151981.78</v>
      </c>
    </row>
    <row r="633" spans="1:22" ht="25.15" customHeight="1" x14ac:dyDescent="0.25">
      <c r="A633" s="37" t="s">
        <v>1543</v>
      </c>
      <c r="B633" s="8" t="s">
        <v>284</v>
      </c>
      <c r="C633" s="2">
        <f t="shared" si="151"/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6">
        <f>N633/M633</f>
        <v>5500</v>
      </c>
    </row>
    <row r="634" spans="1:22" ht="25.15" customHeight="1" x14ac:dyDescent="0.25">
      <c r="A634" s="37" t="s">
        <v>1544</v>
      </c>
      <c r="B634" s="8" t="s">
        <v>285</v>
      </c>
      <c r="C634" s="2">
        <f t="shared" si="151"/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6">
        <f>N634/M634</f>
        <v>5500</v>
      </c>
    </row>
    <row r="635" spans="1:22" ht="45" customHeight="1" x14ac:dyDescent="0.25">
      <c r="A635" s="54" t="s">
        <v>286</v>
      </c>
      <c r="B635" s="54"/>
      <c r="C635" s="2">
        <f>SUM(C636:C644)</f>
        <v>18230771.170000002</v>
      </c>
      <c r="D635" s="2">
        <f t="shared" ref="D635:U635" si="161">SUM(D636:D644)</f>
        <v>892956.8</v>
      </c>
      <c r="E635" s="2">
        <f t="shared" si="161"/>
        <v>545139.19999999995</v>
      </c>
      <c r="F635" s="2">
        <f t="shared" si="161"/>
        <v>347817.6</v>
      </c>
      <c r="G635" s="2">
        <f t="shared" si="161"/>
        <v>0</v>
      </c>
      <c r="H635" s="2">
        <f t="shared" si="161"/>
        <v>0</v>
      </c>
      <c r="I635" s="2">
        <f t="shared" si="161"/>
        <v>0</v>
      </c>
      <c r="J635" s="2">
        <f t="shared" si="161"/>
        <v>0</v>
      </c>
      <c r="K635" s="14">
        <f t="shared" si="161"/>
        <v>0</v>
      </c>
      <c r="L635" s="2">
        <f t="shared" si="161"/>
        <v>0</v>
      </c>
      <c r="M635" s="2">
        <f t="shared" si="161"/>
        <v>2121.3700000000003</v>
      </c>
      <c r="N635" s="2">
        <f t="shared" si="161"/>
        <v>10511789.57</v>
      </c>
      <c r="O635" s="2">
        <f t="shared" si="161"/>
        <v>0</v>
      </c>
      <c r="P635" s="2">
        <f t="shared" si="161"/>
        <v>0</v>
      </c>
      <c r="Q635" s="2">
        <f t="shared" si="161"/>
        <v>2194.44</v>
      </c>
      <c r="R635" s="2">
        <f t="shared" si="161"/>
        <v>6416203.2000000002</v>
      </c>
      <c r="S635" s="2">
        <f t="shared" si="161"/>
        <v>0</v>
      </c>
      <c r="T635" s="2">
        <f t="shared" si="161"/>
        <v>0</v>
      </c>
      <c r="U635" s="2">
        <f t="shared" si="161"/>
        <v>409821.6</v>
      </c>
    </row>
    <row r="636" spans="1:22" ht="25.15" customHeight="1" x14ac:dyDescent="0.25">
      <c r="A636" s="37" t="s">
        <v>1545</v>
      </c>
      <c r="B636" s="8" t="s">
        <v>287</v>
      </c>
      <c r="C636" s="2">
        <f t="shared" si="151"/>
        <v>1766970.54</v>
      </c>
      <c r="D636" s="3">
        <f t="shared" ref="D636:D643" si="16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 t="shared" ref="R636:R640" si="163">Q636*3000</f>
        <v>0</v>
      </c>
      <c r="S636" s="3">
        <v>0</v>
      </c>
      <c r="T636" s="3">
        <v>0</v>
      </c>
      <c r="U636" s="3">
        <v>0</v>
      </c>
      <c r="V636" s="6">
        <f t="shared" ref="V636:V643" si="164">N636/M636</f>
        <v>4839.556681548027</v>
      </c>
    </row>
    <row r="637" spans="1:22" ht="25.15" customHeight="1" x14ac:dyDescent="0.25">
      <c r="A637" s="37" t="s">
        <v>1546</v>
      </c>
      <c r="B637" s="8" t="s">
        <v>288</v>
      </c>
      <c r="C637" s="2">
        <f t="shared" si="151"/>
        <v>1828658.93</v>
      </c>
      <c r="D637" s="3">
        <f t="shared" si="16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 t="shared" si="163"/>
        <v>0</v>
      </c>
      <c r="S637" s="3">
        <v>0</v>
      </c>
      <c r="T637" s="3">
        <v>0</v>
      </c>
      <c r="U637" s="3">
        <v>0</v>
      </c>
      <c r="V637" s="6">
        <f t="shared" si="164"/>
        <v>4888.4167290419164</v>
      </c>
    </row>
    <row r="638" spans="1:22" ht="25.15" customHeight="1" x14ac:dyDescent="0.25">
      <c r="A638" s="37" t="s">
        <v>1547</v>
      </c>
      <c r="B638" s="8" t="s">
        <v>292</v>
      </c>
      <c r="C638" s="2">
        <f t="shared" si="151"/>
        <v>50765.18</v>
      </c>
      <c r="D638" s="3">
        <f t="shared" si="16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6" t="e">
        <f t="shared" si="164"/>
        <v>#DIV/0!</v>
      </c>
    </row>
    <row r="639" spans="1:22" ht="25.15" customHeight="1" x14ac:dyDescent="0.25">
      <c r="A639" s="37" t="s">
        <v>1548</v>
      </c>
      <c r="B639" s="8" t="s">
        <v>293</v>
      </c>
      <c r="C639" s="2">
        <f t="shared" si="151"/>
        <v>3752911.46</v>
      </c>
      <c r="D639" s="3">
        <f t="shared" si="16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6">
        <f t="shared" si="164"/>
        <v>5417.0488188976378</v>
      </c>
    </row>
    <row r="640" spans="1:22" ht="25.15" customHeight="1" x14ac:dyDescent="0.25">
      <c r="A640" s="37" t="s">
        <v>1549</v>
      </c>
      <c r="B640" s="8" t="s">
        <v>294</v>
      </c>
      <c r="C640" s="2">
        <f t="shared" si="151"/>
        <v>1982366</v>
      </c>
      <c r="D640" s="3">
        <f t="shared" si="16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 t="shared" si="163"/>
        <v>0</v>
      </c>
      <c r="S640" s="3">
        <v>0</v>
      </c>
      <c r="T640" s="3">
        <v>0</v>
      </c>
      <c r="U640" s="3">
        <v>0</v>
      </c>
      <c r="V640" s="6">
        <f t="shared" si="164"/>
        <v>5217.0272119585243</v>
      </c>
    </row>
    <row r="641" spans="1:22" ht="25.15" customHeight="1" x14ac:dyDescent="0.25">
      <c r="A641" s="37" t="s">
        <v>1550</v>
      </c>
      <c r="B641" s="8" t="s">
        <v>295</v>
      </c>
      <c r="C641" s="2">
        <f>D641+L641+N641+P641+R641+S641+T641+U641</f>
        <v>3756358.76</v>
      </c>
      <c r="D641" s="3">
        <f>SUM(E641:J641)</f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6">
        <f>N641/M641</f>
        <v>4584.5023104104375</v>
      </c>
    </row>
    <row r="642" spans="1:22" ht="25.15" customHeight="1" x14ac:dyDescent="0.25">
      <c r="A642" s="37" t="s">
        <v>1551</v>
      </c>
      <c r="B642" s="8" t="s">
        <v>296</v>
      </c>
      <c r="C642" s="2">
        <f t="shared" si="151"/>
        <v>1985045.6199999999</v>
      </c>
      <c r="D642" s="3">
        <f t="shared" si="16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6" t="e">
        <f t="shared" si="164"/>
        <v>#DIV/0!</v>
      </c>
    </row>
    <row r="643" spans="1:22" ht="25.15" customHeight="1" x14ac:dyDescent="0.25">
      <c r="A643" s="37" t="s">
        <v>1552</v>
      </c>
      <c r="B643" s="8" t="s">
        <v>298</v>
      </c>
      <c r="C643" s="2">
        <f t="shared" si="151"/>
        <v>1924434.58</v>
      </c>
      <c r="D643" s="3">
        <f t="shared" si="16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6" t="e">
        <f t="shared" si="164"/>
        <v>#DIV/0!</v>
      </c>
    </row>
    <row r="644" spans="1:22" ht="25.15" customHeight="1" x14ac:dyDescent="0.25">
      <c r="A644" s="37" t="s">
        <v>1553</v>
      </c>
      <c r="B644" s="8" t="s">
        <v>297</v>
      </c>
      <c r="C644" s="2">
        <f>D644+L644+N644+P644+R644+S644+T644+U644</f>
        <v>1183260.1000000001</v>
      </c>
      <c r="D644" s="3">
        <f>SUM(E644:J644)</f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6">
        <f>N644/M644</f>
        <v>4671.3782076589023</v>
      </c>
    </row>
    <row r="645" spans="1:22" ht="45" customHeight="1" x14ac:dyDescent="0.25">
      <c r="A645" s="57" t="s">
        <v>309</v>
      </c>
      <c r="B645" s="58"/>
      <c r="C645" s="2">
        <f>SUM(C646)</f>
        <v>2061214.01</v>
      </c>
      <c r="D645" s="2">
        <f t="shared" ref="D645:U645" si="165">SUM(D646:D646)</f>
        <v>0</v>
      </c>
      <c r="E645" s="2">
        <f t="shared" si="165"/>
        <v>0</v>
      </c>
      <c r="F645" s="2">
        <f t="shared" si="165"/>
        <v>0</v>
      </c>
      <c r="G645" s="2">
        <f t="shared" si="165"/>
        <v>0</v>
      </c>
      <c r="H645" s="2">
        <f t="shared" si="165"/>
        <v>0</v>
      </c>
      <c r="I645" s="2">
        <f t="shared" si="165"/>
        <v>0</v>
      </c>
      <c r="J645" s="2">
        <f t="shared" si="165"/>
        <v>0</v>
      </c>
      <c r="K645" s="14">
        <f t="shared" si="165"/>
        <v>0</v>
      </c>
      <c r="L645" s="2">
        <f t="shared" si="165"/>
        <v>0</v>
      </c>
      <c r="M645" s="2">
        <f t="shared" si="165"/>
        <v>198.82</v>
      </c>
      <c r="N645" s="2">
        <f t="shared" si="165"/>
        <v>1093510</v>
      </c>
      <c r="O645" s="2">
        <f t="shared" si="165"/>
        <v>0</v>
      </c>
      <c r="P645" s="2">
        <f t="shared" si="165"/>
        <v>0</v>
      </c>
      <c r="Q645" s="2">
        <f t="shared" si="165"/>
        <v>306</v>
      </c>
      <c r="R645" s="2">
        <f t="shared" si="165"/>
        <v>918000</v>
      </c>
      <c r="S645" s="2">
        <f t="shared" si="165"/>
        <v>0</v>
      </c>
      <c r="T645" s="2">
        <f t="shared" si="165"/>
        <v>0</v>
      </c>
      <c r="U645" s="2">
        <f t="shared" si="165"/>
        <v>49704.01</v>
      </c>
    </row>
    <row r="646" spans="1:22" ht="25.15" customHeight="1" x14ac:dyDescent="0.25">
      <c r="A646" s="36" t="s">
        <v>1554</v>
      </c>
      <c r="B646" s="8" t="s">
        <v>311</v>
      </c>
      <c r="C646" s="2">
        <f>D646+L646+N646+P646+R646+S646+T646+U646</f>
        <v>2061214.01</v>
      </c>
      <c r="D646" s="3">
        <f>SUM(E646:J646)</f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11">
        <v>0</v>
      </c>
      <c r="L646" s="5">
        <v>0</v>
      </c>
      <c r="M646" s="5">
        <v>198.82</v>
      </c>
      <c r="N646" s="3">
        <v>1093510</v>
      </c>
      <c r="O646" s="5">
        <v>0</v>
      </c>
      <c r="P646" s="5">
        <v>0</v>
      </c>
      <c r="Q646" s="5">
        <v>306</v>
      </c>
      <c r="R646" s="3">
        <v>918000</v>
      </c>
      <c r="S646" s="5">
        <v>0</v>
      </c>
      <c r="T646" s="5">
        <v>0</v>
      </c>
      <c r="U646" s="3">
        <v>49704.01</v>
      </c>
      <c r="V646" s="6">
        <f>N646/M646</f>
        <v>5500</v>
      </c>
    </row>
    <row r="647" spans="1:22" ht="45" customHeight="1" x14ac:dyDescent="0.25">
      <c r="A647" s="54" t="s">
        <v>321</v>
      </c>
      <c r="B647" s="54"/>
      <c r="C647" s="2">
        <f>SUM(C648:C650)</f>
        <v>11345698.74</v>
      </c>
      <c r="D647" s="2">
        <f t="shared" ref="D647:U647" si="166">SUM(D648:D650)</f>
        <v>275796</v>
      </c>
      <c r="E647" s="2">
        <f t="shared" si="166"/>
        <v>275796</v>
      </c>
      <c r="F647" s="2">
        <f t="shared" si="166"/>
        <v>0</v>
      </c>
      <c r="G647" s="2">
        <f t="shared" si="166"/>
        <v>0</v>
      </c>
      <c r="H647" s="2">
        <f t="shared" si="166"/>
        <v>0</v>
      </c>
      <c r="I647" s="2">
        <f t="shared" si="166"/>
        <v>0</v>
      </c>
      <c r="J647" s="2">
        <f t="shared" si="166"/>
        <v>0</v>
      </c>
      <c r="K647" s="14">
        <f t="shared" si="166"/>
        <v>0</v>
      </c>
      <c r="L647" s="2">
        <f t="shared" si="166"/>
        <v>0</v>
      </c>
      <c r="M647" s="2">
        <f t="shared" si="166"/>
        <v>1633.31</v>
      </c>
      <c r="N647" s="2">
        <f t="shared" si="166"/>
        <v>8891853</v>
      </c>
      <c r="O647" s="2">
        <f t="shared" si="166"/>
        <v>0</v>
      </c>
      <c r="P647" s="2">
        <f t="shared" si="166"/>
        <v>0</v>
      </c>
      <c r="Q647" s="2">
        <f t="shared" si="166"/>
        <v>716.78</v>
      </c>
      <c r="R647" s="2">
        <f t="shared" si="166"/>
        <v>2123192.4</v>
      </c>
      <c r="S647" s="2">
        <f t="shared" si="166"/>
        <v>0</v>
      </c>
      <c r="T647" s="2">
        <f t="shared" si="166"/>
        <v>0</v>
      </c>
      <c r="U647" s="2">
        <f t="shared" si="166"/>
        <v>54857.34</v>
      </c>
    </row>
    <row r="648" spans="1:22" ht="25.15" customHeight="1" x14ac:dyDescent="0.25">
      <c r="A648" s="37" t="s">
        <v>1555</v>
      </c>
      <c r="B648" s="8" t="s">
        <v>322</v>
      </c>
      <c r="C648" s="2">
        <f t="shared" ref="C648:C675" si="167"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6">
        <f>N648/M648</f>
        <v>5500.0000000000009</v>
      </c>
    </row>
    <row r="649" spans="1:22" ht="25.15" customHeight="1" x14ac:dyDescent="0.25">
      <c r="A649" s="37" t="s">
        <v>1556</v>
      </c>
      <c r="B649" s="8" t="s">
        <v>824</v>
      </c>
      <c r="C649" s="2">
        <f t="shared" si="167"/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6">
        <f>N649/M649</f>
        <v>5500</v>
      </c>
    </row>
    <row r="650" spans="1:22" ht="25.15" customHeight="1" x14ac:dyDescent="0.25">
      <c r="A650" s="37" t="s">
        <v>1557</v>
      </c>
      <c r="B650" s="8" t="s">
        <v>323</v>
      </c>
      <c r="C650" s="2">
        <f t="shared" si="167"/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6">
        <f>N650/M650</f>
        <v>5247.3672566371679</v>
      </c>
    </row>
    <row r="651" spans="1:22" ht="45" customHeight="1" x14ac:dyDescent="0.25">
      <c r="A651" s="54" t="s">
        <v>325</v>
      </c>
      <c r="B651" s="54"/>
      <c r="C651" s="2">
        <f>SUM(C652)</f>
        <v>135975.51999999999</v>
      </c>
      <c r="D651" s="2">
        <f t="shared" ref="D651:U651" si="168">SUM(D652)</f>
        <v>0</v>
      </c>
      <c r="E651" s="2">
        <f t="shared" si="168"/>
        <v>0</v>
      </c>
      <c r="F651" s="2">
        <f t="shared" si="168"/>
        <v>0</v>
      </c>
      <c r="G651" s="2">
        <f t="shared" si="168"/>
        <v>0</v>
      </c>
      <c r="H651" s="2">
        <f t="shared" si="168"/>
        <v>0</v>
      </c>
      <c r="I651" s="2">
        <f t="shared" si="168"/>
        <v>0</v>
      </c>
      <c r="J651" s="2">
        <f t="shared" si="168"/>
        <v>0</v>
      </c>
      <c r="K651" s="14">
        <f t="shared" si="168"/>
        <v>0</v>
      </c>
      <c r="L651" s="2">
        <f t="shared" si="168"/>
        <v>0</v>
      </c>
      <c r="M651" s="2">
        <f t="shared" si="168"/>
        <v>0</v>
      </c>
      <c r="N651" s="2">
        <f t="shared" si="168"/>
        <v>0</v>
      </c>
      <c r="O651" s="2">
        <f t="shared" si="168"/>
        <v>0</v>
      </c>
      <c r="P651" s="2">
        <f t="shared" si="168"/>
        <v>0</v>
      </c>
      <c r="Q651" s="2">
        <f t="shared" si="168"/>
        <v>0</v>
      </c>
      <c r="R651" s="2">
        <f t="shared" si="168"/>
        <v>0</v>
      </c>
      <c r="S651" s="2">
        <f t="shared" si="168"/>
        <v>0</v>
      </c>
      <c r="T651" s="2">
        <f t="shared" si="168"/>
        <v>0</v>
      </c>
      <c r="U651" s="2">
        <f t="shared" si="168"/>
        <v>135975.51999999999</v>
      </c>
    </row>
    <row r="652" spans="1:22" ht="25.15" customHeight="1" x14ac:dyDescent="0.25">
      <c r="A652" s="37" t="s">
        <v>1558</v>
      </c>
      <c r="B652" s="1" t="s">
        <v>326</v>
      </c>
      <c r="C652" s="2">
        <f t="shared" si="167"/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6" t="e">
        <f>N652/M652</f>
        <v>#DIV/0!</v>
      </c>
    </row>
    <row r="653" spans="1:22" ht="35.1" customHeight="1" x14ac:dyDescent="0.25">
      <c r="A653" s="54" t="s">
        <v>328</v>
      </c>
      <c r="B653" s="54"/>
      <c r="C653" s="2">
        <f>SUM(C654)</f>
        <v>3360251.39</v>
      </c>
      <c r="D653" s="2">
        <f t="shared" ref="D653:U653" si="169">SUM(D654)</f>
        <v>210542.89</v>
      </c>
      <c r="E653" s="2">
        <f t="shared" si="169"/>
        <v>210542.89</v>
      </c>
      <c r="F653" s="2">
        <f t="shared" si="169"/>
        <v>0</v>
      </c>
      <c r="G653" s="2">
        <f t="shared" si="169"/>
        <v>0</v>
      </c>
      <c r="H653" s="2">
        <f t="shared" si="169"/>
        <v>0</v>
      </c>
      <c r="I653" s="2">
        <f t="shared" si="169"/>
        <v>0</v>
      </c>
      <c r="J653" s="2">
        <f t="shared" si="169"/>
        <v>0</v>
      </c>
      <c r="K653" s="14">
        <f t="shared" si="169"/>
        <v>0</v>
      </c>
      <c r="L653" s="2">
        <f t="shared" si="169"/>
        <v>0</v>
      </c>
      <c r="M653" s="2">
        <f t="shared" si="169"/>
        <v>372</v>
      </c>
      <c r="N653" s="2">
        <f t="shared" si="169"/>
        <v>1857992.69</v>
      </c>
      <c r="O653" s="2">
        <f t="shared" si="169"/>
        <v>0</v>
      </c>
      <c r="P653" s="2">
        <f t="shared" si="169"/>
        <v>0</v>
      </c>
      <c r="Q653" s="2">
        <f t="shared" si="169"/>
        <v>449.2</v>
      </c>
      <c r="R653" s="2">
        <f t="shared" si="169"/>
        <v>1170166</v>
      </c>
      <c r="S653" s="2">
        <f t="shared" si="169"/>
        <v>0</v>
      </c>
      <c r="T653" s="2">
        <f t="shared" si="169"/>
        <v>0</v>
      </c>
      <c r="U653" s="2">
        <f t="shared" si="169"/>
        <v>121549.81</v>
      </c>
      <c r="V653" s="18">
        <f>C653</f>
        <v>3360251.39</v>
      </c>
    </row>
    <row r="654" spans="1:22" ht="24.6" customHeight="1" x14ac:dyDescent="0.25">
      <c r="A654" s="36" t="s">
        <v>1559</v>
      </c>
      <c r="B654" s="8" t="s">
        <v>329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5">
        <v>0</v>
      </c>
      <c r="M654" s="5">
        <v>372</v>
      </c>
      <c r="N654" s="3">
        <v>1857992.69</v>
      </c>
      <c r="O654" s="5">
        <v>0</v>
      </c>
      <c r="P654" s="5">
        <v>0</v>
      </c>
      <c r="Q654" s="5">
        <v>449.2</v>
      </c>
      <c r="R654" s="5">
        <v>1170166</v>
      </c>
      <c r="S654" s="5">
        <v>0</v>
      </c>
      <c r="T654" s="5">
        <v>0</v>
      </c>
      <c r="U654" s="5">
        <v>121549.81</v>
      </c>
      <c r="V654" s="6">
        <f>N654/M654</f>
        <v>4994.6040053763436</v>
      </c>
    </row>
    <row r="655" spans="1:22" ht="45" customHeight="1" x14ac:dyDescent="0.25">
      <c r="A655" s="54" t="s">
        <v>330</v>
      </c>
      <c r="B655" s="54"/>
      <c r="C655" s="2">
        <f>SUM(C656:C657)</f>
        <v>23757056.829999998</v>
      </c>
      <c r="D655" s="2">
        <f t="shared" ref="D655:U655" si="170">SUM(D656:D657)</f>
        <v>1892872.09</v>
      </c>
      <c r="E655" s="2">
        <f t="shared" si="170"/>
        <v>639576.05000000005</v>
      </c>
      <c r="F655" s="2">
        <f t="shared" si="170"/>
        <v>945793.27</v>
      </c>
      <c r="G655" s="2">
        <f t="shared" si="170"/>
        <v>106304.81</v>
      </c>
      <c r="H655" s="2">
        <f t="shared" si="170"/>
        <v>120763.15</v>
      </c>
      <c r="I655" s="2">
        <f t="shared" si="170"/>
        <v>80434.81</v>
      </c>
      <c r="J655" s="2">
        <f t="shared" si="170"/>
        <v>0</v>
      </c>
      <c r="K655" s="14">
        <f t="shared" si="170"/>
        <v>0</v>
      </c>
      <c r="L655" s="2">
        <f t="shared" si="170"/>
        <v>0</v>
      </c>
      <c r="M655" s="2">
        <f t="shared" si="170"/>
        <v>1921.59</v>
      </c>
      <c r="N655" s="2">
        <f t="shared" si="170"/>
        <v>10567276.800000001</v>
      </c>
      <c r="O655" s="2">
        <f t="shared" si="170"/>
        <v>0</v>
      </c>
      <c r="P655" s="2">
        <f t="shared" si="170"/>
        <v>0</v>
      </c>
      <c r="Q655" s="2">
        <f t="shared" si="170"/>
        <v>4702.6499999999996</v>
      </c>
      <c r="R655" s="2">
        <f t="shared" si="170"/>
        <v>11164609.199999999</v>
      </c>
      <c r="S655" s="2">
        <f t="shared" si="170"/>
        <v>0</v>
      </c>
      <c r="T655" s="2">
        <f t="shared" si="170"/>
        <v>0</v>
      </c>
      <c r="U655" s="2">
        <f t="shared" si="170"/>
        <v>132298.74</v>
      </c>
    </row>
    <row r="656" spans="1:22" ht="25.15" customHeight="1" x14ac:dyDescent="0.25">
      <c r="A656" s="37" t="s">
        <v>1560</v>
      </c>
      <c r="B656" s="8" t="s">
        <v>811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6" t="e">
        <f>N656/M656</f>
        <v>#DIV/0!</v>
      </c>
    </row>
    <row r="657" spans="1:22" ht="25.15" customHeight="1" x14ac:dyDescent="0.25">
      <c r="A657" s="37" t="s">
        <v>1561</v>
      </c>
      <c r="B657" s="8" t="s">
        <v>331</v>
      </c>
      <c r="C657" s="2">
        <f t="shared" si="167"/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6">
        <f>N657/M657</f>
        <v>5499.2359452328546</v>
      </c>
    </row>
    <row r="658" spans="1:22" ht="45" customHeight="1" x14ac:dyDescent="0.25">
      <c r="A658" s="54" t="s">
        <v>1002</v>
      </c>
      <c r="B658" s="54"/>
      <c r="C658" s="2">
        <f>SUM(C659:C671)</f>
        <v>60563369.990000002</v>
      </c>
      <c r="D658" s="2">
        <f t="shared" ref="D658:U658" si="171">SUM(D659:D671)</f>
        <v>8654544.8000000007</v>
      </c>
      <c r="E658" s="2">
        <f t="shared" si="171"/>
        <v>1420077</v>
      </c>
      <c r="F658" s="2">
        <f t="shared" si="171"/>
        <v>5745657</v>
      </c>
      <c r="G658" s="2">
        <f t="shared" si="171"/>
        <v>421925.6</v>
      </c>
      <c r="H658" s="2">
        <f t="shared" si="171"/>
        <v>0</v>
      </c>
      <c r="I658" s="2">
        <f t="shared" si="171"/>
        <v>1066885.2</v>
      </c>
      <c r="J658" s="2">
        <f t="shared" si="171"/>
        <v>0</v>
      </c>
      <c r="K658" s="14">
        <f t="shared" si="171"/>
        <v>6</v>
      </c>
      <c r="L658" s="2">
        <f t="shared" si="171"/>
        <v>10694764.24</v>
      </c>
      <c r="M658" s="2">
        <f t="shared" si="171"/>
        <v>2731.3</v>
      </c>
      <c r="N658" s="2">
        <f t="shared" si="171"/>
        <v>14673068.85</v>
      </c>
      <c r="O658" s="2">
        <f t="shared" si="171"/>
        <v>0</v>
      </c>
      <c r="P658" s="2">
        <f t="shared" si="171"/>
        <v>0</v>
      </c>
      <c r="Q658" s="2">
        <f t="shared" si="171"/>
        <v>8620.5</v>
      </c>
      <c r="R658" s="2">
        <f t="shared" si="171"/>
        <v>24698198.800000001</v>
      </c>
      <c r="S658" s="2">
        <f t="shared" si="171"/>
        <v>0</v>
      </c>
      <c r="T658" s="2">
        <f t="shared" si="171"/>
        <v>0</v>
      </c>
      <c r="U658" s="2">
        <f t="shared" si="171"/>
        <v>1842793.3</v>
      </c>
    </row>
    <row r="659" spans="1:22" ht="25.15" customHeight="1" x14ac:dyDescent="0.25">
      <c r="A659" s="37" t="s">
        <v>1562</v>
      </c>
      <c r="B659" s="8" t="s">
        <v>898</v>
      </c>
      <c r="C659" s="2">
        <f t="shared" si="167"/>
        <v>4279515.25</v>
      </c>
      <c r="D659" s="3">
        <f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5">
        <v>823.6</v>
      </c>
      <c r="N659" s="5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6">
        <f t="shared" ref="V659:V671" si="172">N659/M659</f>
        <v>5196.1088513841669</v>
      </c>
    </row>
    <row r="660" spans="1:22" ht="24.6" customHeight="1" x14ac:dyDescent="0.25">
      <c r="A660" s="37" t="s">
        <v>1563</v>
      </c>
      <c r="B660" s="8" t="s">
        <v>343</v>
      </c>
      <c r="C660" s="2">
        <f t="shared" si="167"/>
        <v>2982065.3200000003</v>
      </c>
      <c r="D660" s="3">
        <f t="shared" ref="D660:D669" si="173">SUM(E660:J660)</f>
        <v>681004.8</v>
      </c>
      <c r="E660" s="3">
        <v>0</v>
      </c>
      <c r="F660" s="3">
        <v>522819.6</v>
      </c>
      <c r="G660" s="3">
        <v>56740.800000000003</v>
      </c>
      <c r="H660" s="3">
        <f t="shared" ref="H660:H1178" si="174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6" t="e">
        <f t="shared" si="172"/>
        <v>#DIV/0!</v>
      </c>
    </row>
    <row r="661" spans="1:22" ht="25.15" customHeight="1" x14ac:dyDescent="0.25">
      <c r="A661" s="37" t="s">
        <v>1564</v>
      </c>
      <c r="B661" s="8" t="s">
        <v>344</v>
      </c>
      <c r="C661" s="2">
        <f t="shared" si="167"/>
        <v>2995278.7800000003</v>
      </c>
      <c r="D661" s="3">
        <f t="shared" si="173"/>
        <v>711931.20000000007</v>
      </c>
      <c r="E661" s="3">
        <v>0</v>
      </c>
      <c r="F661" s="3">
        <v>534177.6</v>
      </c>
      <c r="G661" s="3">
        <v>60562.8</v>
      </c>
      <c r="H661" s="3">
        <f t="shared" si="174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6" t="e">
        <f t="shared" si="172"/>
        <v>#DIV/0!</v>
      </c>
    </row>
    <row r="662" spans="1:22" ht="25.15" customHeight="1" x14ac:dyDescent="0.25">
      <c r="A662" s="37" t="s">
        <v>1565</v>
      </c>
      <c r="B662" s="8" t="s">
        <v>345</v>
      </c>
      <c r="C662" s="2">
        <f t="shared" si="167"/>
        <v>2276052.2199999997</v>
      </c>
      <c r="D662" s="3">
        <f t="shared" si="173"/>
        <v>0</v>
      </c>
      <c r="E662" s="3">
        <v>0</v>
      </c>
      <c r="F662" s="3">
        <v>0</v>
      </c>
      <c r="G662" s="3">
        <v>0</v>
      </c>
      <c r="H662" s="3">
        <f t="shared" si="174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 t="shared" ref="N662:N664" si="175"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6" t="e">
        <f t="shared" si="172"/>
        <v>#DIV/0!</v>
      </c>
    </row>
    <row r="663" spans="1:22" ht="25.15" customHeight="1" x14ac:dyDescent="0.25">
      <c r="A663" s="37" t="s">
        <v>1566</v>
      </c>
      <c r="B663" s="8" t="s">
        <v>346</v>
      </c>
      <c r="C663" s="2">
        <f t="shared" si="167"/>
        <v>2263189.4299999997</v>
      </c>
      <c r="D663" s="3">
        <f t="shared" si="173"/>
        <v>0</v>
      </c>
      <c r="E663" s="3">
        <v>0</v>
      </c>
      <c r="F663" s="3">
        <v>0</v>
      </c>
      <c r="G663" s="3">
        <v>0</v>
      </c>
      <c r="H663" s="3">
        <f t="shared" si="174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 t="shared" si="175"/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6" t="e">
        <f t="shared" si="172"/>
        <v>#DIV/0!</v>
      </c>
    </row>
    <row r="664" spans="1:22" ht="25.15" customHeight="1" x14ac:dyDescent="0.25">
      <c r="A664" s="37" t="s">
        <v>1567</v>
      </c>
      <c r="B664" s="8" t="s">
        <v>347</v>
      </c>
      <c r="C664" s="2">
        <f t="shared" si="167"/>
        <v>2616397.7299999995</v>
      </c>
      <c r="D664" s="3">
        <f t="shared" si="173"/>
        <v>281860.8</v>
      </c>
      <c r="E664" s="3">
        <v>0</v>
      </c>
      <c r="F664" s="3">
        <v>281860.8</v>
      </c>
      <c r="G664" s="3">
        <v>0</v>
      </c>
      <c r="H664" s="3">
        <f t="shared" si="174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 t="shared" si="175"/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6" t="e">
        <f t="shared" si="172"/>
        <v>#DIV/0!</v>
      </c>
    </row>
    <row r="665" spans="1:22" ht="25.15" customHeight="1" x14ac:dyDescent="0.25">
      <c r="A665" s="37" t="s">
        <v>1568</v>
      </c>
      <c r="B665" s="8" t="s">
        <v>349</v>
      </c>
      <c r="C665" s="2">
        <f t="shared" si="167"/>
        <v>1847307.2</v>
      </c>
      <c r="D665" s="3">
        <f t="shared" si="173"/>
        <v>617104</v>
      </c>
      <c r="E665" s="3">
        <f>350*458.6</f>
        <v>160510</v>
      </c>
      <c r="F665" s="3">
        <v>456594</v>
      </c>
      <c r="G665" s="3">
        <v>0</v>
      </c>
      <c r="H665" s="3">
        <f>400*0</f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6" t="e">
        <f t="shared" si="172"/>
        <v>#DIV/0!</v>
      </c>
    </row>
    <row r="666" spans="1:22" ht="25.15" customHeight="1" x14ac:dyDescent="0.25">
      <c r="A666" s="37" t="s">
        <v>1569</v>
      </c>
      <c r="B666" s="8" t="s">
        <v>350</v>
      </c>
      <c r="C666" s="2">
        <f t="shared" si="167"/>
        <v>2132641.04</v>
      </c>
      <c r="D666" s="3">
        <f t="shared" si="173"/>
        <v>0</v>
      </c>
      <c r="E666" s="3">
        <v>0</v>
      </c>
      <c r="F666" s="3">
        <v>0</v>
      </c>
      <c r="G666" s="3">
        <v>0</v>
      </c>
      <c r="H666" s="3">
        <f>400*0</f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6" t="e">
        <f t="shared" si="172"/>
        <v>#DIV/0!</v>
      </c>
    </row>
    <row r="667" spans="1:22" ht="25.15" customHeight="1" x14ac:dyDescent="0.25">
      <c r="A667" s="37" t="s">
        <v>1570</v>
      </c>
      <c r="B667" s="8" t="s">
        <v>351</v>
      </c>
      <c r="C667" s="2">
        <f t="shared" si="167"/>
        <v>12333260.310000001</v>
      </c>
      <c r="D667" s="3">
        <f t="shared" si="173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6">
        <f t="shared" si="172"/>
        <v>5499.0865951742626</v>
      </c>
    </row>
    <row r="668" spans="1:22" ht="24.6" customHeight="1" x14ac:dyDescent="0.25">
      <c r="A668" s="37" t="s">
        <v>1571</v>
      </c>
      <c r="B668" s="8" t="s">
        <v>352</v>
      </c>
      <c r="C668" s="2">
        <f t="shared" si="167"/>
        <v>3878279.6</v>
      </c>
      <c r="D668" s="3">
        <f t="shared" si="173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6">
        <f t="shared" si="172"/>
        <v>5289.2360263607516</v>
      </c>
    </row>
    <row r="669" spans="1:22" ht="25.15" customHeight="1" x14ac:dyDescent="0.25">
      <c r="A669" s="37" t="s">
        <v>1572</v>
      </c>
      <c r="B669" s="8" t="s">
        <v>353</v>
      </c>
      <c r="C669" s="2">
        <f t="shared" si="167"/>
        <v>11801658.710000001</v>
      </c>
      <c r="D669" s="3">
        <f t="shared" si="173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6">
        <f t="shared" si="172"/>
        <v>5484.3550531914898</v>
      </c>
    </row>
    <row r="670" spans="1:22" ht="25.15" customHeight="1" x14ac:dyDescent="0.25">
      <c r="A670" s="37" t="s">
        <v>1573</v>
      </c>
      <c r="B670" s="51" t="s">
        <v>1012</v>
      </c>
      <c r="C670" s="2">
        <f>D670+L670+N670+P670+R670+S670+T670+U670</f>
        <v>462960.16</v>
      </c>
      <c r="D670" s="3">
        <f>SUM(E670:J670)</f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8">
        <v>0</v>
      </c>
      <c r="R670" s="5">
        <v>0</v>
      </c>
      <c r="S670" s="3">
        <v>0</v>
      </c>
      <c r="T670" s="3">
        <v>0</v>
      </c>
      <c r="U670" s="3">
        <v>462960.16</v>
      </c>
      <c r="V670" s="6" t="e">
        <f>N670/M670</f>
        <v>#DIV/0!</v>
      </c>
    </row>
    <row r="671" spans="1:22" ht="25.15" customHeight="1" x14ac:dyDescent="0.25">
      <c r="A671" s="37" t="s">
        <v>1574</v>
      </c>
      <c r="B671" s="8" t="s">
        <v>366</v>
      </c>
      <c r="C671" s="2">
        <f>D671+L671+N671+P671+R671+S671+T671+U671</f>
        <v>10694764.24</v>
      </c>
      <c r="D671" s="3">
        <f>SUM(E671:J671)</f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6" t="e">
        <f t="shared" si="172"/>
        <v>#DIV/0!</v>
      </c>
    </row>
    <row r="672" spans="1:22" ht="45" customHeight="1" x14ac:dyDescent="0.25">
      <c r="A672" s="54" t="s">
        <v>369</v>
      </c>
      <c r="B672" s="54"/>
      <c r="C672" s="2">
        <f>SUM(C673)</f>
        <v>1184924.3999999999</v>
      </c>
      <c r="D672" s="2">
        <f t="shared" ref="D672:U672" si="176">SUM(D673:D673)</f>
        <v>0</v>
      </c>
      <c r="E672" s="2">
        <f t="shared" si="176"/>
        <v>0</v>
      </c>
      <c r="F672" s="2">
        <f t="shared" si="176"/>
        <v>0</v>
      </c>
      <c r="G672" s="2">
        <f t="shared" si="176"/>
        <v>0</v>
      </c>
      <c r="H672" s="2">
        <f t="shared" si="176"/>
        <v>0</v>
      </c>
      <c r="I672" s="2">
        <f t="shared" si="176"/>
        <v>0</v>
      </c>
      <c r="J672" s="2">
        <f t="shared" si="176"/>
        <v>0</v>
      </c>
      <c r="K672" s="14">
        <f t="shared" si="176"/>
        <v>0</v>
      </c>
      <c r="L672" s="2">
        <f t="shared" si="176"/>
        <v>0</v>
      </c>
      <c r="M672" s="2">
        <f t="shared" si="176"/>
        <v>330.83</v>
      </c>
      <c r="N672" s="2">
        <f t="shared" si="176"/>
        <v>1184924.3999999999</v>
      </c>
      <c r="O672" s="2">
        <f t="shared" si="176"/>
        <v>0</v>
      </c>
      <c r="P672" s="2">
        <f t="shared" si="176"/>
        <v>0</v>
      </c>
      <c r="Q672" s="2">
        <f t="shared" si="176"/>
        <v>0</v>
      </c>
      <c r="R672" s="2">
        <f t="shared" si="176"/>
        <v>0</v>
      </c>
      <c r="S672" s="2">
        <f t="shared" si="176"/>
        <v>0</v>
      </c>
      <c r="T672" s="2">
        <f t="shared" si="176"/>
        <v>0</v>
      </c>
      <c r="U672" s="2">
        <f t="shared" si="176"/>
        <v>0</v>
      </c>
      <c r="V672" s="18">
        <f>C672</f>
        <v>1184924.3999999999</v>
      </c>
    </row>
    <row r="673" spans="1:22" ht="25.15" customHeight="1" x14ac:dyDescent="0.25">
      <c r="A673" s="37" t="s">
        <v>1575</v>
      </c>
      <c r="B673" s="8" t="s">
        <v>948</v>
      </c>
      <c r="C673" s="2">
        <f t="shared" si="167"/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6">
        <f>N673/M673</f>
        <v>3581.6715533657771</v>
      </c>
    </row>
    <row r="674" spans="1:22" ht="45" customHeight="1" x14ac:dyDescent="0.25">
      <c r="A674" s="54" t="s">
        <v>368</v>
      </c>
      <c r="B674" s="54"/>
      <c r="C674" s="2">
        <f>SUM(C675)</f>
        <v>3335222.4</v>
      </c>
      <c r="D674" s="2">
        <f t="shared" ref="D674:U674" si="177">SUM(D675)</f>
        <v>0</v>
      </c>
      <c r="E674" s="2">
        <f t="shared" si="177"/>
        <v>0</v>
      </c>
      <c r="F674" s="2">
        <f t="shared" si="177"/>
        <v>0</v>
      </c>
      <c r="G674" s="2">
        <f t="shared" si="177"/>
        <v>0</v>
      </c>
      <c r="H674" s="2">
        <f t="shared" si="177"/>
        <v>0</v>
      </c>
      <c r="I674" s="2">
        <f t="shared" si="177"/>
        <v>0</v>
      </c>
      <c r="J674" s="2">
        <f t="shared" si="177"/>
        <v>0</v>
      </c>
      <c r="K674" s="14">
        <f t="shared" si="177"/>
        <v>0</v>
      </c>
      <c r="L674" s="2">
        <f t="shared" si="177"/>
        <v>0</v>
      </c>
      <c r="M674" s="2">
        <f t="shared" si="177"/>
        <v>960.29</v>
      </c>
      <c r="N674" s="2">
        <f t="shared" si="177"/>
        <v>3335222.4</v>
      </c>
      <c r="O674" s="2">
        <f t="shared" si="177"/>
        <v>0</v>
      </c>
      <c r="P674" s="2">
        <f t="shared" si="177"/>
        <v>0</v>
      </c>
      <c r="Q674" s="2">
        <f t="shared" si="177"/>
        <v>0</v>
      </c>
      <c r="R674" s="2">
        <f t="shared" si="177"/>
        <v>0</v>
      </c>
      <c r="S674" s="2">
        <f t="shared" si="177"/>
        <v>0</v>
      </c>
      <c r="T674" s="2">
        <f t="shared" si="177"/>
        <v>0</v>
      </c>
      <c r="U674" s="2">
        <f t="shared" si="177"/>
        <v>0</v>
      </c>
      <c r="V674" s="18">
        <f>C674</f>
        <v>3335222.4</v>
      </c>
    </row>
    <row r="675" spans="1:22" ht="25.15" customHeight="1" x14ac:dyDescent="0.25">
      <c r="A675" s="37" t="s">
        <v>1576</v>
      </c>
      <c r="B675" s="39" t="s">
        <v>949</v>
      </c>
      <c r="C675" s="2">
        <f t="shared" si="167"/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6">
        <f>N675/M675</f>
        <v>3473.1408220433409</v>
      </c>
    </row>
    <row r="676" spans="1:22" s="16" customFormat="1" ht="24.95" customHeight="1" x14ac:dyDescent="0.25">
      <c r="A676" s="63" t="s">
        <v>208</v>
      </c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15"/>
    </row>
    <row r="677" spans="1:22" ht="24.95" customHeight="1" x14ac:dyDescent="0.25">
      <c r="A677" s="78" t="s">
        <v>209</v>
      </c>
      <c r="B677" s="78"/>
      <c r="C677" s="2">
        <f>C678+C683+C712+C714+C717+C721+C723+C727+C731+C737+C739+C741+C745+C750+C752+C758+C760+C766+C768+C770+C772+C774+C776+C779+C781+C789+C791+C793+C812+C814+C824+C833+C837+C855+C857+C860+C863+C865+C1122+C1124+C1127+C1129+C1132+C1134+C1136+C1140+C1146+C1148+C1154+C1156+C1158+C1161+C1165+C1167+C1169+C1171+C1195+C1199+C1201</f>
        <v>2474237684.7600002</v>
      </c>
      <c r="D677" s="2">
        <f t="shared" ref="D677:U677" si="178">D678+D683+D712+D714+D717+D721+D723+D727+D731+D737+D739+D741+D745+D750+D752+D758+D760+D766+D768+D770+D772+D774+D776+D779+D781+D789+D791+D793+D812+D814+D824+D833+D837+D855+D857+D860+D863+D865+D1122+D1124+D1127+D1129+D1132+D1134+D1136+D1140+D1146+D1148+D1154+D1156+D1158+D1161+D1165+D1167+D1169+D1171+D1195+D1199+D1201</f>
        <v>630015401.41999996</v>
      </c>
      <c r="E677" s="2">
        <f t="shared" si="178"/>
        <v>167410085.5</v>
      </c>
      <c r="F677" s="2">
        <f t="shared" si="178"/>
        <v>280447466.62</v>
      </c>
      <c r="G677" s="2">
        <f t="shared" si="178"/>
        <v>65568747</v>
      </c>
      <c r="H677" s="2">
        <f t="shared" si="178"/>
        <v>50454928</v>
      </c>
      <c r="I677" s="2">
        <f t="shared" si="178"/>
        <v>66134174.299999997</v>
      </c>
      <c r="J677" s="2">
        <f t="shared" si="178"/>
        <v>0</v>
      </c>
      <c r="K677" s="14">
        <f t="shared" si="178"/>
        <v>4</v>
      </c>
      <c r="L677" s="2">
        <f t="shared" si="178"/>
        <v>11000000</v>
      </c>
      <c r="M677" s="2">
        <f t="shared" si="178"/>
        <v>212878.36999999997</v>
      </c>
      <c r="N677" s="2">
        <f t="shared" si="178"/>
        <v>1325871832</v>
      </c>
      <c r="O677" s="2">
        <f t="shared" si="178"/>
        <v>3732.36</v>
      </c>
      <c r="P677" s="2">
        <f t="shared" si="178"/>
        <v>4578012</v>
      </c>
      <c r="Q677" s="2">
        <f t="shared" si="178"/>
        <v>143392.13</v>
      </c>
      <c r="R677" s="2">
        <f t="shared" si="178"/>
        <v>457306456</v>
      </c>
      <c r="S677" s="2">
        <f t="shared" si="178"/>
        <v>4470414</v>
      </c>
      <c r="T677" s="2">
        <f t="shared" si="178"/>
        <v>0</v>
      </c>
      <c r="U677" s="2">
        <f t="shared" si="178"/>
        <v>40995569.339999996</v>
      </c>
    </row>
    <row r="678" spans="1:22" ht="45" customHeight="1" x14ac:dyDescent="0.25">
      <c r="A678" s="54" t="s">
        <v>1001</v>
      </c>
      <c r="B678" s="54"/>
      <c r="C678" s="2">
        <f>SUM(C679:C682)</f>
        <v>19462904</v>
      </c>
      <c r="D678" s="2">
        <f t="shared" ref="D678:U678" si="179">SUM(D679:D682)</f>
        <v>1645020</v>
      </c>
      <c r="E678" s="2">
        <f t="shared" si="179"/>
        <v>442890</v>
      </c>
      <c r="F678" s="2">
        <f t="shared" si="179"/>
        <v>822510</v>
      </c>
      <c r="G678" s="2">
        <f t="shared" si="179"/>
        <v>189810</v>
      </c>
      <c r="H678" s="2">
        <f t="shared" si="179"/>
        <v>0</v>
      </c>
      <c r="I678" s="2">
        <f t="shared" si="179"/>
        <v>189810</v>
      </c>
      <c r="J678" s="2">
        <f t="shared" si="179"/>
        <v>0</v>
      </c>
      <c r="K678" s="14">
        <f t="shared" si="179"/>
        <v>0</v>
      </c>
      <c r="L678" s="2">
        <f t="shared" si="179"/>
        <v>0</v>
      </c>
      <c r="M678" s="2">
        <f t="shared" si="179"/>
        <v>2251.1999999999998</v>
      </c>
      <c r="N678" s="2">
        <f t="shared" si="179"/>
        <v>13985020</v>
      </c>
      <c r="O678" s="2">
        <f t="shared" si="179"/>
        <v>0</v>
      </c>
      <c r="P678" s="2">
        <f t="shared" si="179"/>
        <v>0</v>
      </c>
      <c r="Q678" s="2">
        <f t="shared" si="179"/>
        <v>666.52</v>
      </c>
      <c r="R678" s="2">
        <f t="shared" si="179"/>
        <v>2132864</v>
      </c>
      <c r="S678" s="2">
        <f t="shared" si="179"/>
        <v>0</v>
      </c>
      <c r="T678" s="2">
        <f t="shared" si="179"/>
        <v>0</v>
      </c>
      <c r="U678" s="2">
        <f t="shared" si="179"/>
        <v>1700000</v>
      </c>
    </row>
    <row r="679" spans="1:22" ht="25.15" customHeight="1" x14ac:dyDescent="0.25">
      <c r="A679" s="37" t="s">
        <v>1577</v>
      </c>
      <c r="B679" s="49" t="s">
        <v>19</v>
      </c>
      <c r="C679" s="2">
        <f t="shared" ref="C679:C762" si="180"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6">
        <f>N679/M679</f>
        <v>6600</v>
      </c>
    </row>
    <row r="680" spans="1:22" ht="25.15" customHeight="1" x14ac:dyDescent="0.25">
      <c r="A680" s="37" t="s">
        <v>1578</v>
      </c>
      <c r="B680" s="49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6">
        <f>N680/M680</f>
        <v>4450</v>
      </c>
    </row>
    <row r="681" spans="1:22" ht="25.15" customHeight="1" x14ac:dyDescent="0.25">
      <c r="A681" s="37" t="s">
        <v>1579</v>
      </c>
      <c r="B681" s="52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6">
        <f>N681/M681</f>
        <v>4450</v>
      </c>
    </row>
    <row r="682" spans="1:22" ht="25.15" customHeight="1" x14ac:dyDescent="0.25">
      <c r="A682" s="37" t="s">
        <v>1580</v>
      </c>
      <c r="B682" s="49" t="s">
        <v>24</v>
      </c>
      <c r="C682" s="2">
        <f t="shared" si="180"/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6">
        <f>N682/M682</f>
        <v>6600</v>
      </c>
    </row>
    <row r="683" spans="1:22" ht="45" customHeight="1" x14ac:dyDescent="0.25">
      <c r="A683" s="54" t="s">
        <v>0</v>
      </c>
      <c r="B683" s="54"/>
      <c r="C683" s="2">
        <f>SUM(C684:C711)</f>
        <v>205412711.44</v>
      </c>
      <c r="D683" s="2">
        <f t="shared" ref="D683:U683" si="181">SUM(D684:D711)</f>
        <v>32274558</v>
      </c>
      <c r="E683" s="2">
        <f t="shared" si="181"/>
        <v>8696891</v>
      </c>
      <c r="F683" s="2">
        <f t="shared" si="181"/>
        <v>15284269</v>
      </c>
      <c r="G683" s="2">
        <f t="shared" si="181"/>
        <v>3727239</v>
      </c>
      <c r="H683" s="2">
        <f t="shared" si="181"/>
        <v>838920.00000000012</v>
      </c>
      <c r="I683" s="2">
        <f t="shared" si="181"/>
        <v>3727239</v>
      </c>
      <c r="J683" s="2">
        <f t="shared" si="181"/>
        <v>0</v>
      </c>
      <c r="K683" s="14">
        <f t="shared" si="181"/>
        <v>0</v>
      </c>
      <c r="L683" s="2">
        <f t="shared" si="181"/>
        <v>0</v>
      </c>
      <c r="M683" s="2">
        <f t="shared" si="181"/>
        <v>21813.949999999997</v>
      </c>
      <c r="N683" s="2">
        <f t="shared" si="181"/>
        <v>129753810</v>
      </c>
      <c r="O683" s="2">
        <f t="shared" si="181"/>
        <v>0</v>
      </c>
      <c r="P683" s="2">
        <f t="shared" si="181"/>
        <v>0</v>
      </c>
      <c r="Q683" s="2">
        <f t="shared" si="181"/>
        <v>12995.439999999999</v>
      </c>
      <c r="R683" s="2">
        <f t="shared" si="181"/>
        <v>41585408</v>
      </c>
      <c r="S683" s="2">
        <f t="shared" si="181"/>
        <v>250000</v>
      </c>
      <c r="T683" s="2">
        <f t="shared" si="181"/>
        <v>0</v>
      </c>
      <c r="U683" s="2">
        <f t="shared" si="181"/>
        <v>1548935.44</v>
      </c>
    </row>
    <row r="684" spans="1:22" ht="25.15" customHeight="1" x14ac:dyDescent="0.25">
      <c r="A684" s="36" t="s">
        <v>1581</v>
      </c>
      <c r="B684" s="8" t="s">
        <v>1202</v>
      </c>
      <c r="C684" s="2">
        <f>D684+L684+N684+P684+R684+S684+T684+U684</f>
        <v>300000</v>
      </c>
      <c r="D684" s="3">
        <f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5.15" customHeight="1" x14ac:dyDescent="0.25">
      <c r="A685" s="36" t="s">
        <v>1582</v>
      </c>
      <c r="B685" s="8" t="s">
        <v>851</v>
      </c>
      <c r="C685" s="2">
        <f t="shared" si="180"/>
        <v>14920850</v>
      </c>
      <c r="D685" s="3">
        <f t="shared" ref="D685:D711" si="182">SUM(E685:J685)</f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3353</v>
      </c>
      <c r="N685" s="3">
        <f>M685*4450</f>
        <v>14920850</v>
      </c>
      <c r="O685" s="5">
        <v>0</v>
      </c>
      <c r="P685" s="5">
        <v>0</v>
      </c>
      <c r="Q685" s="5">
        <v>0</v>
      </c>
      <c r="R685" s="3">
        <f>Q685*3000</f>
        <v>0</v>
      </c>
      <c r="S685" s="5">
        <v>0</v>
      </c>
      <c r="T685" s="5">
        <v>0</v>
      </c>
      <c r="U685" s="5">
        <v>0</v>
      </c>
      <c r="V685" s="6">
        <f t="shared" ref="V685:V711" si="183">N685/M685</f>
        <v>4450</v>
      </c>
    </row>
    <row r="686" spans="1:22" ht="24.6" customHeight="1" x14ac:dyDescent="0.25">
      <c r="A686" s="36" t="s">
        <v>1583</v>
      </c>
      <c r="B686" s="19" t="s">
        <v>40</v>
      </c>
      <c r="C686" s="2">
        <f>D686+L686+N686+P686+R686+S686+T686+U686</f>
        <v>3781250</v>
      </c>
      <c r="D686" s="3">
        <f>SUM(E686:J686)</f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6">
        <f>N686/M686</f>
        <v>5500</v>
      </c>
    </row>
    <row r="687" spans="1:22" ht="25.15" customHeight="1" x14ac:dyDescent="0.25">
      <c r="A687" s="36" t="s">
        <v>1584</v>
      </c>
      <c r="B687" s="8" t="s">
        <v>17</v>
      </c>
      <c r="C687" s="2">
        <f>D687+L687+N687+P687+R687+S687+T687+U687</f>
        <v>20219835.440000001</v>
      </c>
      <c r="D687" s="3">
        <f>SUM(E687:J687)</f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6">
        <f>N687/M687</f>
        <v>6600</v>
      </c>
    </row>
    <row r="688" spans="1:22" ht="25.15" customHeight="1" x14ac:dyDescent="0.25">
      <c r="A688" s="36" t="s">
        <v>1585</v>
      </c>
      <c r="B688" s="8" t="s">
        <v>46</v>
      </c>
      <c r="C688" s="2">
        <f t="shared" si="180"/>
        <v>3208640</v>
      </c>
      <c r="D688" s="3">
        <f t="shared" si="182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20">
        <v>0</v>
      </c>
      <c r="O688" s="3">
        <v>0</v>
      </c>
      <c r="P688" s="3">
        <v>0</v>
      </c>
      <c r="Q688" s="3">
        <v>1002.7</v>
      </c>
      <c r="R688" s="3">
        <f>Q688*3200</f>
        <v>3208640</v>
      </c>
      <c r="S688" s="3">
        <v>0</v>
      </c>
      <c r="T688" s="5">
        <v>0</v>
      </c>
      <c r="U688" s="3">
        <v>0</v>
      </c>
      <c r="V688" s="6" t="e">
        <f t="shared" si="183"/>
        <v>#DIV/0!</v>
      </c>
    </row>
    <row r="689" spans="1:22" ht="25.15" customHeight="1" x14ac:dyDescent="0.25">
      <c r="A689" s="36" t="s">
        <v>1586</v>
      </c>
      <c r="B689" s="8" t="s">
        <v>49</v>
      </c>
      <c r="C689" s="2">
        <f t="shared" si="180"/>
        <v>11773256</v>
      </c>
      <c r="D689" s="3">
        <f t="shared" si="182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946.28</v>
      </c>
      <c r="N689" s="3">
        <f>M689*6600</f>
        <v>6245448</v>
      </c>
      <c r="O689" s="3">
        <v>0</v>
      </c>
      <c r="P689" s="3">
        <v>0</v>
      </c>
      <c r="Q689" s="3">
        <v>1727.44</v>
      </c>
      <c r="R689" s="3">
        <f>Q689*3200</f>
        <v>5527808</v>
      </c>
      <c r="S689" s="3">
        <v>0</v>
      </c>
      <c r="T689" s="5">
        <v>0</v>
      </c>
      <c r="U689" s="3">
        <v>0</v>
      </c>
      <c r="V689" s="6">
        <f t="shared" si="183"/>
        <v>6600</v>
      </c>
    </row>
    <row r="690" spans="1:22" ht="25.15" customHeight="1" x14ac:dyDescent="0.25">
      <c r="A690" s="36" t="s">
        <v>1587</v>
      </c>
      <c r="B690" s="8" t="s">
        <v>852</v>
      </c>
      <c r="C690" s="2">
        <f t="shared" si="180"/>
        <v>10400368</v>
      </c>
      <c r="D690" s="3">
        <f t="shared" si="182"/>
        <v>10300368</v>
      </c>
      <c r="E690" s="3">
        <f>700*3961.68</f>
        <v>2773176</v>
      </c>
      <c r="F690" s="3">
        <f>1300*3961.68</f>
        <v>5150184</v>
      </c>
      <c r="G690" s="3">
        <f>300*3961.68</f>
        <v>1188504</v>
      </c>
      <c r="H690" s="3">
        <f>400*0</f>
        <v>0</v>
      </c>
      <c r="I690" s="3">
        <f>300*3961.68</f>
        <v>1188504</v>
      </c>
      <c r="J690" s="3">
        <v>0</v>
      </c>
      <c r="K690" s="4">
        <v>0</v>
      </c>
      <c r="L690" s="3">
        <v>0</v>
      </c>
      <c r="M690" s="3">
        <v>0</v>
      </c>
      <c r="N690" s="20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5">
        <v>0</v>
      </c>
      <c r="U690" s="3">
        <v>100000</v>
      </c>
      <c r="V690" s="6" t="e">
        <f t="shared" si="183"/>
        <v>#DIV/0!</v>
      </c>
    </row>
    <row r="691" spans="1:22" ht="25.15" customHeight="1" x14ac:dyDescent="0.25">
      <c r="A691" s="36" t="s">
        <v>1588</v>
      </c>
      <c r="B691" s="8" t="s">
        <v>855</v>
      </c>
      <c r="C691" s="2">
        <f t="shared" si="180"/>
        <v>25696880</v>
      </c>
      <c r="D691" s="3">
        <f t="shared" si="182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3137.2</v>
      </c>
      <c r="N691" s="3">
        <f>M691*6600</f>
        <v>20705520</v>
      </c>
      <c r="O691" s="3">
        <v>0</v>
      </c>
      <c r="P691" s="3">
        <v>0</v>
      </c>
      <c r="Q691" s="3">
        <v>1559.8</v>
      </c>
      <c r="R691" s="3">
        <f>Q691*3200</f>
        <v>4991360</v>
      </c>
      <c r="S691" s="3">
        <v>0</v>
      </c>
      <c r="T691" s="5">
        <v>0</v>
      </c>
      <c r="U691" s="3">
        <v>0</v>
      </c>
      <c r="V691" s="6">
        <f t="shared" si="183"/>
        <v>6600</v>
      </c>
    </row>
    <row r="692" spans="1:22" ht="25.15" customHeight="1" x14ac:dyDescent="0.25">
      <c r="A692" s="36" t="s">
        <v>1589</v>
      </c>
      <c r="B692" s="19" t="s">
        <v>871</v>
      </c>
      <c r="C692" s="2">
        <f>D692+L692+N692+P692+R692+S692+T692+U692</f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20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6">
        <f>N692/M692</f>
        <v>6600</v>
      </c>
    </row>
    <row r="693" spans="1:22" ht="25.15" customHeight="1" x14ac:dyDescent="0.25">
      <c r="A693" s="36" t="s">
        <v>1590</v>
      </c>
      <c r="B693" s="8" t="s">
        <v>54</v>
      </c>
      <c r="C693" s="2">
        <f>D693+L693+N693+P693+R693+S693+T693+U693</f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20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6">
        <f>N693/M693</f>
        <v>6600</v>
      </c>
    </row>
    <row r="694" spans="1:22" ht="25.15" customHeight="1" x14ac:dyDescent="0.25">
      <c r="A694" s="36" t="s">
        <v>1591</v>
      </c>
      <c r="B694" s="8" t="s">
        <v>1211</v>
      </c>
      <c r="C694" s="2">
        <f>D694+L694+N694+P694+R694+S694+T694+U694</f>
        <v>300000</v>
      </c>
      <c r="D694" s="3">
        <f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5">
        <v>0</v>
      </c>
      <c r="U694" s="3">
        <v>300000</v>
      </c>
    </row>
    <row r="695" spans="1:22" ht="25.15" customHeight="1" x14ac:dyDescent="0.25">
      <c r="A695" s="36" t="s">
        <v>1592</v>
      </c>
      <c r="B695" s="8" t="s">
        <v>11</v>
      </c>
      <c r="C695" s="2">
        <f t="shared" si="180"/>
        <v>2804800</v>
      </c>
      <c r="D695" s="3">
        <f t="shared" si="18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20">
        <v>0</v>
      </c>
      <c r="O695" s="3">
        <v>0</v>
      </c>
      <c r="P695" s="3">
        <v>0</v>
      </c>
      <c r="Q695" s="3">
        <v>876.5</v>
      </c>
      <c r="R695" s="3">
        <f>Q695*3200</f>
        <v>2804800</v>
      </c>
      <c r="S695" s="3">
        <v>0</v>
      </c>
      <c r="T695" s="5">
        <v>0</v>
      </c>
      <c r="U695" s="3">
        <v>0</v>
      </c>
      <c r="V695" s="6" t="e">
        <f t="shared" si="183"/>
        <v>#DIV/0!</v>
      </c>
    </row>
    <row r="696" spans="1:22" ht="25.15" customHeight="1" x14ac:dyDescent="0.25">
      <c r="A696" s="36" t="s">
        <v>1593</v>
      </c>
      <c r="B696" s="19" t="s">
        <v>59</v>
      </c>
      <c r="C696" s="2">
        <f t="shared" si="180"/>
        <v>3984530</v>
      </c>
      <c r="D696" s="3">
        <f t="shared" si="18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895.4</v>
      </c>
      <c r="N696" s="3">
        <f>M696*4450</f>
        <v>3984530</v>
      </c>
      <c r="O696" s="3">
        <v>0</v>
      </c>
      <c r="P696" s="3">
        <v>0</v>
      </c>
      <c r="Q696" s="3">
        <v>0</v>
      </c>
      <c r="R696" s="3">
        <f t="shared" ref="R696:R711" si="184">Q696*3200</f>
        <v>0</v>
      </c>
      <c r="S696" s="3">
        <v>0</v>
      </c>
      <c r="T696" s="5">
        <v>0</v>
      </c>
      <c r="U696" s="3">
        <v>0</v>
      </c>
      <c r="V696" s="6">
        <f t="shared" si="183"/>
        <v>4450</v>
      </c>
    </row>
    <row r="697" spans="1:22" ht="25.15" customHeight="1" x14ac:dyDescent="0.25">
      <c r="A697" s="36" t="s">
        <v>1594</v>
      </c>
      <c r="B697" s="40" t="s">
        <v>62</v>
      </c>
      <c r="C697" s="2">
        <f t="shared" si="180"/>
        <v>6337980</v>
      </c>
      <c r="D697" s="3">
        <f t="shared" si="18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84"/>
        <v>0</v>
      </c>
      <c r="S697" s="3">
        <v>0</v>
      </c>
      <c r="T697" s="5">
        <v>0</v>
      </c>
      <c r="U697" s="3">
        <v>0</v>
      </c>
      <c r="V697" s="6">
        <f t="shared" si="183"/>
        <v>6600</v>
      </c>
    </row>
    <row r="698" spans="1:22" ht="25.15" customHeight="1" x14ac:dyDescent="0.25">
      <c r="A698" s="36" t="s">
        <v>1595</v>
      </c>
      <c r="B698" s="45" t="s">
        <v>63</v>
      </c>
      <c r="C698" s="2">
        <f t="shared" si="180"/>
        <v>6738600</v>
      </c>
      <c r="D698" s="3">
        <f t="shared" si="18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1021</v>
      </c>
      <c r="N698" s="3">
        <f>M698*6600</f>
        <v>6738600</v>
      </c>
      <c r="O698" s="3">
        <v>0</v>
      </c>
      <c r="P698" s="3">
        <v>0</v>
      </c>
      <c r="Q698" s="3">
        <v>0</v>
      </c>
      <c r="R698" s="3">
        <f t="shared" si="184"/>
        <v>0</v>
      </c>
      <c r="S698" s="3">
        <v>0</v>
      </c>
      <c r="T698" s="5">
        <v>0</v>
      </c>
      <c r="U698" s="3">
        <v>0</v>
      </c>
      <c r="V698" s="6">
        <f t="shared" si="183"/>
        <v>6600</v>
      </c>
    </row>
    <row r="699" spans="1:22" ht="25.15" customHeight="1" x14ac:dyDescent="0.25">
      <c r="A699" s="36" t="s">
        <v>1596</v>
      </c>
      <c r="B699" s="8" t="s">
        <v>1196</v>
      </c>
      <c r="C699" s="2">
        <f t="shared" si="180"/>
        <v>1287000</v>
      </c>
      <c r="D699" s="3">
        <f t="shared" si="18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195</v>
      </c>
      <c r="N699" s="44">
        <f>M699*6600</f>
        <v>1287000</v>
      </c>
      <c r="O699" s="3">
        <v>0</v>
      </c>
      <c r="P699" s="3">
        <v>0</v>
      </c>
      <c r="Q699" s="3">
        <v>0</v>
      </c>
      <c r="R699" s="3">
        <f t="shared" si="184"/>
        <v>0</v>
      </c>
      <c r="S699" s="3">
        <v>0</v>
      </c>
      <c r="T699" s="3">
        <v>0</v>
      </c>
      <c r="U699" s="3">
        <v>0</v>
      </c>
      <c r="V699" s="7"/>
    </row>
    <row r="700" spans="1:22" ht="25.15" customHeight="1" x14ac:dyDescent="0.25">
      <c r="A700" s="36" t="s">
        <v>1597</v>
      </c>
      <c r="B700" s="8" t="s">
        <v>60</v>
      </c>
      <c r="C700" s="2">
        <f t="shared" si="180"/>
        <v>2046660.0000000002</v>
      </c>
      <c r="D700" s="3">
        <f t="shared" si="18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84"/>
        <v>0</v>
      </c>
      <c r="S700" s="3">
        <v>0</v>
      </c>
      <c r="T700" s="3">
        <v>0</v>
      </c>
      <c r="U700" s="3">
        <v>0</v>
      </c>
      <c r="V700" s="6">
        <f t="shared" si="183"/>
        <v>6600</v>
      </c>
    </row>
    <row r="701" spans="1:22" ht="25.15" customHeight="1" x14ac:dyDescent="0.25">
      <c r="A701" s="36" t="s">
        <v>1598</v>
      </c>
      <c r="B701" s="8" t="s">
        <v>35</v>
      </c>
      <c r="C701" s="2">
        <f t="shared" si="180"/>
        <v>37030228</v>
      </c>
      <c r="D701" s="3">
        <f t="shared" si="18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84"/>
        <v>11024000</v>
      </c>
      <c r="S701" s="3">
        <v>250000</v>
      </c>
      <c r="T701" s="5">
        <v>0</v>
      </c>
      <c r="U701" s="3">
        <v>200000</v>
      </c>
      <c r="V701" s="6">
        <f t="shared" si="183"/>
        <v>6600</v>
      </c>
    </row>
    <row r="702" spans="1:22" ht="25.15" customHeight="1" x14ac:dyDescent="0.25">
      <c r="A702" s="36" t="s">
        <v>1599</v>
      </c>
      <c r="B702" s="8" t="s">
        <v>64</v>
      </c>
      <c r="C702" s="2">
        <f t="shared" si="180"/>
        <v>14595500</v>
      </c>
      <c r="D702" s="3">
        <f t="shared" si="18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84"/>
        <v>9228800</v>
      </c>
      <c r="S702" s="3">
        <v>0</v>
      </c>
      <c r="T702" s="3">
        <v>0</v>
      </c>
      <c r="U702" s="3">
        <v>0</v>
      </c>
      <c r="V702" s="6">
        <f t="shared" si="183"/>
        <v>4450</v>
      </c>
    </row>
    <row r="703" spans="1:22" ht="25.15" customHeight="1" x14ac:dyDescent="0.25">
      <c r="A703" s="36" t="s">
        <v>1600</v>
      </c>
      <c r="B703" s="8" t="s">
        <v>65</v>
      </c>
      <c r="C703" s="2">
        <f t="shared" si="180"/>
        <v>4074840</v>
      </c>
      <c r="D703" s="3">
        <f t="shared" si="18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617.4</v>
      </c>
      <c r="N703" s="3">
        <f>M703*6600</f>
        <v>4074840</v>
      </c>
      <c r="O703" s="3">
        <v>0</v>
      </c>
      <c r="P703" s="3">
        <v>0</v>
      </c>
      <c r="Q703" s="3">
        <v>0</v>
      </c>
      <c r="R703" s="3">
        <f t="shared" si="184"/>
        <v>0</v>
      </c>
      <c r="S703" s="3">
        <v>0</v>
      </c>
      <c r="T703" s="5">
        <v>0</v>
      </c>
      <c r="U703" s="3">
        <v>0</v>
      </c>
      <c r="V703" s="6">
        <f t="shared" si="183"/>
        <v>6600</v>
      </c>
    </row>
    <row r="704" spans="1:22" ht="25.15" customHeight="1" x14ac:dyDescent="0.25">
      <c r="A704" s="36" t="s">
        <v>1601</v>
      </c>
      <c r="B704" s="8" t="s">
        <v>853</v>
      </c>
      <c r="C704" s="2">
        <f t="shared" si="180"/>
        <v>5068800</v>
      </c>
      <c r="D704" s="3">
        <f t="shared" si="18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768</v>
      </c>
      <c r="N704" s="3">
        <f>M704*6600</f>
        <v>5068800</v>
      </c>
      <c r="O704" s="3">
        <v>0</v>
      </c>
      <c r="P704" s="3">
        <v>0</v>
      </c>
      <c r="Q704" s="3">
        <v>0</v>
      </c>
      <c r="R704" s="3">
        <f t="shared" si="184"/>
        <v>0</v>
      </c>
      <c r="S704" s="3">
        <v>0</v>
      </c>
      <c r="T704" s="5">
        <v>0</v>
      </c>
      <c r="U704" s="3">
        <v>0</v>
      </c>
      <c r="V704" s="6">
        <f t="shared" si="183"/>
        <v>6600</v>
      </c>
    </row>
    <row r="705" spans="1:22" ht="25.15" customHeight="1" x14ac:dyDescent="0.25">
      <c r="A705" s="36" t="s">
        <v>1602</v>
      </c>
      <c r="B705" s="8" t="s">
        <v>66</v>
      </c>
      <c r="C705" s="2">
        <f t="shared" si="180"/>
        <v>3591150</v>
      </c>
      <c r="D705" s="3">
        <f t="shared" si="18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807</v>
      </c>
      <c r="N705" s="3">
        <f>M705*4450</f>
        <v>3591150</v>
      </c>
      <c r="O705" s="3">
        <v>0</v>
      </c>
      <c r="P705" s="3">
        <v>0</v>
      </c>
      <c r="Q705" s="3">
        <v>0</v>
      </c>
      <c r="R705" s="3">
        <f t="shared" si="184"/>
        <v>0</v>
      </c>
      <c r="S705" s="3">
        <v>0</v>
      </c>
      <c r="T705" s="5">
        <v>0</v>
      </c>
      <c r="U705" s="3">
        <v>0</v>
      </c>
      <c r="V705" s="6">
        <f t="shared" si="183"/>
        <v>4450</v>
      </c>
    </row>
    <row r="706" spans="1:22" ht="25.15" customHeight="1" x14ac:dyDescent="0.25">
      <c r="A706" s="36" t="s">
        <v>1603</v>
      </c>
      <c r="B706" s="8" t="s">
        <v>69</v>
      </c>
      <c r="C706" s="2">
        <f>D706+L706+N706+P706+R706+S706+T706+U706</f>
        <v>1744380</v>
      </c>
      <c r="D706" s="3">
        <f>SUM(E706:J706)</f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264.3</v>
      </c>
      <c r="N706" s="3">
        <f>M706*6600</f>
        <v>1744380</v>
      </c>
      <c r="O706" s="3">
        <v>0</v>
      </c>
      <c r="P706" s="3">
        <v>0</v>
      </c>
      <c r="Q706" s="3">
        <v>0</v>
      </c>
      <c r="R706" s="3">
        <f t="shared" si="184"/>
        <v>0</v>
      </c>
      <c r="S706" s="3">
        <v>0</v>
      </c>
      <c r="T706" s="5">
        <v>0</v>
      </c>
      <c r="U706" s="3">
        <v>0</v>
      </c>
      <c r="V706" s="6">
        <f>N706/M706</f>
        <v>6600</v>
      </c>
    </row>
    <row r="707" spans="1:22" ht="25.15" customHeight="1" x14ac:dyDescent="0.25">
      <c r="A707" s="36" t="s">
        <v>1604</v>
      </c>
      <c r="B707" s="8" t="s">
        <v>67</v>
      </c>
      <c r="C707" s="2">
        <f t="shared" si="180"/>
        <v>2939122</v>
      </c>
      <c r="D707" s="3">
        <f t="shared" si="182"/>
        <v>2839122</v>
      </c>
      <c r="E707" s="3">
        <f>700*1091.97</f>
        <v>764379</v>
      </c>
      <c r="F707" s="3">
        <f>1300*1091.97</f>
        <v>1419561</v>
      </c>
      <c r="G707" s="3">
        <f>300*1091.97</f>
        <v>327591</v>
      </c>
      <c r="H707" s="3">
        <v>0</v>
      </c>
      <c r="I707" s="3">
        <f>300*1091.97</f>
        <v>327591</v>
      </c>
      <c r="J707" s="3">
        <v>0</v>
      </c>
      <c r="K707" s="4">
        <v>0</v>
      </c>
      <c r="L707" s="3">
        <v>0</v>
      </c>
      <c r="M707" s="3">
        <v>0</v>
      </c>
      <c r="N707" s="20">
        <v>0</v>
      </c>
      <c r="O707" s="3">
        <v>0</v>
      </c>
      <c r="P707" s="3">
        <v>0</v>
      </c>
      <c r="Q707" s="3">
        <v>0</v>
      </c>
      <c r="R707" s="3">
        <f t="shared" si="184"/>
        <v>0</v>
      </c>
      <c r="S707" s="3">
        <v>0</v>
      </c>
      <c r="T707" s="5">
        <v>0</v>
      </c>
      <c r="U707" s="3">
        <v>100000</v>
      </c>
      <c r="V707" s="6" t="e">
        <f t="shared" si="183"/>
        <v>#DIV/0!</v>
      </c>
    </row>
    <row r="708" spans="1:22" ht="25.15" customHeight="1" x14ac:dyDescent="0.25">
      <c r="A708" s="36" t="s">
        <v>1605</v>
      </c>
      <c r="B708" s="8" t="s">
        <v>68</v>
      </c>
      <c r="C708" s="2">
        <f t="shared" si="180"/>
        <v>4228820</v>
      </c>
      <c r="D708" s="3">
        <f t="shared" si="182"/>
        <v>867100</v>
      </c>
      <c r="E708" s="3">
        <f>700*667</f>
        <v>466900</v>
      </c>
      <c r="F708" s="3">
        <f>1300*0</f>
        <v>0</v>
      </c>
      <c r="G708" s="3">
        <f>300*667</f>
        <v>200100</v>
      </c>
      <c r="H708" s="3">
        <v>0</v>
      </c>
      <c r="I708" s="3">
        <f>300*667</f>
        <v>200100</v>
      </c>
      <c r="J708" s="3">
        <v>0</v>
      </c>
      <c r="K708" s="4">
        <v>0</v>
      </c>
      <c r="L708" s="3">
        <v>0</v>
      </c>
      <c r="M708" s="3">
        <v>494.2</v>
      </c>
      <c r="N708" s="3">
        <f>M708*6600</f>
        <v>3261720</v>
      </c>
      <c r="O708" s="3">
        <v>0</v>
      </c>
      <c r="P708" s="3">
        <v>0</v>
      </c>
      <c r="Q708" s="3">
        <v>0</v>
      </c>
      <c r="R708" s="3">
        <f t="shared" si="184"/>
        <v>0</v>
      </c>
      <c r="S708" s="3">
        <v>0</v>
      </c>
      <c r="T708" s="5">
        <v>0</v>
      </c>
      <c r="U708" s="3">
        <v>100000</v>
      </c>
      <c r="V708" s="6">
        <f t="shared" si="183"/>
        <v>6600</v>
      </c>
    </row>
    <row r="709" spans="1:22" ht="25.15" customHeight="1" x14ac:dyDescent="0.25">
      <c r="A709" s="36" t="s">
        <v>1606</v>
      </c>
      <c r="B709" s="8" t="s">
        <v>70</v>
      </c>
      <c r="C709" s="2">
        <f t="shared" si="180"/>
        <v>1980000</v>
      </c>
      <c r="D709" s="3">
        <f t="shared" si="18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300</v>
      </c>
      <c r="N709" s="3">
        <f>M709*6600</f>
        <v>1980000</v>
      </c>
      <c r="O709" s="3">
        <v>0</v>
      </c>
      <c r="P709" s="3">
        <v>0</v>
      </c>
      <c r="Q709" s="3">
        <v>0</v>
      </c>
      <c r="R709" s="3">
        <f t="shared" si="184"/>
        <v>0</v>
      </c>
      <c r="S709" s="3">
        <v>0</v>
      </c>
      <c r="T709" s="5">
        <v>0</v>
      </c>
      <c r="U709" s="3">
        <v>0</v>
      </c>
      <c r="V709" s="6">
        <f t="shared" si="183"/>
        <v>6600</v>
      </c>
    </row>
    <row r="710" spans="1:22" ht="25.15" customHeight="1" x14ac:dyDescent="0.25">
      <c r="A710" s="36" t="s">
        <v>1607</v>
      </c>
      <c r="B710" s="8" t="s">
        <v>71</v>
      </c>
      <c r="C710" s="2">
        <f t="shared" si="180"/>
        <v>1757118.0000000002</v>
      </c>
      <c r="D710" s="3">
        <f t="shared" si="182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4">
        <v>0</v>
      </c>
      <c r="L710" s="3">
        <v>0</v>
      </c>
      <c r="M710" s="3">
        <v>266.23</v>
      </c>
      <c r="N710" s="3">
        <f>M710*6600</f>
        <v>1757118.0000000002</v>
      </c>
      <c r="O710" s="3">
        <v>0</v>
      </c>
      <c r="P710" s="3">
        <v>0</v>
      </c>
      <c r="Q710" s="3">
        <v>0</v>
      </c>
      <c r="R710" s="3">
        <f t="shared" si="184"/>
        <v>0</v>
      </c>
      <c r="S710" s="3">
        <v>0</v>
      </c>
      <c r="T710" s="5">
        <v>0</v>
      </c>
      <c r="U710" s="3">
        <v>0</v>
      </c>
      <c r="V710" s="6">
        <f t="shared" si="183"/>
        <v>6600</v>
      </c>
    </row>
    <row r="711" spans="1:22" ht="25.15" customHeight="1" x14ac:dyDescent="0.25">
      <c r="A711" s="36" t="s">
        <v>1608</v>
      </c>
      <c r="B711" s="8" t="s">
        <v>835</v>
      </c>
      <c r="C711" s="2">
        <f t="shared" si="180"/>
        <v>7999991.9999999991</v>
      </c>
      <c r="D711" s="3">
        <f t="shared" si="182"/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4">
        <v>0</v>
      </c>
      <c r="L711" s="3">
        <v>0</v>
      </c>
      <c r="M711" s="3">
        <v>1212.1199999999999</v>
      </c>
      <c r="N711" s="3">
        <f>M711*6600</f>
        <v>7999991.9999999991</v>
      </c>
      <c r="O711" s="3">
        <v>0</v>
      </c>
      <c r="P711" s="3">
        <v>0</v>
      </c>
      <c r="Q711" s="3">
        <v>0</v>
      </c>
      <c r="R711" s="3">
        <f t="shared" si="184"/>
        <v>0</v>
      </c>
      <c r="S711" s="3">
        <v>0</v>
      </c>
      <c r="T711" s="5">
        <v>0</v>
      </c>
      <c r="U711" s="3">
        <v>0</v>
      </c>
      <c r="V711" s="6">
        <f t="shared" si="183"/>
        <v>6600</v>
      </c>
    </row>
    <row r="712" spans="1:22" ht="42.95" customHeight="1" x14ac:dyDescent="0.25">
      <c r="A712" s="54" t="s">
        <v>30</v>
      </c>
      <c r="B712" s="54"/>
      <c r="C712" s="2">
        <f>SUM(C713)</f>
        <v>2356200</v>
      </c>
      <c r="D712" s="2">
        <f t="shared" ref="D712:U712" si="185">SUM(D713)</f>
        <v>0</v>
      </c>
      <c r="E712" s="2">
        <f t="shared" si="185"/>
        <v>0</v>
      </c>
      <c r="F712" s="2">
        <f t="shared" si="185"/>
        <v>0</v>
      </c>
      <c r="G712" s="2">
        <f t="shared" si="185"/>
        <v>0</v>
      </c>
      <c r="H712" s="2">
        <f t="shared" si="185"/>
        <v>0</v>
      </c>
      <c r="I712" s="2">
        <f t="shared" si="185"/>
        <v>0</v>
      </c>
      <c r="J712" s="2">
        <f t="shared" si="185"/>
        <v>0</v>
      </c>
      <c r="K712" s="14">
        <f t="shared" si="185"/>
        <v>0</v>
      </c>
      <c r="L712" s="2">
        <f t="shared" si="185"/>
        <v>0</v>
      </c>
      <c r="M712" s="2">
        <f t="shared" si="185"/>
        <v>357</v>
      </c>
      <c r="N712" s="2">
        <f t="shared" si="185"/>
        <v>2356200</v>
      </c>
      <c r="O712" s="2">
        <f t="shared" si="185"/>
        <v>0</v>
      </c>
      <c r="P712" s="2">
        <f t="shared" si="185"/>
        <v>0</v>
      </c>
      <c r="Q712" s="2">
        <f t="shared" si="185"/>
        <v>0</v>
      </c>
      <c r="R712" s="2">
        <f t="shared" si="185"/>
        <v>0</v>
      </c>
      <c r="S712" s="2">
        <f t="shared" si="185"/>
        <v>0</v>
      </c>
      <c r="T712" s="2">
        <f t="shared" si="185"/>
        <v>0</v>
      </c>
      <c r="U712" s="2">
        <f t="shared" si="185"/>
        <v>0</v>
      </c>
      <c r="V712" s="18">
        <f>C712</f>
        <v>2356200</v>
      </c>
    </row>
    <row r="713" spans="1:22" ht="25.15" customHeight="1" x14ac:dyDescent="0.25">
      <c r="A713" s="37" t="s">
        <v>1609</v>
      </c>
      <c r="B713" s="8" t="s">
        <v>31</v>
      </c>
      <c r="C713" s="2">
        <f>D713+L713+N713+P713+R713+S713+T713+U713</f>
        <v>2356200</v>
      </c>
      <c r="D713" s="3">
        <f>SUM(E713:J713)</f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357</v>
      </c>
      <c r="N713" s="3">
        <f>M713*6600</f>
        <v>2356200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6">
        <f>N713/M713</f>
        <v>6600</v>
      </c>
    </row>
    <row r="714" spans="1:22" ht="45" customHeight="1" x14ac:dyDescent="0.25">
      <c r="A714" s="54" t="s">
        <v>28</v>
      </c>
      <c r="B714" s="54"/>
      <c r="C714" s="2">
        <f>SUM(C715:C716)</f>
        <v>8009828</v>
      </c>
      <c r="D714" s="2">
        <f t="shared" ref="D714:U714" si="186">SUM(D715:D716)</f>
        <v>586208</v>
      </c>
      <c r="E714" s="2">
        <f t="shared" si="186"/>
        <v>586208</v>
      </c>
      <c r="F714" s="2">
        <f t="shared" si="186"/>
        <v>0</v>
      </c>
      <c r="G714" s="2">
        <f t="shared" si="186"/>
        <v>0</v>
      </c>
      <c r="H714" s="2">
        <f t="shared" si="186"/>
        <v>0</v>
      </c>
      <c r="I714" s="2">
        <f t="shared" si="186"/>
        <v>0</v>
      </c>
      <c r="J714" s="2">
        <f t="shared" si="186"/>
        <v>0</v>
      </c>
      <c r="K714" s="14">
        <f t="shared" si="186"/>
        <v>0</v>
      </c>
      <c r="L714" s="2">
        <f t="shared" si="186"/>
        <v>0</v>
      </c>
      <c r="M714" s="2">
        <f t="shared" si="186"/>
        <v>746</v>
      </c>
      <c r="N714" s="2">
        <f t="shared" si="186"/>
        <v>4923600</v>
      </c>
      <c r="O714" s="2">
        <f t="shared" si="186"/>
        <v>0</v>
      </c>
      <c r="P714" s="2">
        <f t="shared" si="186"/>
        <v>0</v>
      </c>
      <c r="Q714" s="2">
        <f t="shared" si="186"/>
        <v>506</v>
      </c>
      <c r="R714" s="2">
        <f t="shared" si="186"/>
        <v>1619200</v>
      </c>
      <c r="S714" s="2">
        <f t="shared" si="186"/>
        <v>680820</v>
      </c>
      <c r="T714" s="2">
        <f t="shared" si="186"/>
        <v>0</v>
      </c>
      <c r="U714" s="2">
        <f t="shared" si="186"/>
        <v>200000</v>
      </c>
      <c r="V714" s="18">
        <f>C714</f>
        <v>8009828</v>
      </c>
    </row>
    <row r="715" spans="1:22" ht="25.15" customHeight="1" x14ac:dyDescent="0.25">
      <c r="A715" s="37" t="s">
        <v>1610</v>
      </c>
      <c r="B715" s="8" t="s">
        <v>29</v>
      </c>
      <c r="C715" s="2">
        <f t="shared" si="180"/>
        <v>2333695</v>
      </c>
      <c r="D715" s="3">
        <f>SUM(E715:J715)</f>
        <v>214095.00000000003</v>
      </c>
      <c r="E715" s="3">
        <f>700*305.85</f>
        <v>214095.00000000003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4">
        <v>0</v>
      </c>
      <c r="L715" s="3">
        <v>0</v>
      </c>
      <c r="M715" s="3">
        <v>306</v>
      </c>
      <c r="N715" s="3">
        <f>M715*6600</f>
        <v>2019600</v>
      </c>
      <c r="O715" s="3">
        <v>0</v>
      </c>
      <c r="P715" s="3">
        <v>0</v>
      </c>
      <c r="Q715" s="3">
        <v>0</v>
      </c>
      <c r="R715" s="3">
        <f>Q715*3000</f>
        <v>0</v>
      </c>
      <c r="S715" s="3">
        <v>0</v>
      </c>
      <c r="T715" s="3">
        <v>0</v>
      </c>
      <c r="U715" s="3">
        <v>100000</v>
      </c>
      <c r="V715" s="6">
        <f>N715/M715</f>
        <v>6600</v>
      </c>
    </row>
    <row r="716" spans="1:22" ht="25.15" customHeight="1" x14ac:dyDescent="0.25">
      <c r="A716" s="37" t="s">
        <v>1611</v>
      </c>
      <c r="B716" s="8" t="s">
        <v>856</v>
      </c>
      <c r="C716" s="2">
        <f t="shared" si="180"/>
        <v>5676133</v>
      </c>
      <c r="D716" s="3">
        <f>SUM(E716:J716)</f>
        <v>372113</v>
      </c>
      <c r="E716" s="3">
        <f>700*531.59</f>
        <v>372113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4">
        <v>0</v>
      </c>
      <c r="L716" s="3">
        <v>0</v>
      </c>
      <c r="M716" s="3">
        <v>440</v>
      </c>
      <c r="N716" s="3">
        <f>M716*6600</f>
        <v>2904000</v>
      </c>
      <c r="O716" s="3">
        <v>0</v>
      </c>
      <c r="P716" s="3">
        <v>0</v>
      </c>
      <c r="Q716" s="3">
        <v>506</v>
      </c>
      <c r="R716" s="3">
        <f>Q716*3200</f>
        <v>1619200</v>
      </c>
      <c r="S716" s="3">
        <v>680820</v>
      </c>
      <c r="T716" s="3">
        <v>0</v>
      </c>
      <c r="U716" s="3">
        <v>100000</v>
      </c>
      <c r="V716" s="6">
        <f>N716/M716</f>
        <v>6600</v>
      </c>
    </row>
    <row r="717" spans="1:22" ht="45" customHeight="1" x14ac:dyDescent="0.25">
      <c r="A717" s="54" t="s">
        <v>74</v>
      </c>
      <c r="B717" s="54"/>
      <c r="C717" s="2">
        <f>SUM(C718:C720)</f>
        <v>17243798</v>
      </c>
      <c r="D717" s="2">
        <f t="shared" ref="D717:U717" si="187">SUM(D718:D720)</f>
        <v>0</v>
      </c>
      <c r="E717" s="2">
        <f t="shared" si="187"/>
        <v>0</v>
      </c>
      <c r="F717" s="2">
        <f t="shared" si="187"/>
        <v>0</v>
      </c>
      <c r="G717" s="2">
        <f t="shared" si="187"/>
        <v>0</v>
      </c>
      <c r="H717" s="2">
        <f t="shared" si="187"/>
        <v>0</v>
      </c>
      <c r="I717" s="2">
        <f t="shared" si="187"/>
        <v>0</v>
      </c>
      <c r="J717" s="2">
        <f t="shared" si="187"/>
        <v>0</v>
      </c>
      <c r="K717" s="14">
        <f t="shared" si="187"/>
        <v>0</v>
      </c>
      <c r="L717" s="2">
        <f t="shared" si="187"/>
        <v>0</v>
      </c>
      <c r="M717" s="2">
        <f t="shared" si="187"/>
        <v>1091.1500000000001</v>
      </c>
      <c r="N717" s="2">
        <f t="shared" si="187"/>
        <v>7201590</v>
      </c>
      <c r="O717" s="2">
        <f t="shared" si="187"/>
        <v>0</v>
      </c>
      <c r="P717" s="2">
        <f t="shared" si="187"/>
        <v>0</v>
      </c>
      <c r="Q717" s="2">
        <f t="shared" si="187"/>
        <v>3138.19</v>
      </c>
      <c r="R717" s="2">
        <f t="shared" si="187"/>
        <v>10042208</v>
      </c>
      <c r="S717" s="2">
        <f t="shared" si="187"/>
        <v>0</v>
      </c>
      <c r="T717" s="2">
        <f t="shared" si="187"/>
        <v>0</v>
      </c>
      <c r="U717" s="2">
        <f t="shared" si="187"/>
        <v>0</v>
      </c>
    </row>
    <row r="718" spans="1:22" ht="25.15" customHeight="1" x14ac:dyDescent="0.25">
      <c r="A718" s="36" t="s">
        <v>1612</v>
      </c>
      <c r="B718" s="8" t="s">
        <v>831</v>
      </c>
      <c r="C718" s="2">
        <f t="shared" si="180"/>
        <v>10042208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3138.19</v>
      </c>
      <c r="R718" s="3">
        <f>Q718*3200</f>
        <v>10042208</v>
      </c>
      <c r="S718" s="5">
        <v>0</v>
      </c>
      <c r="T718" s="5">
        <v>0</v>
      </c>
      <c r="U718" s="5">
        <v>0</v>
      </c>
      <c r="V718" s="6" t="e">
        <f>N718/M718</f>
        <v>#DIV/0!</v>
      </c>
    </row>
    <row r="719" spans="1:22" s="6" customFormat="1" ht="25.15" customHeight="1" x14ac:dyDescent="0.25">
      <c r="A719" s="36" t="s">
        <v>1613</v>
      </c>
      <c r="B719" s="8" t="s">
        <v>72</v>
      </c>
      <c r="C719" s="2">
        <f t="shared" si="180"/>
        <v>4389990</v>
      </c>
      <c r="D719" s="3">
        <f>SUM(E719:J719)</f>
        <v>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11">
        <v>0</v>
      </c>
      <c r="L719" s="5">
        <v>0</v>
      </c>
      <c r="M719" s="5">
        <v>665.15</v>
      </c>
      <c r="N719" s="3">
        <f>M719*6600</f>
        <v>4389990</v>
      </c>
      <c r="O719" s="5">
        <v>0</v>
      </c>
      <c r="P719" s="5">
        <v>0</v>
      </c>
      <c r="Q719" s="5">
        <v>0</v>
      </c>
      <c r="R719" s="3">
        <f>Q719*3200</f>
        <v>0</v>
      </c>
      <c r="S719" s="5">
        <v>0</v>
      </c>
      <c r="T719" s="5">
        <v>0</v>
      </c>
      <c r="U719" s="5">
        <v>0</v>
      </c>
      <c r="V719" s="6">
        <f>N719/M719</f>
        <v>6600</v>
      </c>
    </row>
    <row r="720" spans="1:22" s="6" customFormat="1" ht="25.15" customHeight="1" x14ac:dyDescent="0.25">
      <c r="A720" s="36" t="s">
        <v>1614</v>
      </c>
      <c r="B720" s="8" t="s">
        <v>846</v>
      </c>
      <c r="C720" s="2">
        <f t="shared" si="180"/>
        <v>2811600</v>
      </c>
      <c r="D720" s="3">
        <f>SUM(E720:J720)</f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11">
        <v>0</v>
      </c>
      <c r="L720" s="5">
        <v>0</v>
      </c>
      <c r="M720" s="5">
        <v>426</v>
      </c>
      <c r="N720" s="3">
        <f>M720*6600</f>
        <v>2811600</v>
      </c>
      <c r="O720" s="5">
        <v>0</v>
      </c>
      <c r="P720" s="5">
        <v>0</v>
      </c>
      <c r="Q720" s="5">
        <v>0</v>
      </c>
      <c r="R720" s="3">
        <f>Q720*3200</f>
        <v>0</v>
      </c>
      <c r="S720" s="5">
        <v>0</v>
      </c>
      <c r="T720" s="5">
        <v>0</v>
      </c>
      <c r="U720" s="5">
        <v>0</v>
      </c>
      <c r="V720" s="6">
        <f>N720/M720</f>
        <v>6600</v>
      </c>
    </row>
    <row r="721" spans="1:258" ht="45" customHeight="1" x14ac:dyDescent="0.25">
      <c r="A721" s="54" t="s">
        <v>905</v>
      </c>
      <c r="B721" s="54"/>
      <c r="C721" s="2">
        <f>SUM(C722)</f>
        <v>2162556</v>
      </c>
      <c r="D721" s="2">
        <f t="shared" ref="D721:U721" si="188">SUM(D722)</f>
        <v>0</v>
      </c>
      <c r="E721" s="2">
        <f t="shared" si="188"/>
        <v>0</v>
      </c>
      <c r="F721" s="2">
        <f t="shared" si="188"/>
        <v>0</v>
      </c>
      <c r="G721" s="2">
        <f t="shared" si="188"/>
        <v>0</v>
      </c>
      <c r="H721" s="2">
        <f t="shared" si="188"/>
        <v>0</v>
      </c>
      <c r="I721" s="2">
        <f t="shared" si="188"/>
        <v>0</v>
      </c>
      <c r="J721" s="2">
        <f t="shared" si="188"/>
        <v>0</v>
      </c>
      <c r="K721" s="14">
        <f t="shared" si="188"/>
        <v>0</v>
      </c>
      <c r="L721" s="2">
        <f t="shared" si="188"/>
        <v>0</v>
      </c>
      <c r="M721" s="2">
        <f t="shared" si="188"/>
        <v>0</v>
      </c>
      <c r="N721" s="2">
        <f t="shared" si="188"/>
        <v>0</v>
      </c>
      <c r="O721" s="2">
        <f t="shared" si="188"/>
        <v>323.25</v>
      </c>
      <c r="P721" s="2">
        <f t="shared" si="188"/>
        <v>387900</v>
      </c>
      <c r="Q721" s="2">
        <f t="shared" si="188"/>
        <v>554.58000000000004</v>
      </c>
      <c r="R721" s="2">
        <f t="shared" si="188"/>
        <v>1774656.0000000002</v>
      </c>
      <c r="S721" s="2">
        <f t="shared" si="188"/>
        <v>0</v>
      </c>
      <c r="T721" s="2">
        <f t="shared" si="188"/>
        <v>0</v>
      </c>
      <c r="U721" s="2">
        <f t="shared" si="188"/>
        <v>0</v>
      </c>
      <c r="V721" s="18">
        <f>C721</f>
        <v>2162556</v>
      </c>
    </row>
    <row r="722" spans="1:258" ht="25.15" customHeight="1" x14ac:dyDescent="0.25">
      <c r="A722" s="37" t="s">
        <v>1615</v>
      </c>
      <c r="B722" s="8" t="s">
        <v>906</v>
      </c>
      <c r="C722" s="2">
        <f>D722+L722+N722+P722+R722+S722+T722+U722</f>
        <v>2162556</v>
      </c>
      <c r="D722" s="3">
        <f>SUM(E722:J722)</f>
        <v>0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4">
        <v>0</v>
      </c>
      <c r="L722" s="3">
        <v>0</v>
      </c>
      <c r="M722" s="3">
        <v>0</v>
      </c>
      <c r="N722" s="3">
        <v>0</v>
      </c>
      <c r="O722" s="3">
        <v>323.25</v>
      </c>
      <c r="P722" s="3">
        <f>O722*1200</f>
        <v>387900</v>
      </c>
      <c r="Q722" s="3">
        <v>554.58000000000004</v>
      </c>
      <c r="R722" s="3">
        <f>Q722*3200</f>
        <v>1774656.0000000002</v>
      </c>
      <c r="S722" s="3">
        <v>0</v>
      </c>
      <c r="T722" s="3">
        <v>0</v>
      </c>
      <c r="U722" s="3">
        <v>0</v>
      </c>
      <c r="V722" s="6" t="e">
        <f>N722/M722</f>
        <v>#DIV/0!</v>
      </c>
    </row>
    <row r="723" spans="1:258" ht="45" customHeight="1" x14ac:dyDescent="0.25">
      <c r="A723" s="54" t="s">
        <v>2</v>
      </c>
      <c r="B723" s="54"/>
      <c r="C723" s="2">
        <f>SUM(C724:C726)</f>
        <v>14020260</v>
      </c>
      <c r="D723" s="2">
        <f t="shared" ref="D723:U723" si="189">SUM(D724:D726)</f>
        <v>3377460</v>
      </c>
      <c r="E723" s="2">
        <f t="shared" si="189"/>
        <v>1137150</v>
      </c>
      <c r="F723" s="2">
        <f t="shared" si="189"/>
        <v>797289.99999999988</v>
      </c>
      <c r="G723" s="2">
        <f t="shared" si="189"/>
        <v>487350</v>
      </c>
      <c r="H723" s="2">
        <f t="shared" si="189"/>
        <v>245319.99999999997</v>
      </c>
      <c r="I723" s="2">
        <f t="shared" si="189"/>
        <v>710350</v>
      </c>
      <c r="J723" s="2">
        <f t="shared" si="189"/>
        <v>0</v>
      </c>
      <c r="K723" s="14">
        <f t="shared" si="189"/>
        <v>0</v>
      </c>
      <c r="L723" s="2">
        <f t="shared" si="189"/>
        <v>0</v>
      </c>
      <c r="M723" s="2">
        <f t="shared" si="189"/>
        <v>1198</v>
      </c>
      <c r="N723" s="2">
        <f t="shared" si="189"/>
        <v>7906800</v>
      </c>
      <c r="O723" s="2">
        <f t="shared" si="189"/>
        <v>0</v>
      </c>
      <c r="P723" s="2">
        <f t="shared" si="189"/>
        <v>0</v>
      </c>
      <c r="Q723" s="2">
        <f t="shared" si="189"/>
        <v>730</v>
      </c>
      <c r="R723" s="2">
        <f t="shared" si="189"/>
        <v>2336000</v>
      </c>
      <c r="S723" s="2">
        <f t="shared" si="189"/>
        <v>0</v>
      </c>
      <c r="T723" s="2">
        <f t="shared" si="189"/>
        <v>0</v>
      </c>
      <c r="U723" s="2">
        <f t="shared" si="189"/>
        <v>400000</v>
      </c>
    </row>
    <row r="724" spans="1:258" s="17" customFormat="1" ht="25.15" customHeight="1" x14ac:dyDescent="0.25">
      <c r="A724" s="36" t="s">
        <v>1616</v>
      </c>
      <c r="B724" s="8" t="s">
        <v>75</v>
      </c>
      <c r="C724" s="2">
        <f t="shared" si="180"/>
        <v>5044560</v>
      </c>
      <c r="D724" s="3">
        <f>SUM(E724:J724)</f>
        <v>1314560</v>
      </c>
      <c r="E724" s="3">
        <f>700*1011.2</f>
        <v>707840</v>
      </c>
      <c r="F724" s="3">
        <v>0</v>
      </c>
      <c r="G724" s="3">
        <f>300*1011.2</f>
        <v>303360</v>
      </c>
      <c r="H724" s="3">
        <v>0</v>
      </c>
      <c r="I724" s="3">
        <f>300*1011.2</f>
        <v>303360</v>
      </c>
      <c r="J724" s="3">
        <f>350*0</f>
        <v>0</v>
      </c>
      <c r="K724" s="4">
        <v>0</v>
      </c>
      <c r="L724" s="3">
        <v>0</v>
      </c>
      <c r="M724" s="5">
        <v>550</v>
      </c>
      <c r="N724" s="5">
        <f>M724*6600</f>
        <v>3630000</v>
      </c>
      <c r="O724" s="3">
        <v>0</v>
      </c>
      <c r="P724" s="3">
        <v>0</v>
      </c>
      <c r="Q724" s="3">
        <v>0</v>
      </c>
      <c r="R724" s="3">
        <f>Q724*3200</f>
        <v>0</v>
      </c>
      <c r="S724" s="3">
        <v>0</v>
      </c>
      <c r="T724" s="3">
        <v>0</v>
      </c>
      <c r="U724" s="3">
        <v>100000</v>
      </c>
      <c r="V724" s="6">
        <f>N724/M724</f>
        <v>6600</v>
      </c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  <c r="DL724" s="7"/>
      <c r="DM724" s="7"/>
      <c r="DN724" s="7"/>
      <c r="DO724" s="7"/>
      <c r="DP724" s="7"/>
      <c r="DQ724" s="7"/>
      <c r="DR724" s="7"/>
      <c r="DS724" s="7"/>
      <c r="DT724" s="7"/>
      <c r="DU724" s="7"/>
      <c r="DV724" s="7"/>
      <c r="DW724" s="7"/>
      <c r="DX724" s="7"/>
      <c r="DY724" s="7"/>
      <c r="DZ724" s="7"/>
      <c r="EA724" s="7"/>
      <c r="EB724" s="7"/>
      <c r="EC724" s="7"/>
      <c r="ED724" s="7"/>
      <c r="EE724" s="7"/>
      <c r="EF724" s="7"/>
      <c r="EG724" s="7"/>
      <c r="EH724" s="7"/>
      <c r="EI724" s="7"/>
      <c r="EJ724" s="7"/>
      <c r="EK724" s="7"/>
      <c r="EL724" s="7"/>
      <c r="EM724" s="7"/>
      <c r="EN724" s="7"/>
      <c r="EO724" s="7"/>
      <c r="EP724" s="7"/>
      <c r="EQ724" s="7"/>
      <c r="ER724" s="7"/>
      <c r="ES724" s="7"/>
      <c r="ET724" s="7"/>
      <c r="EU724" s="7"/>
      <c r="EV724" s="7"/>
      <c r="EW724" s="7"/>
      <c r="EX724" s="7"/>
      <c r="EY724" s="7"/>
      <c r="EZ724" s="7"/>
      <c r="FA724" s="7"/>
      <c r="FB724" s="7"/>
      <c r="FC724" s="7"/>
      <c r="FD724" s="7"/>
      <c r="FE724" s="7"/>
      <c r="FF724" s="7"/>
      <c r="FG724" s="7"/>
      <c r="FH724" s="7"/>
      <c r="FI724" s="7"/>
      <c r="FJ724" s="7"/>
      <c r="FK724" s="7"/>
      <c r="FL724" s="7"/>
      <c r="FM724" s="7"/>
      <c r="FN724" s="7"/>
      <c r="FO724" s="7"/>
      <c r="FP724" s="7"/>
      <c r="FQ724" s="7"/>
      <c r="FR724" s="7"/>
      <c r="FS724" s="7"/>
      <c r="FT724" s="7"/>
      <c r="FU724" s="7"/>
      <c r="FV724" s="7"/>
      <c r="FW724" s="7"/>
      <c r="FX724" s="7"/>
      <c r="FY724" s="7"/>
      <c r="FZ724" s="7"/>
      <c r="GA724" s="7"/>
      <c r="GB724" s="7"/>
      <c r="GC724" s="7"/>
      <c r="GD724" s="7"/>
      <c r="GE724" s="7"/>
      <c r="GF724" s="7"/>
      <c r="GG724" s="7"/>
      <c r="GH724" s="7"/>
      <c r="GI724" s="7"/>
      <c r="GJ724" s="7"/>
      <c r="GK724" s="7"/>
      <c r="GL724" s="7"/>
      <c r="GM724" s="7"/>
      <c r="GN724" s="7"/>
      <c r="GO724" s="7"/>
      <c r="GP724" s="7"/>
      <c r="GQ724" s="7"/>
      <c r="GR724" s="7"/>
      <c r="GS724" s="7"/>
      <c r="GT724" s="7"/>
      <c r="GU724" s="7"/>
      <c r="GV724" s="7"/>
      <c r="GW724" s="7"/>
      <c r="GX724" s="7"/>
      <c r="GY724" s="7"/>
      <c r="GZ724" s="7"/>
      <c r="HA724" s="7"/>
      <c r="HB724" s="7"/>
      <c r="HC724" s="7"/>
      <c r="HD724" s="7"/>
      <c r="HE724" s="7"/>
      <c r="HF724" s="7"/>
      <c r="HG724" s="7"/>
      <c r="HH724" s="7"/>
      <c r="HI724" s="7"/>
      <c r="HJ724" s="7"/>
      <c r="HK724" s="7"/>
      <c r="HL724" s="7"/>
      <c r="HM724" s="7"/>
      <c r="HN724" s="7"/>
      <c r="HO724" s="7"/>
      <c r="HP724" s="7"/>
      <c r="HQ724" s="7"/>
      <c r="HR724" s="7"/>
      <c r="HS724" s="7"/>
      <c r="HT724" s="7"/>
      <c r="HU724" s="7"/>
      <c r="HV724" s="7"/>
      <c r="HW724" s="7"/>
      <c r="HX724" s="7"/>
      <c r="HY724" s="7"/>
      <c r="HZ724" s="7"/>
      <c r="IA724" s="7"/>
      <c r="IB724" s="7"/>
      <c r="IC724" s="7"/>
      <c r="ID724" s="7"/>
      <c r="IE724" s="7"/>
      <c r="IF724" s="7"/>
      <c r="IG724" s="7"/>
      <c r="IH724" s="7"/>
      <c r="II724" s="7"/>
      <c r="IJ724" s="7"/>
      <c r="IK724" s="7"/>
      <c r="IL724" s="7"/>
      <c r="IM724" s="7"/>
      <c r="IN724" s="7"/>
      <c r="IO724" s="7"/>
      <c r="IP724" s="7"/>
      <c r="IQ724" s="7"/>
      <c r="IR724" s="7"/>
      <c r="IS724" s="7"/>
      <c r="IT724" s="7"/>
      <c r="IU724" s="7"/>
      <c r="IV724" s="7"/>
      <c r="IW724" s="7"/>
      <c r="IX724" s="7"/>
    </row>
    <row r="725" spans="1:258" ht="25.15" customHeight="1" x14ac:dyDescent="0.25">
      <c r="A725" s="36" t="s">
        <v>1617</v>
      </c>
      <c r="B725" s="8" t="s">
        <v>77</v>
      </c>
      <c r="C725" s="2">
        <f>D725+L725+N725+P725+R725+S725+T725+U725</f>
        <v>7035800</v>
      </c>
      <c r="D725" s="3">
        <f>SUM(E725:J725)</f>
        <v>223000</v>
      </c>
      <c r="E725" s="3">
        <v>0</v>
      </c>
      <c r="F725" s="3">
        <f>800*0</f>
        <v>0</v>
      </c>
      <c r="G725" s="3">
        <v>0</v>
      </c>
      <c r="H725" s="3">
        <f>400*0</f>
        <v>0</v>
      </c>
      <c r="I725" s="3">
        <f>250*892</f>
        <v>223000</v>
      </c>
      <c r="J725" s="3">
        <f>350*0</f>
        <v>0</v>
      </c>
      <c r="K725" s="4">
        <v>0</v>
      </c>
      <c r="L725" s="3">
        <v>0</v>
      </c>
      <c r="M725" s="5">
        <v>648</v>
      </c>
      <c r="N725" s="3">
        <f>M725*6600</f>
        <v>4276800</v>
      </c>
      <c r="O725" s="3">
        <v>0</v>
      </c>
      <c r="P725" s="3">
        <v>0</v>
      </c>
      <c r="Q725" s="3">
        <v>730</v>
      </c>
      <c r="R725" s="3">
        <f>Q725*3200</f>
        <v>2336000</v>
      </c>
      <c r="S725" s="5">
        <v>0</v>
      </c>
      <c r="T725" s="3">
        <v>0</v>
      </c>
      <c r="U725" s="3">
        <v>200000</v>
      </c>
      <c r="V725" s="6">
        <f>N725/M725</f>
        <v>6600</v>
      </c>
    </row>
    <row r="726" spans="1:258" ht="25.15" customHeight="1" x14ac:dyDescent="0.25">
      <c r="A726" s="36" t="s">
        <v>1618</v>
      </c>
      <c r="B726" s="8" t="s">
        <v>76</v>
      </c>
      <c r="C726" s="2">
        <f t="shared" si="180"/>
        <v>1939899.9999999998</v>
      </c>
      <c r="D726" s="3">
        <f>SUM(E726:J726)</f>
        <v>1839899.9999999998</v>
      </c>
      <c r="E726" s="3">
        <f>700*613.3</f>
        <v>429309.99999999994</v>
      </c>
      <c r="F726" s="3">
        <f>1300*613.3</f>
        <v>797289.99999999988</v>
      </c>
      <c r="G726" s="3">
        <f>300*613.3</f>
        <v>183990</v>
      </c>
      <c r="H726" s="3">
        <f>400*613.3</f>
        <v>245319.99999999997</v>
      </c>
      <c r="I726" s="3">
        <f>300*613.3</f>
        <v>183990</v>
      </c>
      <c r="J726" s="3">
        <f>350*0</f>
        <v>0</v>
      </c>
      <c r="K726" s="11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3">
        <f>Q726*3200</f>
        <v>0</v>
      </c>
      <c r="S726" s="5">
        <v>0</v>
      </c>
      <c r="T726" s="3">
        <v>0</v>
      </c>
      <c r="U726" s="5">
        <v>100000</v>
      </c>
      <c r="V726" s="6" t="e">
        <f>N726/M726</f>
        <v>#DIV/0!</v>
      </c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6"/>
      <c r="EB726" s="6"/>
      <c r="EC726" s="6"/>
      <c r="ED726" s="6"/>
      <c r="EE726" s="6"/>
      <c r="EF726" s="6"/>
      <c r="EG726" s="6"/>
      <c r="EH726" s="6"/>
      <c r="EI726" s="6"/>
      <c r="EJ726" s="6"/>
      <c r="EK726" s="6"/>
      <c r="EL726" s="6"/>
      <c r="EM726" s="6"/>
      <c r="EN726" s="6"/>
      <c r="EO726" s="6"/>
      <c r="EP726" s="6"/>
      <c r="EQ726" s="6"/>
      <c r="ER726" s="6"/>
      <c r="ES726" s="6"/>
      <c r="ET726" s="6"/>
      <c r="EU726" s="6"/>
      <c r="EV726" s="6"/>
      <c r="EW726" s="6"/>
      <c r="EX726" s="6"/>
      <c r="EY726" s="6"/>
      <c r="EZ726" s="6"/>
      <c r="FA726" s="6"/>
      <c r="FB726" s="6"/>
      <c r="FC726" s="6"/>
      <c r="FD726" s="6"/>
      <c r="FE726" s="6"/>
      <c r="FF726" s="6"/>
      <c r="FG726" s="6"/>
      <c r="FH726" s="6"/>
      <c r="FI726" s="6"/>
      <c r="FJ726" s="6"/>
      <c r="FK726" s="6"/>
      <c r="FL726" s="6"/>
      <c r="FM726" s="6"/>
      <c r="FN726" s="6"/>
      <c r="FO726" s="6"/>
      <c r="FP726" s="6"/>
      <c r="FQ726" s="6"/>
      <c r="FR726" s="6"/>
      <c r="FS726" s="6"/>
      <c r="FT726" s="6"/>
      <c r="FU726" s="6"/>
      <c r="FV726" s="6"/>
      <c r="FW726" s="6"/>
      <c r="FX726" s="6"/>
      <c r="FY726" s="6"/>
      <c r="FZ726" s="6"/>
      <c r="GA726" s="6"/>
      <c r="GB726" s="6"/>
      <c r="GC726" s="6"/>
      <c r="GD726" s="6"/>
      <c r="GE726" s="6"/>
      <c r="GF726" s="6"/>
      <c r="GG726" s="6"/>
      <c r="GH726" s="6"/>
      <c r="GI726" s="6"/>
      <c r="GJ726" s="6"/>
      <c r="GK726" s="6"/>
      <c r="GL726" s="6"/>
      <c r="GM726" s="6"/>
      <c r="GN726" s="6"/>
      <c r="GO726" s="6"/>
      <c r="GP726" s="6"/>
      <c r="GQ726" s="6"/>
      <c r="GR726" s="6"/>
      <c r="GS726" s="6"/>
      <c r="GT726" s="6"/>
      <c r="GU726" s="6"/>
      <c r="GV726" s="6"/>
      <c r="GW726" s="6"/>
      <c r="GX726" s="6"/>
      <c r="GY726" s="6"/>
      <c r="GZ726" s="6"/>
      <c r="HA726" s="6"/>
      <c r="HB726" s="6"/>
      <c r="HC726" s="6"/>
      <c r="HD726" s="6"/>
      <c r="HE726" s="6"/>
      <c r="HF726" s="6"/>
      <c r="HG726" s="6"/>
      <c r="HH726" s="6"/>
      <c r="HI726" s="6"/>
      <c r="HJ726" s="6"/>
      <c r="HK726" s="6"/>
      <c r="HL726" s="6"/>
      <c r="HM726" s="6"/>
      <c r="HN726" s="6"/>
      <c r="HO726" s="6"/>
      <c r="HP726" s="6"/>
      <c r="HQ726" s="6"/>
      <c r="HR726" s="6"/>
      <c r="HS726" s="6"/>
      <c r="HT726" s="6"/>
      <c r="HU726" s="6"/>
      <c r="HV726" s="6"/>
      <c r="HW726" s="6"/>
      <c r="HX726" s="6"/>
      <c r="HY726" s="6"/>
      <c r="HZ726" s="6"/>
      <c r="IA726" s="6"/>
      <c r="IB726" s="6"/>
      <c r="IC726" s="6"/>
      <c r="ID726" s="6"/>
      <c r="IE726" s="6"/>
      <c r="IF726" s="6"/>
      <c r="IG726" s="6"/>
      <c r="IH726" s="6"/>
      <c r="II726" s="6"/>
      <c r="IJ726" s="6"/>
      <c r="IK726" s="6"/>
      <c r="IL726" s="6"/>
      <c r="IM726" s="6"/>
      <c r="IN726" s="6"/>
      <c r="IO726" s="6"/>
      <c r="IP726" s="6"/>
      <c r="IQ726" s="6"/>
      <c r="IR726" s="6"/>
      <c r="IS726" s="6"/>
      <c r="IT726" s="6"/>
      <c r="IU726" s="6"/>
      <c r="IV726" s="6"/>
      <c r="IW726" s="6"/>
      <c r="IX726" s="6"/>
    </row>
    <row r="727" spans="1:258" ht="45" customHeight="1" x14ac:dyDescent="0.25">
      <c r="A727" s="54" t="s">
        <v>81</v>
      </c>
      <c r="B727" s="54"/>
      <c r="C727" s="2">
        <f>SUM(C728:C730)</f>
        <v>4071420</v>
      </c>
      <c r="D727" s="2">
        <f t="shared" ref="D727:U727" si="190">SUM(D728:D730)</f>
        <v>235200</v>
      </c>
      <c r="E727" s="2">
        <f t="shared" si="190"/>
        <v>235200</v>
      </c>
      <c r="F727" s="2">
        <f t="shared" si="190"/>
        <v>0</v>
      </c>
      <c r="G727" s="2">
        <f t="shared" si="190"/>
        <v>0</v>
      </c>
      <c r="H727" s="2">
        <f t="shared" si="190"/>
        <v>0</v>
      </c>
      <c r="I727" s="2">
        <f t="shared" si="190"/>
        <v>0</v>
      </c>
      <c r="J727" s="2">
        <f t="shared" si="190"/>
        <v>0</v>
      </c>
      <c r="K727" s="14">
        <f t="shared" si="190"/>
        <v>0</v>
      </c>
      <c r="L727" s="2">
        <f t="shared" si="190"/>
        <v>0</v>
      </c>
      <c r="M727" s="2">
        <f t="shared" si="190"/>
        <v>374.7</v>
      </c>
      <c r="N727" s="2">
        <f t="shared" si="190"/>
        <v>2473020</v>
      </c>
      <c r="O727" s="2">
        <f t="shared" si="190"/>
        <v>0</v>
      </c>
      <c r="P727" s="2">
        <f t="shared" si="190"/>
        <v>0</v>
      </c>
      <c r="Q727" s="2">
        <f t="shared" si="190"/>
        <v>426</v>
      </c>
      <c r="R727" s="2">
        <f t="shared" si="190"/>
        <v>1363200</v>
      </c>
      <c r="S727" s="2">
        <f t="shared" si="190"/>
        <v>0</v>
      </c>
      <c r="T727" s="2">
        <f t="shared" si="190"/>
        <v>0</v>
      </c>
      <c r="U727" s="2">
        <f t="shared" si="190"/>
        <v>0</v>
      </c>
    </row>
    <row r="728" spans="1:258" ht="25.15" customHeight="1" x14ac:dyDescent="0.25">
      <c r="A728" s="37" t="s">
        <v>1619</v>
      </c>
      <c r="B728" s="1" t="s">
        <v>82</v>
      </c>
      <c r="C728" s="2">
        <f t="shared" si="180"/>
        <v>1219020</v>
      </c>
      <c r="D728" s="3">
        <f>SUM(E728:J728)</f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4">
        <v>0</v>
      </c>
      <c r="L728" s="3">
        <v>0</v>
      </c>
      <c r="M728" s="3">
        <v>184.7</v>
      </c>
      <c r="N728" s="3">
        <f>M728*6600</f>
        <v>1219020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0</v>
      </c>
      <c r="V728" s="6">
        <f>N728/M728</f>
        <v>6600</v>
      </c>
    </row>
    <row r="729" spans="1:258" s="17" customFormat="1" ht="25.15" customHeight="1" x14ac:dyDescent="0.25">
      <c r="A729" s="37" t="s">
        <v>1620</v>
      </c>
      <c r="B729" s="1" t="s">
        <v>83</v>
      </c>
      <c r="C729" s="2">
        <f t="shared" si="180"/>
        <v>1254000</v>
      </c>
      <c r="D729" s="3">
        <f>SUM(E729:J729)</f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4">
        <v>0</v>
      </c>
      <c r="L729" s="3">
        <v>0</v>
      </c>
      <c r="M729" s="3">
        <v>190</v>
      </c>
      <c r="N729" s="3">
        <f>M729*6600</f>
        <v>1254000</v>
      </c>
      <c r="O729" s="3">
        <v>0</v>
      </c>
      <c r="P729" s="3">
        <v>0</v>
      </c>
      <c r="Q729" s="3">
        <v>0</v>
      </c>
      <c r="R729" s="3">
        <f>Q729*3200</f>
        <v>0</v>
      </c>
      <c r="S729" s="3">
        <v>0</v>
      </c>
      <c r="T729" s="3">
        <v>0</v>
      </c>
      <c r="U729" s="3">
        <v>0</v>
      </c>
      <c r="V729" s="6">
        <f>N729/M729</f>
        <v>6600</v>
      </c>
    </row>
    <row r="730" spans="1:258" ht="25.15" customHeight="1" x14ac:dyDescent="0.25">
      <c r="A730" s="37" t="s">
        <v>1621</v>
      </c>
      <c r="B730" s="1" t="s">
        <v>84</v>
      </c>
      <c r="C730" s="2">
        <f t="shared" ref="C730" si="191">D730+L730+N730+P730+R730+S730+T730+U730</f>
        <v>1598400</v>
      </c>
      <c r="D730" s="3">
        <f>SUM(E730:J730)</f>
        <v>235200</v>
      </c>
      <c r="E730" s="3">
        <f>700*336</f>
        <v>235200</v>
      </c>
      <c r="F730" s="3">
        <v>0</v>
      </c>
      <c r="G730" s="3">
        <v>0</v>
      </c>
      <c r="H730" s="3">
        <v>0</v>
      </c>
      <c r="I730" s="3">
        <v>0</v>
      </c>
      <c r="J730" s="3">
        <f>350*0</f>
        <v>0</v>
      </c>
      <c r="K730" s="11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426</v>
      </c>
      <c r="R730" s="3">
        <f>Q730*3200</f>
        <v>1363200</v>
      </c>
      <c r="S730" s="5">
        <v>0</v>
      </c>
      <c r="T730" s="5">
        <v>0</v>
      </c>
      <c r="U730" s="5">
        <v>0</v>
      </c>
      <c r="V730" s="6" t="e">
        <f>N730/M730</f>
        <v>#DIV/0!</v>
      </c>
    </row>
    <row r="731" spans="1:258" ht="45" customHeight="1" x14ac:dyDescent="0.25">
      <c r="A731" s="54" t="s">
        <v>810</v>
      </c>
      <c r="B731" s="54"/>
      <c r="C731" s="2">
        <f>SUM(C732:C736)</f>
        <v>21057930</v>
      </c>
      <c r="D731" s="2">
        <f t="shared" ref="D731:U731" si="192">SUM(D732:D736)</f>
        <v>4230220</v>
      </c>
      <c r="E731" s="2">
        <f t="shared" si="192"/>
        <v>1142386</v>
      </c>
      <c r="F731" s="2">
        <f t="shared" si="192"/>
        <v>1612494</v>
      </c>
      <c r="G731" s="2">
        <f t="shared" si="192"/>
        <v>489594</v>
      </c>
      <c r="H731" s="2">
        <f t="shared" si="192"/>
        <v>496152</v>
      </c>
      <c r="I731" s="2">
        <f t="shared" si="192"/>
        <v>489594</v>
      </c>
      <c r="J731" s="2">
        <f t="shared" si="192"/>
        <v>0</v>
      </c>
      <c r="K731" s="14">
        <f t="shared" si="192"/>
        <v>0</v>
      </c>
      <c r="L731" s="2">
        <f t="shared" si="192"/>
        <v>0</v>
      </c>
      <c r="M731" s="2">
        <f t="shared" si="192"/>
        <v>2493.6</v>
      </c>
      <c r="N731" s="2">
        <f t="shared" si="192"/>
        <v>14748510</v>
      </c>
      <c r="O731" s="2">
        <f t="shared" si="192"/>
        <v>0</v>
      </c>
      <c r="P731" s="2">
        <f t="shared" si="192"/>
        <v>0</v>
      </c>
      <c r="Q731" s="2">
        <f t="shared" si="192"/>
        <v>556</v>
      </c>
      <c r="R731" s="2">
        <f t="shared" si="192"/>
        <v>1779200</v>
      </c>
      <c r="S731" s="2">
        <f t="shared" si="192"/>
        <v>0</v>
      </c>
      <c r="T731" s="2">
        <f t="shared" si="192"/>
        <v>0</v>
      </c>
      <c r="U731" s="2">
        <f t="shared" si="192"/>
        <v>300000</v>
      </c>
    </row>
    <row r="732" spans="1:258" ht="25.15" customHeight="1" x14ac:dyDescent="0.25">
      <c r="A732" s="37" t="s">
        <v>1622</v>
      </c>
      <c r="B732" s="8" t="s">
        <v>85</v>
      </c>
      <c r="C732" s="2">
        <f t="shared" si="180"/>
        <v>2532320</v>
      </c>
      <c r="D732" s="3">
        <f>SUM(E732:J732)</f>
        <v>509080</v>
      </c>
      <c r="E732" s="3">
        <f>700*391.6</f>
        <v>274120</v>
      </c>
      <c r="F732" s="3">
        <v>0</v>
      </c>
      <c r="G732" s="3">
        <f>300*391.6</f>
        <v>117480</v>
      </c>
      <c r="H732" s="3">
        <v>0</v>
      </c>
      <c r="I732" s="3">
        <f>300*391.6</f>
        <v>117480</v>
      </c>
      <c r="J732" s="3">
        <f>350*0</f>
        <v>0</v>
      </c>
      <c r="K732" s="4">
        <v>0</v>
      </c>
      <c r="L732" s="3">
        <v>0</v>
      </c>
      <c r="M732" s="5">
        <v>291.39999999999998</v>
      </c>
      <c r="N732" s="3">
        <f>M732*6600</f>
        <v>1923239.9999999998</v>
      </c>
      <c r="O732" s="3">
        <v>0</v>
      </c>
      <c r="P732" s="3">
        <v>0</v>
      </c>
      <c r="Q732" s="3">
        <v>0</v>
      </c>
      <c r="R732" s="3">
        <f>Q732*3200</f>
        <v>0</v>
      </c>
      <c r="S732" s="3">
        <v>0</v>
      </c>
      <c r="T732" s="3">
        <v>0</v>
      </c>
      <c r="U732" s="3">
        <v>100000</v>
      </c>
      <c r="V732" s="6">
        <f>N732/M732</f>
        <v>6600</v>
      </c>
    </row>
    <row r="733" spans="1:258" ht="25.15" customHeight="1" x14ac:dyDescent="0.25">
      <c r="A733" s="37" t="s">
        <v>1623</v>
      </c>
      <c r="B733" s="8" t="s">
        <v>845</v>
      </c>
      <c r="C733" s="2">
        <f t="shared" si="180"/>
        <v>7446000</v>
      </c>
      <c r="D733" s="3">
        <f>SUM(E733:J733)</f>
        <v>2240400</v>
      </c>
      <c r="E733" s="3">
        <f>700*746.8</f>
        <v>522759.99999999994</v>
      </c>
      <c r="F733" s="3">
        <f>1300*746.8</f>
        <v>970839.99999999988</v>
      </c>
      <c r="G733" s="3">
        <f>300*746.8</f>
        <v>224040</v>
      </c>
      <c r="H733" s="3">
        <f>400*746.8</f>
        <v>298720</v>
      </c>
      <c r="I733" s="3">
        <f>300*746.8</f>
        <v>224040</v>
      </c>
      <c r="J733" s="3">
        <v>0</v>
      </c>
      <c r="K733" s="4">
        <v>0</v>
      </c>
      <c r="L733" s="3">
        <v>0</v>
      </c>
      <c r="M733" s="5">
        <v>504</v>
      </c>
      <c r="N733" s="3">
        <f>M733*6600</f>
        <v>3326400</v>
      </c>
      <c r="O733" s="3">
        <v>0</v>
      </c>
      <c r="P733" s="3">
        <v>0</v>
      </c>
      <c r="Q733" s="3">
        <v>556</v>
      </c>
      <c r="R733" s="3">
        <f>Q733*3200</f>
        <v>1779200</v>
      </c>
      <c r="S733" s="3">
        <v>0</v>
      </c>
      <c r="T733" s="3">
        <v>0</v>
      </c>
      <c r="U733" s="3">
        <v>100000</v>
      </c>
      <c r="V733" s="6">
        <f>N733/M733</f>
        <v>6600</v>
      </c>
    </row>
    <row r="734" spans="1:258" ht="25.15" customHeight="1" x14ac:dyDescent="0.25">
      <c r="A734" s="37" t="s">
        <v>1624</v>
      </c>
      <c r="B734" s="8" t="s">
        <v>86</v>
      </c>
      <c r="C734" s="2">
        <f t="shared" si="180"/>
        <v>3779860</v>
      </c>
      <c r="D734" s="3">
        <f>SUM(E734:J734)</f>
        <v>1480740</v>
      </c>
      <c r="E734" s="3">
        <f>700*493.58</f>
        <v>345506</v>
      </c>
      <c r="F734" s="3">
        <f>1300*493.58</f>
        <v>641654</v>
      </c>
      <c r="G734" s="3">
        <f>300*493.58</f>
        <v>148074</v>
      </c>
      <c r="H734" s="3">
        <f>400*493.58</f>
        <v>197432</v>
      </c>
      <c r="I734" s="3">
        <f>300*493.58</f>
        <v>148074</v>
      </c>
      <c r="J734" s="3">
        <v>0</v>
      </c>
      <c r="K734" s="4">
        <v>0</v>
      </c>
      <c r="L734" s="3">
        <v>0</v>
      </c>
      <c r="M734" s="5">
        <v>333.2</v>
      </c>
      <c r="N734" s="3">
        <f>M734*6600</f>
        <v>2199120</v>
      </c>
      <c r="O734" s="3">
        <v>0</v>
      </c>
      <c r="P734" s="3">
        <v>0</v>
      </c>
      <c r="Q734" s="3">
        <v>0</v>
      </c>
      <c r="R734" s="3">
        <f>Q734*3200</f>
        <v>0</v>
      </c>
      <c r="S734" s="3">
        <v>0</v>
      </c>
      <c r="T734" s="3">
        <v>0</v>
      </c>
      <c r="U734" s="3">
        <v>100000</v>
      </c>
      <c r="V734" s="6">
        <f>N734/M734</f>
        <v>6600</v>
      </c>
    </row>
    <row r="735" spans="1:258" ht="25.15" customHeight="1" x14ac:dyDescent="0.25">
      <c r="A735" s="37" t="s">
        <v>1625</v>
      </c>
      <c r="B735" s="8" t="s">
        <v>88</v>
      </c>
      <c r="C735" s="2">
        <f>D735+L735+N735+P735+R735+S735+T735+U735</f>
        <v>3537750</v>
      </c>
      <c r="D735" s="3">
        <f>SUM(E735:J735)</f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4">
        <v>0</v>
      </c>
      <c r="L735" s="3">
        <v>0</v>
      </c>
      <c r="M735" s="3">
        <v>795</v>
      </c>
      <c r="N735" s="20">
        <f>M735*4450</f>
        <v>3537750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6">
        <f>N735/M735</f>
        <v>4450</v>
      </c>
    </row>
    <row r="736" spans="1:258" ht="25.15" customHeight="1" x14ac:dyDescent="0.25">
      <c r="A736" s="37" t="s">
        <v>1626</v>
      </c>
      <c r="B736" s="8" t="s">
        <v>89</v>
      </c>
      <c r="C736" s="2">
        <f t="shared" si="180"/>
        <v>3762000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3">
        <v>570</v>
      </c>
      <c r="N736" s="3">
        <f>M736*6600</f>
        <v>3762000</v>
      </c>
      <c r="O736" s="3">
        <v>0</v>
      </c>
      <c r="P736" s="3">
        <v>0</v>
      </c>
      <c r="Q736" s="3">
        <v>0</v>
      </c>
      <c r="R736" s="3">
        <f>Q736*3200</f>
        <v>0</v>
      </c>
      <c r="S736" s="3">
        <v>0</v>
      </c>
      <c r="T736" s="3">
        <v>0</v>
      </c>
      <c r="U736" s="3">
        <v>0</v>
      </c>
      <c r="V736" s="6">
        <f>N736/M736</f>
        <v>6600</v>
      </c>
    </row>
    <row r="737" spans="1:22" ht="45" customHeight="1" x14ac:dyDescent="0.25">
      <c r="A737" s="54" t="s">
        <v>92</v>
      </c>
      <c r="B737" s="54"/>
      <c r="C737" s="2">
        <f>SUM(C738)</f>
        <v>2958786</v>
      </c>
      <c r="D737" s="2">
        <f t="shared" ref="D737:U737" si="193">SUM(D738)</f>
        <v>345506</v>
      </c>
      <c r="E737" s="2">
        <f t="shared" si="193"/>
        <v>345506</v>
      </c>
      <c r="F737" s="2">
        <f t="shared" si="193"/>
        <v>0</v>
      </c>
      <c r="G737" s="2">
        <f t="shared" si="193"/>
        <v>0</v>
      </c>
      <c r="H737" s="2">
        <f t="shared" si="193"/>
        <v>0</v>
      </c>
      <c r="I737" s="2">
        <f t="shared" si="193"/>
        <v>0</v>
      </c>
      <c r="J737" s="2">
        <f t="shared" si="193"/>
        <v>0</v>
      </c>
      <c r="K737" s="14">
        <f t="shared" si="193"/>
        <v>0</v>
      </c>
      <c r="L737" s="2">
        <f t="shared" si="193"/>
        <v>0</v>
      </c>
      <c r="M737" s="2">
        <f t="shared" si="193"/>
        <v>380.8</v>
      </c>
      <c r="N737" s="2">
        <f t="shared" si="193"/>
        <v>2513280</v>
      </c>
      <c r="O737" s="2">
        <f t="shared" si="193"/>
        <v>0</v>
      </c>
      <c r="P737" s="2">
        <f t="shared" si="193"/>
        <v>0</v>
      </c>
      <c r="Q737" s="2">
        <f t="shared" si="193"/>
        <v>0</v>
      </c>
      <c r="R737" s="2">
        <f t="shared" si="193"/>
        <v>0</v>
      </c>
      <c r="S737" s="2">
        <f t="shared" si="193"/>
        <v>0</v>
      </c>
      <c r="T737" s="2">
        <f t="shared" si="193"/>
        <v>0</v>
      </c>
      <c r="U737" s="2">
        <f t="shared" si="193"/>
        <v>100000</v>
      </c>
      <c r="V737" s="18">
        <f>C737</f>
        <v>2958786</v>
      </c>
    </row>
    <row r="738" spans="1:22" ht="25.15" customHeight="1" x14ac:dyDescent="0.25">
      <c r="A738" s="37" t="s">
        <v>1627</v>
      </c>
      <c r="B738" s="1" t="s">
        <v>91</v>
      </c>
      <c r="C738" s="2">
        <f>D738+L738+N738+P738+R738+S738+T738+U738</f>
        <v>2958786</v>
      </c>
      <c r="D738" s="3">
        <f>SUM(E738:J738)</f>
        <v>345506</v>
      </c>
      <c r="E738" s="3">
        <f>700*493.58</f>
        <v>345506</v>
      </c>
      <c r="F738" s="3">
        <v>0</v>
      </c>
      <c r="G738" s="3">
        <v>0</v>
      </c>
      <c r="H738" s="3">
        <f>400*0</f>
        <v>0</v>
      </c>
      <c r="I738" s="3">
        <v>0</v>
      </c>
      <c r="J738" s="3">
        <f>350*0</f>
        <v>0</v>
      </c>
      <c r="K738" s="4">
        <v>0</v>
      </c>
      <c r="L738" s="3">
        <v>0</v>
      </c>
      <c r="M738" s="5">
        <v>380.8</v>
      </c>
      <c r="N738" s="3">
        <f>M738*6600</f>
        <v>2513280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100000</v>
      </c>
      <c r="V738" s="6">
        <f>N738/M738</f>
        <v>6600</v>
      </c>
    </row>
    <row r="739" spans="1:22" ht="45" customHeight="1" x14ac:dyDescent="0.25">
      <c r="A739" s="54" t="s">
        <v>817</v>
      </c>
      <c r="B739" s="54"/>
      <c r="C739" s="2">
        <f>SUM(C740)</f>
        <v>5144200</v>
      </c>
      <c r="D739" s="2">
        <f t="shared" ref="D739:U739" si="194">SUM(D740)</f>
        <v>0</v>
      </c>
      <c r="E739" s="2">
        <f t="shared" si="194"/>
        <v>0</v>
      </c>
      <c r="F739" s="2">
        <f t="shared" si="194"/>
        <v>0</v>
      </c>
      <c r="G739" s="2">
        <f t="shared" si="194"/>
        <v>0</v>
      </c>
      <c r="H739" s="2">
        <f t="shared" si="194"/>
        <v>0</v>
      </c>
      <c r="I739" s="2">
        <f t="shared" si="194"/>
        <v>0</v>
      </c>
      <c r="J739" s="2">
        <f t="shared" si="194"/>
        <v>0</v>
      </c>
      <c r="K739" s="14">
        <f t="shared" si="194"/>
        <v>0</v>
      </c>
      <c r="L739" s="2">
        <f t="shared" si="194"/>
        <v>0</v>
      </c>
      <c r="M739" s="2">
        <f t="shared" si="194"/>
        <v>1156</v>
      </c>
      <c r="N739" s="2">
        <f t="shared" si="194"/>
        <v>5144200</v>
      </c>
      <c r="O739" s="2">
        <f t="shared" si="194"/>
        <v>0</v>
      </c>
      <c r="P739" s="2">
        <f t="shared" si="194"/>
        <v>0</v>
      </c>
      <c r="Q739" s="2">
        <f t="shared" si="194"/>
        <v>0</v>
      </c>
      <c r="R739" s="2">
        <f t="shared" si="194"/>
        <v>0</v>
      </c>
      <c r="S739" s="2">
        <f t="shared" si="194"/>
        <v>0</v>
      </c>
      <c r="T739" s="2">
        <f t="shared" si="194"/>
        <v>0</v>
      </c>
      <c r="U739" s="2">
        <f t="shared" si="194"/>
        <v>0</v>
      </c>
      <c r="V739" s="18">
        <f>C739</f>
        <v>5144200</v>
      </c>
    </row>
    <row r="740" spans="1:22" ht="25.15" customHeight="1" x14ac:dyDescent="0.25">
      <c r="A740" s="37" t="s">
        <v>1628</v>
      </c>
      <c r="B740" s="8" t="s">
        <v>818</v>
      </c>
      <c r="C740" s="2">
        <f t="shared" si="180"/>
        <v>5144200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0</v>
      </c>
      <c r="L740" s="3">
        <v>0</v>
      </c>
      <c r="M740" s="5">
        <v>1156</v>
      </c>
      <c r="N740" s="3">
        <f>M740*4450</f>
        <v>5144200</v>
      </c>
      <c r="O740" s="3">
        <v>0</v>
      </c>
      <c r="P740" s="3">
        <v>0</v>
      </c>
      <c r="Q740" s="3">
        <v>0</v>
      </c>
      <c r="R740" s="3">
        <f>Q740*3200</f>
        <v>0</v>
      </c>
      <c r="S740" s="3">
        <v>0</v>
      </c>
      <c r="T740" s="3">
        <v>0</v>
      </c>
      <c r="U740" s="3">
        <v>0</v>
      </c>
      <c r="V740" s="6">
        <f>N740/M740</f>
        <v>4450</v>
      </c>
    </row>
    <row r="741" spans="1:22" ht="45" customHeight="1" x14ac:dyDescent="0.25">
      <c r="A741" s="54" t="s">
        <v>93</v>
      </c>
      <c r="B741" s="54"/>
      <c r="C741" s="2">
        <f>SUM(C742:C744)</f>
        <v>7093502.1200000001</v>
      </c>
      <c r="D741" s="2">
        <f t="shared" ref="D741:U741" si="195">SUM(D742:D744)</f>
        <v>1093502.1200000001</v>
      </c>
      <c r="E741" s="2">
        <f t="shared" si="195"/>
        <v>0</v>
      </c>
      <c r="F741" s="2">
        <f t="shared" si="195"/>
        <v>1093502.1200000001</v>
      </c>
      <c r="G741" s="2">
        <f t="shared" si="195"/>
        <v>0</v>
      </c>
      <c r="H741" s="2">
        <f t="shared" si="195"/>
        <v>0</v>
      </c>
      <c r="I741" s="2">
        <f t="shared" si="195"/>
        <v>0</v>
      </c>
      <c r="J741" s="2">
        <f t="shared" si="195"/>
        <v>0</v>
      </c>
      <c r="K741" s="14">
        <f t="shared" si="195"/>
        <v>2</v>
      </c>
      <c r="L741" s="2">
        <f t="shared" si="195"/>
        <v>5600000</v>
      </c>
      <c r="M741" s="2">
        <f t="shared" si="195"/>
        <v>0</v>
      </c>
      <c r="N741" s="2">
        <f t="shared" si="195"/>
        <v>0</v>
      </c>
      <c r="O741" s="2">
        <f t="shared" si="195"/>
        <v>0</v>
      </c>
      <c r="P741" s="2">
        <f t="shared" si="195"/>
        <v>0</v>
      </c>
      <c r="Q741" s="2">
        <f t="shared" si="195"/>
        <v>0</v>
      </c>
      <c r="R741" s="2">
        <f t="shared" si="195"/>
        <v>0</v>
      </c>
      <c r="S741" s="2">
        <f t="shared" si="195"/>
        <v>0</v>
      </c>
      <c r="T741" s="2">
        <f t="shared" si="195"/>
        <v>0</v>
      </c>
      <c r="U741" s="2">
        <f t="shared" si="195"/>
        <v>400000</v>
      </c>
    </row>
    <row r="742" spans="1:22" ht="25.15" customHeight="1" x14ac:dyDescent="0.25">
      <c r="A742" s="37" t="s">
        <v>1629</v>
      </c>
      <c r="B742" s="8" t="s">
        <v>97</v>
      </c>
      <c r="C742" s="2">
        <f t="shared" si="180"/>
        <v>3000000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1</v>
      </c>
      <c r="L742" s="3">
        <v>2800000</v>
      </c>
      <c r="M742" s="5">
        <v>0</v>
      </c>
      <c r="N742" s="5">
        <v>0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200000</v>
      </c>
      <c r="V742" s="6" t="e">
        <f>N742/M742</f>
        <v>#DIV/0!</v>
      </c>
    </row>
    <row r="743" spans="1:22" ht="25.15" customHeight="1" x14ac:dyDescent="0.25">
      <c r="A743" s="37" t="s">
        <v>1630</v>
      </c>
      <c r="B743" s="8" t="s">
        <v>939</v>
      </c>
      <c r="C743" s="2">
        <f>D743+L743+N743+P743+R743+S743+T743+U743</f>
        <v>1093502.1200000001</v>
      </c>
      <c r="D743" s="3">
        <f>SUM(E743:J743)</f>
        <v>1093502.1200000001</v>
      </c>
      <c r="E743" s="3">
        <v>0</v>
      </c>
      <c r="F743" s="3">
        <v>1093502.1200000001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5">
        <v>0</v>
      </c>
      <c r="N743" s="5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6" t="e">
        <f>N743/M743</f>
        <v>#DIV/0!</v>
      </c>
    </row>
    <row r="744" spans="1:22" ht="25.15" customHeight="1" x14ac:dyDescent="0.25">
      <c r="A744" s="37" t="s">
        <v>1631</v>
      </c>
      <c r="B744" s="8" t="s">
        <v>101</v>
      </c>
      <c r="C744" s="2">
        <f t="shared" si="180"/>
        <v>3000000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4">
        <v>1</v>
      </c>
      <c r="L744" s="3">
        <v>2800000</v>
      </c>
      <c r="M744" s="5">
        <v>0</v>
      </c>
      <c r="N744" s="5">
        <v>0</v>
      </c>
      <c r="O744" s="3">
        <v>0</v>
      </c>
      <c r="P744" s="3">
        <v>0</v>
      </c>
      <c r="Q744" s="3">
        <v>0</v>
      </c>
      <c r="R744" s="3">
        <f>Q744*3200</f>
        <v>0</v>
      </c>
      <c r="S744" s="3">
        <v>0</v>
      </c>
      <c r="T744" s="3">
        <v>0</v>
      </c>
      <c r="U744" s="3">
        <v>200000</v>
      </c>
      <c r="V744" s="6" t="e">
        <f>N744/M744</f>
        <v>#DIV/0!</v>
      </c>
    </row>
    <row r="745" spans="1:22" ht="45" customHeight="1" x14ac:dyDescent="0.25">
      <c r="A745" s="54" t="s">
        <v>102</v>
      </c>
      <c r="B745" s="54"/>
      <c r="C745" s="2">
        <f>SUM(C746:C749)</f>
        <v>17807830</v>
      </c>
      <c r="D745" s="2">
        <f t="shared" ref="D745:U745" si="196">SUM(D746:D749)</f>
        <v>0</v>
      </c>
      <c r="E745" s="2">
        <f t="shared" si="196"/>
        <v>0</v>
      </c>
      <c r="F745" s="2">
        <f t="shared" si="196"/>
        <v>0</v>
      </c>
      <c r="G745" s="2">
        <f t="shared" si="196"/>
        <v>0</v>
      </c>
      <c r="H745" s="2">
        <f t="shared" si="196"/>
        <v>0</v>
      </c>
      <c r="I745" s="2">
        <f t="shared" si="196"/>
        <v>0</v>
      </c>
      <c r="J745" s="2">
        <f t="shared" si="196"/>
        <v>0</v>
      </c>
      <c r="K745" s="14">
        <f t="shared" si="196"/>
        <v>0</v>
      </c>
      <c r="L745" s="2">
        <f t="shared" si="196"/>
        <v>0</v>
      </c>
      <c r="M745" s="2">
        <f t="shared" si="196"/>
        <v>3054.6000000000004</v>
      </c>
      <c r="N745" s="2">
        <f t="shared" si="196"/>
        <v>17807830</v>
      </c>
      <c r="O745" s="2">
        <f t="shared" si="196"/>
        <v>0</v>
      </c>
      <c r="P745" s="2">
        <f t="shared" si="196"/>
        <v>0</v>
      </c>
      <c r="Q745" s="2">
        <f t="shared" si="196"/>
        <v>0</v>
      </c>
      <c r="R745" s="2">
        <f t="shared" si="196"/>
        <v>0</v>
      </c>
      <c r="S745" s="2">
        <f t="shared" si="196"/>
        <v>0</v>
      </c>
      <c r="T745" s="2">
        <f t="shared" si="196"/>
        <v>0</v>
      </c>
      <c r="U745" s="2">
        <f t="shared" si="196"/>
        <v>0</v>
      </c>
    </row>
    <row r="746" spans="1:22" ht="25.15" customHeight="1" x14ac:dyDescent="0.25">
      <c r="A746" s="37" t="s">
        <v>1632</v>
      </c>
      <c r="B746" s="8" t="s">
        <v>104</v>
      </c>
      <c r="C746" s="2">
        <f t="shared" si="180"/>
        <v>4435200</v>
      </c>
      <c r="D746" s="3">
        <f>SUM(E746:J746)</f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">
        <v>0</v>
      </c>
      <c r="L746" s="3">
        <v>0</v>
      </c>
      <c r="M746" s="5">
        <v>672</v>
      </c>
      <c r="N746" s="3">
        <f>M746*6600</f>
        <v>4435200</v>
      </c>
      <c r="O746" s="3">
        <v>0</v>
      </c>
      <c r="P746" s="3">
        <v>0</v>
      </c>
      <c r="Q746" s="3">
        <v>0</v>
      </c>
      <c r="R746" s="3">
        <f>Q746*3200</f>
        <v>0</v>
      </c>
      <c r="S746" s="3">
        <v>0</v>
      </c>
      <c r="T746" s="3">
        <v>0</v>
      </c>
      <c r="U746" s="3">
        <v>0</v>
      </c>
      <c r="V746" s="6">
        <f>N746/M746</f>
        <v>6600</v>
      </c>
    </row>
    <row r="747" spans="1:22" ht="24.6" customHeight="1" x14ac:dyDescent="0.25">
      <c r="A747" s="37" t="s">
        <v>1633</v>
      </c>
      <c r="B747" s="8" t="s">
        <v>106</v>
      </c>
      <c r="C747" s="2">
        <f t="shared" si="180"/>
        <v>5060880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4">
        <v>0</v>
      </c>
      <c r="L747" s="3">
        <v>0</v>
      </c>
      <c r="M747" s="5">
        <v>766.8</v>
      </c>
      <c r="N747" s="3">
        <f>M747*6600</f>
        <v>5060880</v>
      </c>
      <c r="O747" s="3">
        <v>0</v>
      </c>
      <c r="P747" s="3">
        <v>0</v>
      </c>
      <c r="Q747" s="3">
        <v>0</v>
      </c>
      <c r="R747" s="3">
        <f>Q747*3200</f>
        <v>0</v>
      </c>
      <c r="S747" s="3">
        <v>0</v>
      </c>
      <c r="T747" s="3">
        <v>0</v>
      </c>
      <c r="U747" s="3">
        <v>0</v>
      </c>
      <c r="V747" s="6">
        <f>N747/M747</f>
        <v>6600</v>
      </c>
    </row>
    <row r="748" spans="1:22" ht="25.15" customHeight="1" x14ac:dyDescent="0.25">
      <c r="A748" s="37" t="s">
        <v>1634</v>
      </c>
      <c r="B748" s="8" t="s">
        <v>109</v>
      </c>
      <c r="C748" s="2">
        <f>D748+L748+N748+P748+R748+S748+T748+U748</f>
        <v>3442560</v>
      </c>
      <c r="D748" s="3">
        <f>SUM(E748:J748)</f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4">
        <v>0</v>
      </c>
      <c r="L748" s="3">
        <v>0</v>
      </c>
      <c r="M748" s="5">
        <v>521.6</v>
      </c>
      <c r="N748" s="3">
        <f>M748*6600</f>
        <v>3442560</v>
      </c>
      <c r="O748" s="3">
        <v>0</v>
      </c>
      <c r="P748" s="3">
        <v>0</v>
      </c>
      <c r="Q748" s="3">
        <v>0</v>
      </c>
      <c r="R748" s="3">
        <f>Q748*3200</f>
        <v>0</v>
      </c>
      <c r="S748" s="3">
        <v>0</v>
      </c>
      <c r="T748" s="3">
        <v>0</v>
      </c>
      <c r="U748" s="3">
        <v>0</v>
      </c>
      <c r="V748" s="6">
        <f>N748/M748</f>
        <v>6600</v>
      </c>
    </row>
    <row r="749" spans="1:22" ht="25.15" customHeight="1" x14ac:dyDescent="0.25">
      <c r="A749" s="37" t="s">
        <v>1635</v>
      </c>
      <c r="B749" s="8" t="s">
        <v>107</v>
      </c>
      <c r="C749" s="2">
        <f t="shared" si="180"/>
        <v>4869190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5">
        <v>1094.2</v>
      </c>
      <c r="N749" s="3">
        <f>M749*4450</f>
        <v>4869190</v>
      </c>
      <c r="O749" s="3">
        <v>0</v>
      </c>
      <c r="P749" s="3">
        <v>0</v>
      </c>
      <c r="Q749" s="3">
        <v>0</v>
      </c>
      <c r="R749" s="3">
        <f>Q749*3200</f>
        <v>0</v>
      </c>
      <c r="S749" s="3">
        <v>0</v>
      </c>
      <c r="T749" s="3">
        <v>0</v>
      </c>
      <c r="U749" s="3">
        <v>0</v>
      </c>
      <c r="V749" s="6">
        <f>N749/M749</f>
        <v>4450</v>
      </c>
    </row>
    <row r="750" spans="1:22" ht="45" customHeight="1" x14ac:dyDescent="0.25">
      <c r="A750" s="54" t="s">
        <v>116</v>
      </c>
      <c r="B750" s="54"/>
      <c r="C750" s="2">
        <f>SUM(C751)</f>
        <v>2381200</v>
      </c>
      <c r="D750" s="2">
        <f t="shared" ref="D750:U750" si="197">SUM(D751)</f>
        <v>0</v>
      </c>
      <c r="E750" s="2">
        <f t="shared" si="197"/>
        <v>0</v>
      </c>
      <c r="F750" s="2">
        <f t="shared" si="197"/>
        <v>0</v>
      </c>
      <c r="G750" s="2">
        <f t="shared" si="197"/>
        <v>0</v>
      </c>
      <c r="H750" s="2">
        <f t="shared" si="197"/>
        <v>0</v>
      </c>
      <c r="I750" s="2">
        <f t="shared" si="197"/>
        <v>0</v>
      </c>
      <c r="J750" s="2">
        <f t="shared" si="197"/>
        <v>0</v>
      </c>
      <c r="K750" s="14">
        <f t="shared" si="197"/>
        <v>0</v>
      </c>
      <c r="L750" s="2">
        <f t="shared" si="197"/>
        <v>0</v>
      </c>
      <c r="M750" s="2">
        <f t="shared" si="197"/>
        <v>232</v>
      </c>
      <c r="N750" s="2">
        <f t="shared" si="197"/>
        <v>1531200</v>
      </c>
      <c r="O750" s="2">
        <f t="shared" si="197"/>
        <v>0</v>
      </c>
      <c r="P750" s="2">
        <f t="shared" si="197"/>
        <v>0</v>
      </c>
      <c r="Q750" s="2">
        <f t="shared" si="197"/>
        <v>0</v>
      </c>
      <c r="R750" s="2">
        <f t="shared" si="197"/>
        <v>0</v>
      </c>
      <c r="S750" s="2">
        <f t="shared" si="197"/>
        <v>0</v>
      </c>
      <c r="T750" s="2">
        <f t="shared" si="197"/>
        <v>0</v>
      </c>
      <c r="U750" s="2">
        <f t="shared" si="197"/>
        <v>850000</v>
      </c>
    </row>
    <row r="751" spans="1:22" ht="25.15" customHeight="1" x14ac:dyDescent="0.25">
      <c r="A751" s="36" t="s">
        <v>1636</v>
      </c>
      <c r="B751" s="8" t="s">
        <v>117</v>
      </c>
      <c r="C751" s="2">
        <f t="shared" si="180"/>
        <v>2381200</v>
      </c>
      <c r="D751" s="3">
        <f>SUM(E751:J751)</f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11">
        <v>0</v>
      </c>
      <c r="L751" s="5">
        <v>0</v>
      </c>
      <c r="M751" s="5">
        <v>232</v>
      </c>
      <c r="N751" s="3">
        <f>M751*6600</f>
        <v>1531200</v>
      </c>
      <c r="O751" s="5">
        <v>0</v>
      </c>
      <c r="P751" s="5">
        <v>0</v>
      </c>
      <c r="Q751" s="5">
        <v>0</v>
      </c>
      <c r="R751" s="3">
        <f>Q751*3200</f>
        <v>0</v>
      </c>
      <c r="S751" s="5">
        <v>0</v>
      </c>
      <c r="T751" s="5">
        <v>0</v>
      </c>
      <c r="U751" s="5">
        <v>850000</v>
      </c>
      <c r="V751" s="6">
        <f>N751/M751</f>
        <v>6600</v>
      </c>
    </row>
    <row r="752" spans="1:22" ht="45" customHeight="1" x14ac:dyDescent="0.25">
      <c r="A752" s="54" t="s">
        <v>925</v>
      </c>
      <c r="B752" s="54"/>
      <c r="C752" s="2">
        <f>SUM(C753:C757)</f>
        <v>28365715</v>
      </c>
      <c r="D752" s="2">
        <f t="shared" ref="D752:U752" si="198">SUM(D753:D757)</f>
        <v>2799600</v>
      </c>
      <c r="E752" s="2">
        <f t="shared" si="198"/>
        <v>653240</v>
      </c>
      <c r="F752" s="2">
        <f t="shared" si="198"/>
        <v>1213160</v>
      </c>
      <c r="G752" s="2">
        <f t="shared" si="198"/>
        <v>279960</v>
      </c>
      <c r="H752" s="2">
        <f t="shared" si="198"/>
        <v>373280</v>
      </c>
      <c r="I752" s="2">
        <f t="shared" si="198"/>
        <v>279960</v>
      </c>
      <c r="J752" s="2">
        <f t="shared" si="198"/>
        <v>0</v>
      </c>
      <c r="K752" s="14">
        <f t="shared" si="198"/>
        <v>0</v>
      </c>
      <c r="L752" s="2">
        <f t="shared" si="198"/>
        <v>0</v>
      </c>
      <c r="M752" s="2">
        <f t="shared" si="198"/>
        <v>5350.7</v>
      </c>
      <c r="N752" s="2">
        <f t="shared" si="198"/>
        <v>25466115</v>
      </c>
      <c r="O752" s="2">
        <f t="shared" si="198"/>
        <v>0</v>
      </c>
      <c r="P752" s="2">
        <f t="shared" si="198"/>
        <v>0</v>
      </c>
      <c r="Q752" s="2">
        <f t="shared" si="198"/>
        <v>0</v>
      </c>
      <c r="R752" s="2">
        <f t="shared" si="198"/>
        <v>0</v>
      </c>
      <c r="S752" s="2">
        <f t="shared" si="198"/>
        <v>0</v>
      </c>
      <c r="T752" s="2">
        <f t="shared" si="198"/>
        <v>0</v>
      </c>
      <c r="U752" s="2">
        <f t="shared" si="198"/>
        <v>100000</v>
      </c>
      <c r="V752" s="18">
        <f>C752+C1341</f>
        <v>28365715</v>
      </c>
    </row>
    <row r="753" spans="1:22" ht="25.15" customHeight="1" x14ac:dyDescent="0.25">
      <c r="A753" s="37" t="s">
        <v>1637</v>
      </c>
      <c r="B753" s="8" t="s">
        <v>926</v>
      </c>
      <c r="C753" s="2">
        <f t="shared" si="180"/>
        <v>6474750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5">
        <v>1455</v>
      </c>
      <c r="N753" s="5">
        <f>M753*4450</f>
        <v>6474750</v>
      </c>
      <c r="O753" s="5">
        <v>0</v>
      </c>
      <c r="P753" s="5">
        <v>0</v>
      </c>
      <c r="Q753" s="5">
        <v>0</v>
      </c>
      <c r="R753" s="3">
        <f>Q753*3200</f>
        <v>0</v>
      </c>
      <c r="S753" s="5">
        <v>0</v>
      </c>
      <c r="T753" s="5">
        <v>0</v>
      </c>
      <c r="U753" s="5">
        <v>0</v>
      </c>
      <c r="V753" s="6">
        <f>N753/M753</f>
        <v>4450</v>
      </c>
    </row>
    <row r="754" spans="1:22" ht="25.15" customHeight="1" x14ac:dyDescent="0.25">
      <c r="A754" s="37" t="s">
        <v>1638</v>
      </c>
      <c r="B754" s="8" t="s">
        <v>1004</v>
      </c>
      <c r="C754" s="2">
        <f>D754+L754+N754+P754+R754+S754+T754+U754</f>
        <v>5082000</v>
      </c>
      <c r="D754" s="3">
        <f>SUM(E754:J754)</f>
        <v>0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4">
        <v>0</v>
      </c>
      <c r="L754" s="3">
        <v>0</v>
      </c>
      <c r="M754" s="5">
        <v>770</v>
      </c>
      <c r="N754" s="5">
        <f>M754*6600</f>
        <v>5082000</v>
      </c>
      <c r="O754" s="5">
        <v>0</v>
      </c>
      <c r="P754" s="5">
        <v>0</v>
      </c>
      <c r="Q754" s="5">
        <v>0</v>
      </c>
      <c r="R754" s="3">
        <f>Q754*3200</f>
        <v>0</v>
      </c>
      <c r="S754" s="5">
        <v>0</v>
      </c>
      <c r="T754" s="5">
        <v>0</v>
      </c>
      <c r="U754" s="5">
        <v>0</v>
      </c>
    </row>
    <row r="755" spans="1:22" ht="25.15" customHeight="1" x14ac:dyDescent="0.25">
      <c r="A755" s="37" t="s">
        <v>1639</v>
      </c>
      <c r="B755" s="8" t="s">
        <v>1005</v>
      </c>
      <c r="C755" s="2">
        <f>D755+L755+N755+P755+R755+S755+T755+U755</f>
        <v>2899600</v>
      </c>
      <c r="D755" s="3">
        <f>SUM(E755:J755)</f>
        <v>2799600</v>
      </c>
      <c r="E755" s="3">
        <f>700*933.2</f>
        <v>653240</v>
      </c>
      <c r="F755" s="3">
        <f>1300*933.2</f>
        <v>1213160</v>
      </c>
      <c r="G755" s="3">
        <f>300*933.2</f>
        <v>279960</v>
      </c>
      <c r="H755" s="3">
        <f>400*933.2</f>
        <v>373280</v>
      </c>
      <c r="I755" s="3">
        <f>300*933.2</f>
        <v>279960</v>
      </c>
      <c r="J755" s="3">
        <v>0</v>
      </c>
      <c r="K755" s="4">
        <v>0</v>
      </c>
      <c r="L755" s="3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3">
        <f>Q755*3200</f>
        <v>0</v>
      </c>
      <c r="S755" s="5">
        <v>0</v>
      </c>
      <c r="T755" s="5">
        <v>0</v>
      </c>
      <c r="U755" s="5">
        <v>100000</v>
      </c>
    </row>
    <row r="756" spans="1:22" ht="25.15" customHeight="1" x14ac:dyDescent="0.25">
      <c r="A756" s="37" t="s">
        <v>1640</v>
      </c>
      <c r="B756" s="8" t="s">
        <v>927</v>
      </c>
      <c r="C756" s="2">
        <f t="shared" si="180"/>
        <v>6474750</v>
      </c>
      <c r="D756" s="3">
        <f>SUM(E756:J756)</f>
        <v>0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4">
        <v>0</v>
      </c>
      <c r="L756" s="3">
        <v>0</v>
      </c>
      <c r="M756" s="5">
        <v>1455</v>
      </c>
      <c r="N756" s="5">
        <f>M756*4450</f>
        <v>6474750</v>
      </c>
      <c r="O756" s="5">
        <v>0</v>
      </c>
      <c r="P756" s="5">
        <v>0</v>
      </c>
      <c r="Q756" s="5">
        <v>0</v>
      </c>
      <c r="R756" s="3">
        <f>Q756*3200</f>
        <v>0</v>
      </c>
      <c r="S756" s="5">
        <v>0</v>
      </c>
      <c r="T756" s="5">
        <v>0</v>
      </c>
      <c r="U756" s="5">
        <v>0</v>
      </c>
      <c r="V756" s="6">
        <f>N756/M756</f>
        <v>4450</v>
      </c>
    </row>
    <row r="757" spans="1:22" ht="25.15" customHeight="1" x14ac:dyDescent="0.25">
      <c r="A757" s="37" t="s">
        <v>1641</v>
      </c>
      <c r="B757" s="8" t="s">
        <v>928</v>
      </c>
      <c r="C757" s="2">
        <f t="shared" si="180"/>
        <v>7434615</v>
      </c>
      <c r="D757" s="3">
        <f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5">
        <v>1670.7</v>
      </c>
      <c r="N757" s="5">
        <f>M757*4450</f>
        <v>7434615</v>
      </c>
      <c r="O757" s="5">
        <v>0</v>
      </c>
      <c r="P757" s="5">
        <v>0</v>
      </c>
      <c r="Q757" s="5">
        <v>0</v>
      </c>
      <c r="R757" s="3">
        <f>Q757*3200</f>
        <v>0</v>
      </c>
      <c r="S757" s="5">
        <v>0</v>
      </c>
      <c r="T757" s="5">
        <v>0</v>
      </c>
      <c r="U757" s="5">
        <v>0</v>
      </c>
      <c r="V757" s="6">
        <f>N757/M757</f>
        <v>4450</v>
      </c>
    </row>
    <row r="758" spans="1:22" ht="45" customHeight="1" x14ac:dyDescent="0.25">
      <c r="A758" s="54" t="s">
        <v>923</v>
      </c>
      <c r="B758" s="54"/>
      <c r="C758" s="2">
        <f>SUM(C759)</f>
        <v>659260</v>
      </c>
      <c r="D758" s="2">
        <f t="shared" ref="D758:U758" si="199">SUM(D759)</f>
        <v>559260</v>
      </c>
      <c r="E758" s="2">
        <f t="shared" si="199"/>
        <v>301140</v>
      </c>
      <c r="F758" s="2">
        <f t="shared" si="199"/>
        <v>0</v>
      </c>
      <c r="G758" s="2">
        <f t="shared" si="199"/>
        <v>129060</v>
      </c>
      <c r="H758" s="2">
        <f t="shared" si="199"/>
        <v>0</v>
      </c>
      <c r="I758" s="2">
        <f t="shared" si="199"/>
        <v>129060</v>
      </c>
      <c r="J758" s="2">
        <f t="shared" si="199"/>
        <v>0</v>
      </c>
      <c r="K758" s="14">
        <f t="shared" si="199"/>
        <v>0</v>
      </c>
      <c r="L758" s="2">
        <f t="shared" si="199"/>
        <v>0</v>
      </c>
      <c r="M758" s="2">
        <f t="shared" si="199"/>
        <v>0</v>
      </c>
      <c r="N758" s="2">
        <f t="shared" si="199"/>
        <v>0</v>
      </c>
      <c r="O758" s="2">
        <f t="shared" si="199"/>
        <v>0</v>
      </c>
      <c r="P758" s="2">
        <f t="shared" si="199"/>
        <v>0</v>
      </c>
      <c r="Q758" s="2">
        <f t="shared" si="199"/>
        <v>0</v>
      </c>
      <c r="R758" s="2">
        <f t="shared" si="199"/>
        <v>0</v>
      </c>
      <c r="S758" s="2">
        <f t="shared" si="199"/>
        <v>0</v>
      </c>
      <c r="T758" s="2">
        <f t="shared" si="199"/>
        <v>0</v>
      </c>
      <c r="U758" s="2">
        <f t="shared" si="199"/>
        <v>100000</v>
      </c>
      <c r="V758" s="18">
        <f>C758+C1339</f>
        <v>659260</v>
      </c>
    </row>
    <row r="759" spans="1:22" ht="25.15" customHeight="1" x14ac:dyDescent="0.25">
      <c r="A759" s="37" t="s">
        <v>1642</v>
      </c>
      <c r="B759" s="8" t="s">
        <v>924</v>
      </c>
      <c r="C759" s="2">
        <f>D759+L759+N759+P759+R759+S759+T759+U759</f>
        <v>659260</v>
      </c>
      <c r="D759" s="3">
        <f>SUM(E759:J759)</f>
        <v>559260</v>
      </c>
      <c r="E759" s="3">
        <f>700*430.2</f>
        <v>301140</v>
      </c>
      <c r="F759" s="3">
        <v>0</v>
      </c>
      <c r="G759" s="3">
        <f>300*430.2</f>
        <v>129060</v>
      </c>
      <c r="H759" s="3">
        <v>0</v>
      </c>
      <c r="I759" s="3">
        <f>300*430.2</f>
        <v>129060</v>
      </c>
      <c r="J759" s="3">
        <v>0</v>
      </c>
      <c r="K759" s="4">
        <v>0</v>
      </c>
      <c r="L759" s="3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3">
        <f>Q759*3200</f>
        <v>0</v>
      </c>
      <c r="S759" s="5">
        <v>0</v>
      </c>
      <c r="T759" s="5">
        <v>0</v>
      </c>
      <c r="U759" s="5">
        <v>100000</v>
      </c>
      <c r="V759" s="6" t="e">
        <f>N759/M759</f>
        <v>#DIV/0!</v>
      </c>
    </row>
    <row r="760" spans="1:22" ht="45" customHeight="1" x14ac:dyDescent="0.25">
      <c r="A760" s="54" t="s">
        <v>124</v>
      </c>
      <c r="B760" s="54"/>
      <c r="C760" s="2">
        <f>SUM(C761:C765)</f>
        <v>12012310</v>
      </c>
      <c r="D760" s="2">
        <f t="shared" ref="D760:U760" si="200">SUM(D761:D765)</f>
        <v>0</v>
      </c>
      <c r="E760" s="2">
        <f t="shared" si="200"/>
        <v>0</v>
      </c>
      <c r="F760" s="2">
        <f t="shared" si="200"/>
        <v>0</v>
      </c>
      <c r="G760" s="2">
        <f t="shared" si="200"/>
        <v>0</v>
      </c>
      <c r="H760" s="2">
        <f t="shared" si="200"/>
        <v>0</v>
      </c>
      <c r="I760" s="2">
        <f t="shared" si="200"/>
        <v>0</v>
      </c>
      <c r="J760" s="2">
        <f t="shared" si="200"/>
        <v>0</v>
      </c>
      <c r="K760" s="14">
        <f t="shared" si="200"/>
        <v>0</v>
      </c>
      <c r="L760" s="2">
        <f t="shared" si="200"/>
        <v>0</v>
      </c>
      <c r="M760" s="2">
        <f t="shared" si="200"/>
        <v>1600.35</v>
      </c>
      <c r="N760" s="2">
        <f t="shared" si="200"/>
        <v>10562310</v>
      </c>
      <c r="O760" s="2">
        <f t="shared" si="200"/>
        <v>0</v>
      </c>
      <c r="P760" s="2">
        <f t="shared" si="200"/>
        <v>0</v>
      </c>
      <c r="Q760" s="2">
        <f t="shared" si="200"/>
        <v>0</v>
      </c>
      <c r="R760" s="2">
        <f t="shared" si="200"/>
        <v>0</v>
      </c>
      <c r="S760" s="2">
        <f t="shared" si="200"/>
        <v>0</v>
      </c>
      <c r="T760" s="2">
        <f t="shared" si="200"/>
        <v>0</v>
      </c>
      <c r="U760" s="2">
        <f t="shared" si="200"/>
        <v>1450000</v>
      </c>
    </row>
    <row r="761" spans="1:22" ht="25.15" customHeight="1" x14ac:dyDescent="0.25">
      <c r="A761" s="37" t="s">
        <v>1643</v>
      </c>
      <c r="B761" s="1" t="s">
        <v>119</v>
      </c>
      <c r="C761" s="2">
        <f t="shared" si="180"/>
        <v>5514960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5">
        <v>835.6</v>
      </c>
      <c r="N761" s="3">
        <f>M761*6600</f>
        <v>5514960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0</v>
      </c>
      <c r="V761" s="6">
        <f>N761/M761</f>
        <v>6600</v>
      </c>
    </row>
    <row r="762" spans="1:22" ht="25.15" customHeight="1" x14ac:dyDescent="0.25">
      <c r="A762" s="37" t="s">
        <v>1644</v>
      </c>
      <c r="B762" s="1" t="s">
        <v>120</v>
      </c>
      <c r="C762" s="2">
        <f t="shared" si="180"/>
        <v>1937100</v>
      </c>
      <c r="D762" s="3">
        <f>SUM(E762:J762)</f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4">
        <v>0</v>
      </c>
      <c r="L762" s="3">
        <v>0</v>
      </c>
      <c r="M762" s="5">
        <v>293.5</v>
      </c>
      <c r="N762" s="3">
        <f>M762*6600</f>
        <v>1937100</v>
      </c>
      <c r="O762" s="3">
        <v>0</v>
      </c>
      <c r="P762" s="3">
        <v>0</v>
      </c>
      <c r="Q762" s="3">
        <v>0</v>
      </c>
      <c r="R762" s="3">
        <f>Q762*3200</f>
        <v>0</v>
      </c>
      <c r="S762" s="3">
        <v>0</v>
      </c>
      <c r="T762" s="3">
        <v>0</v>
      </c>
      <c r="U762" s="3">
        <v>0</v>
      </c>
      <c r="V762" s="6">
        <f>N762/M762</f>
        <v>6600</v>
      </c>
    </row>
    <row r="763" spans="1:22" ht="25.15" customHeight="1" x14ac:dyDescent="0.25">
      <c r="A763" s="37" t="s">
        <v>1645</v>
      </c>
      <c r="B763" s="1" t="s">
        <v>122</v>
      </c>
      <c r="C763" s="2">
        <f>D763+L763+N763+P763+R763+S763+T763+U763</f>
        <v>3960250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11">
        <v>0</v>
      </c>
      <c r="L763" s="5">
        <v>0</v>
      </c>
      <c r="M763" s="5">
        <v>471.25</v>
      </c>
      <c r="N763" s="5">
        <f>M763*6600</f>
        <v>3110250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850000</v>
      </c>
      <c r="V763" s="6">
        <f>N763/M763</f>
        <v>6600</v>
      </c>
    </row>
    <row r="764" spans="1:22" ht="25.15" customHeight="1" x14ac:dyDescent="0.25">
      <c r="A764" s="37" t="s">
        <v>1646</v>
      </c>
      <c r="B764" s="1" t="s">
        <v>1198</v>
      </c>
      <c r="C764" s="2">
        <f>D764+L764+N764+P764+R764+S764+T764+U764</f>
        <v>300000</v>
      </c>
      <c r="D764" s="3">
        <f>SUM(E764:J764)</f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4">
        <v>0</v>
      </c>
      <c r="L764" s="3">
        <v>0</v>
      </c>
      <c r="M764" s="5">
        <v>0</v>
      </c>
      <c r="N764" s="3">
        <v>0</v>
      </c>
      <c r="O764" s="3">
        <v>0</v>
      </c>
      <c r="P764" s="3">
        <v>0</v>
      </c>
      <c r="Q764" s="3">
        <v>0</v>
      </c>
      <c r="R764" s="3">
        <f>Q764*3200</f>
        <v>0</v>
      </c>
      <c r="S764" s="3">
        <v>0</v>
      </c>
      <c r="T764" s="3">
        <v>0</v>
      </c>
      <c r="U764" s="3">
        <v>300000</v>
      </c>
    </row>
    <row r="765" spans="1:22" ht="25.15" customHeight="1" x14ac:dyDescent="0.25">
      <c r="A765" s="37" t="s">
        <v>1647</v>
      </c>
      <c r="B765" s="1" t="s">
        <v>1008</v>
      </c>
      <c r="C765" s="2">
        <f>D765+L765+N765+P765+R765+S765+T765+U765</f>
        <v>300000</v>
      </c>
      <c r="D765" s="3">
        <f>SUM(E765:J765)</f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5">
        <v>0</v>
      </c>
      <c r="N765" s="3">
        <v>0</v>
      </c>
      <c r="O765" s="3">
        <v>0</v>
      </c>
      <c r="P765" s="3">
        <v>0</v>
      </c>
      <c r="Q765" s="3">
        <v>0</v>
      </c>
      <c r="R765" s="3">
        <f>Q765*3200</f>
        <v>0</v>
      </c>
      <c r="S765" s="3">
        <v>0</v>
      </c>
      <c r="T765" s="3">
        <v>0</v>
      </c>
      <c r="U765" s="3">
        <v>300000</v>
      </c>
    </row>
    <row r="766" spans="1:22" ht="45" customHeight="1" x14ac:dyDescent="0.25">
      <c r="A766" s="54" t="s">
        <v>127</v>
      </c>
      <c r="B766" s="54"/>
      <c r="C766" s="2">
        <f>SUM(C767)</f>
        <v>2389200</v>
      </c>
      <c r="D766" s="2">
        <f t="shared" ref="D766:U766" si="201">SUM(D767)</f>
        <v>0</v>
      </c>
      <c r="E766" s="2">
        <f t="shared" si="201"/>
        <v>0</v>
      </c>
      <c r="F766" s="2">
        <f t="shared" si="201"/>
        <v>0</v>
      </c>
      <c r="G766" s="2">
        <f t="shared" si="201"/>
        <v>0</v>
      </c>
      <c r="H766" s="2">
        <f t="shared" si="201"/>
        <v>0</v>
      </c>
      <c r="I766" s="2">
        <f t="shared" si="201"/>
        <v>0</v>
      </c>
      <c r="J766" s="2">
        <f t="shared" si="201"/>
        <v>0</v>
      </c>
      <c r="K766" s="14">
        <f t="shared" si="201"/>
        <v>0</v>
      </c>
      <c r="L766" s="2">
        <f t="shared" si="201"/>
        <v>0</v>
      </c>
      <c r="M766" s="2">
        <f t="shared" si="201"/>
        <v>362</v>
      </c>
      <c r="N766" s="2">
        <f t="shared" si="201"/>
        <v>2389200</v>
      </c>
      <c r="O766" s="2">
        <f t="shared" si="201"/>
        <v>0</v>
      </c>
      <c r="P766" s="2">
        <f t="shared" si="201"/>
        <v>0</v>
      </c>
      <c r="Q766" s="2">
        <f t="shared" si="201"/>
        <v>0</v>
      </c>
      <c r="R766" s="2">
        <f t="shared" si="201"/>
        <v>0</v>
      </c>
      <c r="S766" s="2">
        <f t="shared" si="201"/>
        <v>0</v>
      </c>
      <c r="T766" s="2">
        <f t="shared" si="201"/>
        <v>0</v>
      </c>
      <c r="U766" s="2">
        <f t="shared" si="201"/>
        <v>0</v>
      </c>
    </row>
    <row r="767" spans="1:22" ht="25.15" customHeight="1" x14ac:dyDescent="0.25">
      <c r="A767" s="37" t="s">
        <v>1648</v>
      </c>
      <c r="B767" s="24" t="s">
        <v>126</v>
      </c>
      <c r="C767" s="2">
        <f t="shared" ref="C767:C876" si="202">D767+L767+N767+P767+R767+S767+T767+U767</f>
        <v>2389200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362</v>
      </c>
      <c r="N767" s="3">
        <f>M767*6600</f>
        <v>2389200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6">
        <f>N767/M767</f>
        <v>6600</v>
      </c>
    </row>
    <row r="768" spans="1:22" ht="45" customHeight="1" x14ac:dyDescent="0.25">
      <c r="A768" s="54" t="s">
        <v>864</v>
      </c>
      <c r="B768" s="54"/>
      <c r="C768" s="2">
        <f>SUM(C769)</f>
        <v>12188740</v>
      </c>
      <c r="D768" s="2">
        <f t="shared" ref="D768:U768" si="203">SUM(D769)</f>
        <v>2957700</v>
      </c>
      <c r="E768" s="2">
        <f t="shared" si="203"/>
        <v>690130</v>
      </c>
      <c r="F768" s="2">
        <f t="shared" si="203"/>
        <v>1281670</v>
      </c>
      <c r="G768" s="2">
        <f t="shared" si="203"/>
        <v>295770</v>
      </c>
      <c r="H768" s="2">
        <f t="shared" si="203"/>
        <v>394360</v>
      </c>
      <c r="I768" s="2">
        <f t="shared" si="203"/>
        <v>295770</v>
      </c>
      <c r="J768" s="2">
        <f t="shared" si="203"/>
        <v>0</v>
      </c>
      <c r="K768" s="14">
        <f t="shared" si="203"/>
        <v>0</v>
      </c>
      <c r="L768" s="2">
        <f t="shared" si="203"/>
        <v>0</v>
      </c>
      <c r="M768" s="2">
        <f t="shared" si="203"/>
        <v>1072</v>
      </c>
      <c r="N768" s="2">
        <f t="shared" si="203"/>
        <v>7075200</v>
      </c>
      <c r="O768" s="2">
        <f t="shared" si="203"/>
        <v>0</v>
      </c>
      <c r="P768" s="2">
        <f t="shared" si="203"/>
        <v>0</v>
      </c>
      <c r="Q768" s="2">
        <f t="shared" si="203"/>
        <v>514.5</v>
      </c>
      <c r="R768" s="2">
        <f t="shared" si="203"/>
        <v>1646400</v>
      </c>
      <c r="S768" s="2">
        <f t="shared" si="203"/>
        <v>409440</v>
      </c>
      <c r="T768" s="2">
        <f t="shared" si="203"/>
        <v>0</v>
      </c>
      <c r="U768" s="2">
        <f t="shared" si="203"/>
        <v>100000</v>
      </c>
      <c r="V768" s="18">
        <f>C768</f>
        <v>12188740</v>
      </c>
    </row>
    <row r="769" spans="1:22" ht="25.15" customHeight="1" x14ac:dyDescent="0.25">
      <c r="A769" s="37" t="s">
        <v>1649</v>
      </c>
      <c r="B769" s="8" t="s">
        <v>865</v>
      </c>
      <c r="C769" s="2">
        <f t="shared" si="202"/>
        <v>12188740</v>
      </c>
      <c r="D769" s="3">
        <f>SUM(E769:J769)</f>
        <v>2957700</v>
      </c>
      <c r="E769" s="3">
        <f>700*985.9</f>
        <v>690130</v>
      </c>
      <c r="F769" s="3">
        <f>1300*985.9</f>
        <v>1281670</v>
      </c>
      <c r="G769" s="3">
        <f>300*985.9</f>
        <v>295770</v>
      </c>
      <c r="H769" s="3">
        <f>400*985.9</f>
        <v>394360</v>
      </c>
      <c r="I769" s="3">
        <f>300*985.9</f>
        <v>295770</v>
      </c>
      <c r="J769" s="3">
        <v>0</v>
      </c>
      <c r="K769" s="4">
        <v>0</v>
      </c>
      <c r="L769" s="3">
        <v>0</v>
      </c>
      <c r="M769" s="3">
        <v>1072</v>
      </c>
      <c r="N769" s="3">
        <f>M769*6600</f>
        <v>7075200</v>
      </c>
      <c r="O769" s="3">
        <v>0</v>
      </c>
      <c r="P769" s="3">
        <v>0</v>
      </c>
      <c r="Q769" s="3">
        <v>514.5</v>
      </c>
      <c r="R769" s="3">
        <f>Q769*3200</f>
        <v>1646400</v>
      </c>
      <c r="S769" s="3">
        <v>409440</v>
      </c>
      <c r="T769" s="3">
        <v>0</v>
      </c>
      <c r="U769" s="3">
        <v>100000</v>
      </c>
      <c r="V769" s="6">
        <f>N769/M769</f>
        <v>6600</v>
      </c>
    </row>
    <row r="770" spans="1:22" ht="45" customHeight="1" x14ac:dyDescent="0.25">
      <c r="A770" s="54" t="s">
        <v>131</v>
      </c>
      <c r="B770" s="54"/>
      <c r="C770" s="2">
        <f>SUM(C771)</f>
        <v>6210420</v>
      </c>
      <c r="D770" s="2">
        <f t="shared" ref="D770:U770" si="204">SUM(D771)</f>
        <v>0</v>
      </c>
      <c r="E770" s="2">
        <f t="shared" si="204"/>
        <v>0</v>
      </c>
      <c r="F770" s="2">
        <f t="shared" si="204"/>
        <v>0</v>
      </c>
      <c r="G770" s="2">
        <f t="shared" si="204"/>
        <v>0</v>
      </c>
      <c r="H770" s="2">
        <f t="shared" si="204"/>
        <v>0</v>
      </c>
      <c r="I770" s="2">
        <f t="shared" si="204"/>
        <v>0</v>
      </c>
      <c r="J770" s="2">
        <f t="shared" si="204"/>
        <v>0</v>
      </c>
      <c r="K770" s="14">
        <f t="shared" si="204"/>
        <v>0</v>
      </c>
      <c r="L770" s="2">
        <f t="shared" si="204"/>
        <v>0</v>
      </c>
      <c r="M770" s="2">
        <f t="shared" si="204"/>
        <v>1395.6</v>
      </c>
      <c r="N770" s="2">
        <f t="shared" si="204"/>
        <v>6210420</v>
      </c>
      <c r="O770" s="2">
        <f t="shared" si="204"/>
        <v>0</v>
      </c>
      <c r="P770" s="2">
        <f t="shared" si="204"/>
        <v>0</v>
      </c>
      <c r="Q770" s="2">
        <f t="shared" si="204"/>
        <v>0</v>
      </c>
      <c r="R770" s="2">
        <f t="shared" si="204"/>
        <v>0</v>
      </c>
      <c r="S770" s="2">
        <f t="shared" si="204"/>
        <v>0</v>
      </c>
      <c r="T770" s="2">
        <f t="shared" si="204"/>
        <v>0</v>
      </c>
      <c r="U770" s="2">
        <f t="shared" si="204"/>
        <v>0</v>
      </c>
    </row>
    <row r="771" spans="1:22" ht="25.15" customHeight="1" x14ac:dyDescent="0.25">
      <c r="A771" s="37" t="s">
        <v>1650</v>
      </c>
      <c r="B771" s="8" t="s">
        <v>1199</v>
      </c>
      <c r="C771" s="2">
        <f>D771+L771+N771+P771+R771+S771+T771+U771</f>
        <v>6210420</v>
      </c>
      <c r="D771" s="3">
        <f>SUM(E771:J771)</f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1395.6</v>
      </c>
      <c r="N771" s="3">
        <f>M771*4450</f>
        <v>6210420</v>
      </c>
      <c r="O771" s="3">
        <v>0</v>
      </c>
      <c r="P771" s="3">
        <v>0</v>
      </c>
      <c r="Q771" s="3">
        <v>0</v>
      </c>
      <c r="R771" s="3">
        <f>Q771*3200</f>
        <v>0</v>
      </c>
      <c r="S771" s="3">
        <v>0</v>
      </c>
      <c r="T771" s="3">
        <v>0</v>
      </c>
      <c r="U771" s="3">
        <v>0</v>
      </c>
      <c r="V771" s="6">
        <f>N771/M771</f>
        <v>4450</v>
      </c>
    </row>
    <row r="772" spans="1:22" ht="45" customHeight="1" x14ac:dyDescent="0.25">
      <c r="A772" s="54" t="s">
        <v>934</v>
      </c>
      <c r="B772" s="54"/>
      <c r="C772" s="2">
        <f>SUM(C773)</f>
        <v>1914000</v>
      </c>
      <c r="D772" s="2">
        <f t="shared" ref="D772:U772" si="205">SUM(D773)</f>
        <v>0</v>
      </c>
      <c r="E772" s="2">
        <f t="shared" si="205"/>
        <v>0</v>
      </c>
      <c r="F772" s="2">
        <f t="shared" si="205"/>
        <v>0</v>
      </c>
      <c r="G772" s="2">
        <f t="shared" si="205"/>
        <v>0</v>
      </c>
      <c r="H772" s="2">
        <f t="shared" si="205"/>
        <v>0</v>
      </c>
      <c r="I772" s="2">
        <f t="shared" si="205"/>
        <v>0</v>
      </c>
      <c r="J772" s="2">
        <f t="shared" si="205"/>
        <v>0</v>
      </c>
      <c r="K772" s="14">
        <f t="shared" si="205"/>
        <v>0</v>
      </c>
      <c r="L772" s="2">
        <f t="shared" si="205"/>
        <v>0</v>
      </c>
      <c r="M772" s="2">
        <f t="shared" si="205"/>
        <v>290</v>
      </c>
      <c r="N772" s="2">
        <f t="shared" si="205"/>
        <v>1914000</v>
      </c>
      <c r="O772" s="2">
        <f t="shared" si="205"/>
        <v>0</v>
      </c>
      <c r="P772" s="2">
        <f t="shared" si="205"/>
        <v>0</v>
      </c>
      <c r="Q772" s="2">
        <f t="shared" si="205"/>
        <v>0</v>
      </c>
      <c r="R772" s="2">
        <f t="shared" si="205"/>
        <v>0</v>
      </c>
      <c r="S772" s="2">
        <f t="shared" si="205"/>
        <v>0</v>
      </c>
      <c r="T772" s="2">
        <f t="shared" si="205"/>
        <v>0</v>
      </c>
      <c r="U772" s="2">
        <f t="shared" si="205"/>
        <v>0</v>
      </c>
      <c r="V772" s="18">
        <f>C772</f>
        <v>1914000</v>
      </c>
    </row>
    <row r="773" spans="1:22" ht="25.15" customHeight="1" x14ac:dyDescent="0.25">
      <c r="A773" s="37" t="s">
        <v>1651</v>
      </c>
      <c r="B773" s="8" t="s">
        <v>130</v>
      </c>
      <c r="C773" s="2">
        <f>D773+L773+N773+P773+R773+S773+T773+U773</f>
        <v>1914000</v>
      </c>
      <c r="D773" s="3">
        <f>SUM(E773:J773)</f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290</v>
      </c>
      <c r="N773" s="3">
        <f>M773*6600</f>
        <v>1914000</v>
      </c>
      <c r="O773" s="3">
        <v>0</v>
      </c>
      <c r="P773" s="3">
        <v>0</v>
      </c>
      <c r="Q773" s="3">
        <v>0</v>
      </c>
      <c r="R773" s="3">
        <f>Q773*3200</f>
        <v>0</v>
      </c>
      <c r="S773" s="3">
        <v>0</v>
      </c>
      <c r="T773" s="3">
        <v>0</v>
      </c>
      <c r="U773" s="3">
        <v>0</v>
      </c>
      <c r="V773" s="6">
        <f>N773/M773</f>
        <v>6600</v>
      </c>
    </row>
    <row r="774" spans="1:22" ht="45" customHeight="1" x14ac:dyDescent="0.25">
      <c r="A774" s="55" t="s">
        <v>132</v>
      </c>
      <c r="B774" s="56"/>
      <c r="C774" s="2">
        <f>SUM(C775)</f>
        <v>1742600</v>
      </c>
      <c r="D774" s="2">
        <f t="shared" ref="D774:U774" si="206">SUM(D775)</f>
        <v>0</v>
      </c>
      <c r="E774" s="2">
        <f t="shared" si="206"/>
        <v>0</v>
      </c>
      <c r="F774" s="2">
        <f t="shared" si="206"/>
        <v>0</v>
      </c>
      <c r="G774" s="2">
        <f t="shared" si="206"/>
        <v>0</v>
      </c>
      <c r="H774" s="2">
        <f t="shared" si="206"/>
        <v>0</v>
      </c>
      <c r="I774" s="2">
        <f t="shared" si="206"/>
        <v>0</v>
      </c>
      <c r="J774" s="2">
        <f t="shared" si="206"/>
        <v>0</v>
      </c>
      <c r="K774" s="14">
        <f t="shared" si="206"/>
        <v>0</v>
      </c>
      <c r="L774" s="2">
        <f t="shared" si="206"/>
        <v>0</v>
      </c>
      <c r="M774" s="2">
        <f t="shared" si="206"/>
        <v>0</v>
      </c>
      <c r="N774" s="2">
        <f t="shared" si="206"/>
        <v>0</v>
      </c>
      <c r="O774" s="2">
        <f t="shared" si="206"/>
        <v>0</v>
      </c>
      <c r="P774" s="2">
        <f t="shared" si="206"/>
        <v>0</v>
      </c>
      <c r="Q774" s="2">
        <f t="shared" si="206"/>
        <v>496</v>
      </c>
      <c r="R774" s="2">
        <f t="shared" si="206"/>
        <v>1587200</v>
      </c>
      <c r="S774" s="2">
        <f t="shared" si="206"/>
        <v>155400</v>
      </c>
      <c r="T774" s="2">
        <f t="shared" si="206"/>
        <v>0</v>
      </c>
      <c r="U774" s="2">
        <f t="shared" si="206"/>
        <v>0</v>
      </c>
      <c r="V774" s="18" t="e">
        <f>C774+#REF!</f>
        <v>#REF!</v>
      </c>
    </row>
    <row r="775" spans="1:22" ht="25.15" customHeight="1" x14ac:dyDescent="0.25">
      <c r="A775" s="37" t="s">
        <v>1652</v>
      </c>
      <c r="B775" s="8" t="s">
        <v>896</v>
      </c>
      <c r="C775" s="2">
        <f>D775+L775+N775+P775+R775+S775+T775+U775</f>
        <v>1742600</v>
      </c>
      <c r="D775" s="3">
        <f>SUM(E775:J775)</f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4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  <c r="Q775" s="3">
        <v>496</v>
      </c>
      <c r="R775" s="3">
        <f>Q775*3200</f>
        <v>1587200</v>
      </c>
      <c r="S775" s="3">
        <v>155400</v>
      </c>
      <c r="T775" s="3">
        <v>0</v>
      </c>
      <c r="U775" s="3">
        <v>0</v>
      </c>
      <c r="V775" s="6" t="e">
        <f>N775/M775</f>
        <v>#DIV/0!</v>
      </c>
    </row>
    <row r="776" spans="1:22" ht="45" customHeight="1" x14ac:dyDescent="0.25">
      <c r="A776" s="54" t="s">
        <v>142</v>
      </c>
      <c r="B776" s="54"/>
      <c r="C776" s="2">
        <f>SUM(C777:C778)</f>
        <v>600000</v>
      </c>
      <c r="D776" s="2">
        <f t="shared" ref="D776:U776" si="207">SUM(D777:D778)</f>
        <v>0</v>
      </c>
      <c r="E776" s="2">
        <f t="shared" si="207"/>
        <v>0</v>
      </c>
      <c r="F776" s="2">
        <f t="shared" si="207"/>
        <v>0</v>
      </c>
      <c r="G776" s="2">
        <f t="shared" si="207"/>
        <v>0</v>
      </c>
      <c r="H776" s="2">
        <f t="shared" si="207"/>
        <v>0</v>
      </c>
      <c r="I776" s="2">
        <f t="shared" si="207"/>
        <v>0</v>
      </c>
      <c r="J776" s="2">
        <f t="shared" si="207"/>
        <v>0</v>
      </c>
      <c r="K776" s="14">
        <f t="shared" si="207"/>
        <v>0</v>
      </c>
      <c r="L776" s="2">
        <f t="shared" si="207"/>
        <v>0</v>
      </c>
      <c r="M776" s="2">
        <f t="shared" si="207"/>
        <v>0</v>
      </c>
      <c r="N776" s="2">
        <f t="shared" si="207"/>
        <v>0</v>
      </c>
      <c r="O776" s="2">
        <f t="shared" si="207"/>
        <v>0</v>
      </c>
      <c r="P776" s="2">
        <f t="shared" si="207"/>
        <v>0</v>
      </c>
      <c r="Q776" s="2">
        <f t="shared" si="207"/>
        <v>0</v>
      </c>
      <c r="R776" s="2">
        <f t="shared" si="207"/>
        <v>0</v>
      </c>
      <c r="S776" s="2">
        <f t="shared" si="207"/>
        <v>0</v>
      </c>
      <c r="T776" s="2">
        <f t="shared" si="207"/>
        <v>0</v>
      </c>
      <c r="U776" s="2">
        <f t="shared" si="207"/>
        <v>600000</v>
      </c>
      <c r="V776" s="18">
        <f>C776</f>
        <v>600000</v>
      </c>
    </row>
    <row r="777" spans="1:22" ht="25.15" customHeight="1" x14ac:dyDescent="0.25">
      <c r="A777" s="37" t="s">
        <v>1653</v>
      </c>
      <c r="B777" s="8" t="s">
        <v>143</v>
      </c>
      <c r="C777" s="2">
        <f>D777+L777+N777+P777+R777+S777+T777+U777</f>
        <v>300000</v>
      </c>
      <c r="D777" s="3">
        <f>SUM(E777:J777)</f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0</v>
      </c>
      <c r="N777" s="3">
        <f>M777*6600</f>
        <v>0</v>
      </c>
      <c r="O777" s="3">
        <v>0</v>
      </c>
      <c r="P777" s="3">
        <v>0</v>
      </c>
      <c r="Q777" s="3">
        <v>0</v>
      </c>
      <c r="R777" s="3">
        <f>Q777*3200</f>
        <v>0</v>
      </c>
      <c r="S777" s="3">
        <v>0</v>
      </c>
      <c r="T777" s="3">
        <v>0</v>
      </c>
      <c r="U777" s="3">
        <v>300000</v>
      </c>
      <c r="V777" s="6" t="e">
        <f>N777/M777</f>
        <v>#DIV/0!</v>
      </c>
    </row>
    <row r="778" spans="1:22" ht="25.15" customHeight="1" x14ac:dyDescent="0.25">
      <c r="A778" s="37" t="s">
        <v>1654</v>
      </c>
      <c r="B778" s="8" t="s">
        <v>144</v>
      </c>
      <c r="C778" s="2">
        <f>D778+L778+N778+P778+R778+S778+T778+U778</f>
        <v>300000</v>
      </c>
      <c r="D778" s="3">
        <f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0</v>
      </c>
      <c r="N778" s="3">
        <f>M778*6600</f>
        <v>0</v>
      </c>
      <c r="O778" s="3">
        <v>0</v>
      </c>
      <c r="P778" s="3">
        <v>0</v>
      </c>
      <c r="Q778" s="3">
        <v>0</v>
      </c>
      <c r="R778" s="3">
        <f>Q778*3200</f>
        <v>0</v>
      </c>
      <c r="S778" s="3">
        <v>0</v>
      </c>
      <c r="T778" s="3">
        <v>0</v>
      </c>
      <c r="U778" s="3">
        <v>300000</v>
      </c>
      <c r="V778" s="6" t="e">
        <f>N778/M778</f>
        <v>#DIV/0!</v>
      </c>
    </row>
    <row r="779" spans="1:22" ht="45" customHeight="1" x14ac:dyDescent="0.25">
      <c r="A779" s="54" t="s">
        <v>146</v>
      </c>
      <c r="B779" s="54"/>
      <c r="C779" s="2">
        <f>SUM(C780)</f>
        <v>3923023</v>
      </c>
      <c r="D779" s="2">
        <f t="shared" ref="D779:U779" si="208">SUM(D780)</f>
        <v>223559</v>
      </c>
      <c r="E779" s="2">
        <f t="shared" si="208"/>
        <v>223559</v>
      </c>
      <c r="F779" s="2">
        <f t="shared" si="208"/>
        <v>0</v>
      </c>
      <c r="G779" s="2">
        <f t="shared" si="208"/>
        <v>0</v>
      </c>
      <c r="H779" s="2">
        <f t="shared" si="208"/>
        <v>0</v>
      </c>
      <c r="I779" s="2">
        <f t="shared" si="208"/>
        <v>0</v>
      </c>
      <c r="J779" s="2">
        <f t="shared" si="208"/>
        <v>0</v>
      </c>
      <c r="K779" s="14">
        <f t="shared" si="208"/>
        <v>0</v>
      </c>
      <c r="L779" s="2">
        <f t="shared" si="208"/>
        <v>0</v>
      </c>
      <c r="M779" s="2">
        <f t="shared" si="208"/>
        <v>283</v>
      </c>
      <c r="N779" s="2">
        <f t="shared" si="208"/>
        <v>1867800</v>
      </c>
      <c r="O779" s="2">
        <f t="shared" si="208"/>
        <v>126.2</v>
      </c>
      <c r="P779" s="2">
        <f t="shared" si="208"/>
        <v>151440</v>
      </c>
      <c r="Q779" s="2">
        <f t="shared" si="208"/>
        <v>493.82</v>
      </c>
      <c r="R779" s="2">
        <f t="shared" si="208"/>
        <v>1580224</v>
      </c>
      <c r="S779" s="2">
        <f t="shared" si="208"/>
        <v>0</v>
      </c>
      <c r="T779" s="2">
        <f t="shared" si="208"/>
        <v>0</v>
      </c>
      <c r="U779" s="2">
        <f t="shared" si="208"/>
        <v>100000</v>
      </c>
      <c r="V779" s="18">
        <f>C779</f>
        <v>3923023</v>
      </c>
    </row>
    <row r="780" spans="1:22" ht="25.15" customHeight="1" x14ac:dyDescent="0.25">
      <c r="A780" s="37" t="s">
        <v>1655</v>
      </c>
      <c r="B780" s="39" t="s">
        <v>147</v>
      </c>
      <c r="C780" s="2">
        <f t="shared" si="202"/>
        <v>3923023</v>
      </c>
      <c r="D780" s="3">
        <f>SUM(E780:J780)</f>
        <v>223559</v>
      </c>
      <c r="E780" s="3">
        <f>700*319.37</f>
        <v>223559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283</v>
      </c>
      <c r="N780" s="3">
        <f>M780*6600</f>
        <v>1867800</v>
      </c>
      <c r="O780" s="3">
        <v>126.2</v>
      </c>
      <c r="P780" s="3">
        <f>O780*1200</f>
        <v>151440</v>
      </c>
      <c r="Q780" s="3">
        <v>493.82</v>
      </c>
      <c r="R780" s="3">
        <f>Q780*3200</f>
        <v>1580224</v>
      </c>
      <c r="S780" s="3">
        <v>0</v>
      </c>
      <c r="T780" s="3">
        <v>0</v>
      </c>
      <c r="U780" s="3">
        <v>100000</v>
      </c>
      <c r="V780" s="6">
        <f>N780/M780</f>
        <v>6600</v>
      </c>
    </row>
    <row r="781" spans="1:22" ht="45" customHeight="1" x14ac:dyDescent="0.25">
      <c r="A781" s="54" t="s">
        <v>148</v>
      </c>
      <c r="B781" s="54"/>
      <c r="C781" s="2">
        <f>SUM(C782:C788)</f>
        <v>22909598</v>
      </c>
      <c r="D781" s="2">
        <f t="shared" ref="D781:U781" si="209">SUM(D782:D788)</f>
        <v>1340820.0000000002</v>
      </c>
      <c r="E781" s="2">
        <f t="shared" si="209"/>
        <v>360990.00000000006</v>
      </c>
      <c r="F781" s="2">
        <f t="shared" si="209"/>
        <v>670410.00000000012</v>
      </c>
      <c r="G781" s="2">
        <f t="shared" si="209"/>
        <v>154710</v>
      </c>
      <c r="H781" s="2">
        <f t="shared" si="209"/>
        <v>0</v>
      </c>
      <c r="I781" s="2">
        <f t="shared" si="209"/>
        <v>154710</v>
      </c>
      <c r="J781" s="2">
        <f t="shared" si="209"/>
        <v>0</v>
      </c>
      <c r="K781" s="14">
        <f t="shared" si="209"/>
        <v>0</v>
      </c>
      <c r="L781" s="2">
        <f t="shared" si="209"/>
        <v>0</v>
      </c>
      <c r="M781" s="2">
        <f t="shared" si="209"/>
        <v>2589.6499999999996</v>
      </c>
      <c r="N781" s="2">
        <f t="shared" si="209"/>
        <v>17091690</v>
      </c>
      <c r="O781" s="2">
        <f t="shared" si="209"/>
        <v>0</v>
      </c>
      <c r="P781" s="2">
        <f t="shared" si="209"/>
        <v>0</v>
      </c>
      <c r="Q781" s="2">
        <f t="shared" si="209"/>
        <v>1367.84</v>
      </c>
      <c r="R781" s="2">
        <f t="shared" si="209"/>
        <v>4377088</v>
      </c>
      <c r="S781" s="2">
        <f t="shared" si="209"/>
        <v>0</v>
      </c>
      <c r="T781" s="2">
        <f t="shared" si="209"/>
        <v>0</v>
      </c>
      <c r="U781" s="2">
        <f t="shared" si="209"/>
        <v>100000</v>
      </c>
    </row>
    <row r="782" spans="1:22" ht="25.15" customHeight="1" x14ac:dyDescent="0.25">
      <c r="A782" s="37" t="s">
        <v>1656</v>
      </c>
      <c r="B782" s="8" t="s">
        <v>149</v>
      </c>
      <c r="C782" s="2">
        <f>D782+L782+N782+P782+R782+S782+T782+U782</f>
        <v>2864400</v>
      </c>
      <c r="D782" s="3">
        <f t="shared" ref="D782:D788" si="210">SUM(E782:J782)</f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434</v>
      </c>
      <c r="N782" s="3">
        <f>M782*6600</f>
        <v>2864400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6">
        <f t="shared" ref="V782:V788" si="211">N782/M782</f>
        <v>6600</v>
      </c>
    </row>
    <row r="783" spans="1:22" ht="25.15" customHeight="1" x14ac:dyDescent="0.25">
      <c r="A783" s="37" t="s">
        <v>1657</v>
      </c>
      <c r="B783" s="8" t="s">
        <v>150</v>
      </c>
      <c r="C783" s="2">
        <f>D783+L783+N783+P783+R783+S783+T783+U783</f>
        <v>2864400</v>
      </c>
      <c r="D783" s="3">
        <f t="shared" si="210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434</v>
      </c>
      <c r="N783" s="3">
        <f>M783*6600</f>
        <v>2864400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6">
        <f t="shared" si="211"/>
        <v>6600</v>
      </c>
    </row>
    <row r="784" spans="1:22" ht="25.15" customHeight="1" x14ac:dyDescent="0.25">
      <c r="A784" s="37" t="s">
        <v>1658</v>
      </c>
      <c r="B784" s="8" t="s">
        <v>151</v>
      </c>
      <c r="C784" s="2">
        <f>D784+L784+N784+P784+R784+S784+T784+U784</f>
        <v>2442000</v>
      </c>
      <c r="D784" s="3">
        <f t="shared" si="210"/>
        <v>0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4">
        <v>0</v>
      </c>
      <c r="L784" s="3">
        <v>0</v>
      </c>
      <c r="M784" s="3">
        <v>370</v>
      </c>
      <c r="N784" s="3">
        <f>M784*6600</f>
        <v>2442000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6">
        <f t="shared" si="211"/>
        <v>6600</v>
      </c>
    </row>
    <row r="785" spans="1:22" ht="25.15" customHeight="1" x14ac:dyDescent="0.25">
      <c r="A785" s="37" t="s">
        <v>1659</v>
      </c>
      <c r="B785" s="8" t="s">
        <v>152</v>
      </c>
      <c r="C785" s="2">
        <f t="shared" si="202"/>
        <v>8200072</v>
      </c>
      <c r="D785" s="3">
        <f t="shared" si="210"/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579.24</v>
      </c>
      <c r="N785" s="3">
        <f>M785*6600</f>
        <v>3822984</v>
      </c>
      <c r="O785" s="3">
        <v>0</v>
      </c>
      <c r="P785" s="3">
        <v>0</v>
      </c>
      <c r="Q785" s="3">
        <v>1367.84</v>
      </c>
      <c r="R785" s="3">
        <f>Q785*3200</f>
        <v>4377088</v>
      </c>
      <c r="S785" s="3">
        <v>0</v>
      </c>
      <c r="T785" s="3">
        <v>0</v>
      </c>
      <c r="U785" s="3">
        <v>0</v>
      </c>
      <c r="V785" s="6">
        <f t="shared" si="211"/>
        <v>6600</v>
      </c>
    </row>
    <row r="786" spans="1:22" ht="25.15" customHeight="1" x14ac:dyDescent="0.25">
      <c r="A786" s="37" t="s">
        <v>1660</v>
      </c>
      <c r="B786" s="8" t="s">
        <v>154</v>
      </c>
      <c r="C786" s="2">
        <f t="shared" si="202"/>
        <v>3418800</v>
      </c>
      <c r="D786" s="3">
        <f t="shared" si="210"/>
        <v>0</v>
      </c>
      <c r="E786" s="3">
        <v>0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4">
        <v>0</v>
      </c>
      <c r="L786" s="3">
        <v>0</v>
      </c>
      <c r="M786" s="3">
        <v>518</v>
      </c>
      <c r="N786" s="3">
        <f>M786*6600</f>
        <v>3418800</v>
      </c>
      <c r="O786" s="3">
        <v>0</v>
      </c>
      <c r="P786" s="3">
        <v>0</v>
      </c>
      <c r="Q786" s="3">
        <v>0</v>
      </c>
      <c r="R786" s="3">
        <f>Q786*3200</f>
        <v>0</v>
      </c>
      <c r="S786" s="3">
        <v>0</v>
      </c>
      <c r="T786" s="3">
        <v>0</v>
      </c>
      <c r="U786" s="3">
        <v>0</v>
      </c>
      <c r="V786" s="6">
        <f t="shared" si="211"/>
        <v>6600</v>
      </c>
    </row>
    <row r="787" spans="1:22" ht="25.15" customHeight="1" x14ac:dyDescent="0.25">
      <c r="A787" s="37" t="s">
        <v>1661</v>
      </c>
      <c r="B787" s="8" t="s">
        <v>155</v>
      </c>
      <c r="C787" s="2">
        <f t="shared" si="202"/>
        <v>1440820.0000000002</v>
      </c>
      <c r="D787" s="3">
        <f t="shared" si="210"/>
        <v>1340820.0000000002</v>
      </c>
      <c r="E787" s="3">
        <f>700*515.7</f>
        <v>360990.00000000006</v>
      </c>
      <c r="F787" s="3">
        <f>1300*515.7</f>
        <v>670410.00000000012</v>
      </c>
      <c r="G787" s="3">
        <f>300*515.7</f>
        <v>154710</v>
      </c>
      <c r="H787" s="3">
        <v>0</v>
      </c>
      <c r="I787" s="3">
        <f>300*515.7</f>
        <v>154710</v>
      </c>
      <c r="J787" s="3">
        <v>0</v>
      </c>
      <c r="K787" s="4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100000</v>
      </c>
      <c r="V787" s="6" t="e">
        <f t="shared" si="211"/>
        <v>#DIV/0!</v>
      </c>
    </row>
    <row r="788" spans="1:22" ht="25.15" customHeight="1" x14ac:dyDescent="0.25">
      <c r="A788" s="37" t="s">
        <v>1662</v>
      </c>
      <c r="B788" s="8" t="s">
        <v>1208</v>
      </c>
      <c r="C788" s="2">
        <f t="shared" si="202"/>
        <v>1679106</v>
      </c>
      <c r="D788" s="3">
        <f t="shared" si="210"/>
        <v>0</v>
      </c>
      <c r="E788" s="3">
        <v>0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4">
        <v>0</v>
      </c>
      <c r="L788" s="3">
        <v>0</v>
      </c>
      <c r="M788" s="3">
        <v>254.41</v>
      </c>
      <c r="N788" s="3">
        <f>M788*6600</f>
        <v>1679106</v>
      </c>
      <c r="O788" s="3">
        <v>0</v>
      </c>
      <c r="P788" s="3">
        <v>0</v>
      </c>
      <c r="Q788" s="3">
        <v>0</v>
      </c>
      <c r="R788" s="3">
        <f>Q788*3200</f>
        <v>0</v>
      </c>
      <c r="S788" s="3">
        <v>0</v>
      </c>
      <c r="T788" s="3">
        <v>0</v>
      </c>
      <c r="U788" s="3">
        <v>0</v>
      </c>
      <c r="V788" s="6">
        <f t="shared" si="211"/>
        <v>6600</v>
      </c>
    </row>
    <row r="789" spans="1:22" ht="45" customHeight="1" x14ac:dyDescent="0.25">
      <c r="A789" s="54" t="s">
        <v>944</v>
      </c>
      <c r="B789" s="54"/>
      <c r="C789" s="2">
        <f>SUM(C790)</f>
        <v>1764180</v>
      </c>
      <c r="D789" s="2">
        <f t="shared" ref="D789:U789" si="212">SUM(D790)</f>
        <v>0</v>
      </c>
      <c r="E789" s="2">
        <f t="shared" si="212"/>
        <v>0</v>
      </c>
      <c r="F789" s="2">
        <f t="shared" si="212"/>
        <v>0</v>
      </c>
      <c r="G789" s="2">
        <f t="shared" si="212"/>
        <v>0</v>
      </c>
      <c r="H789" s="2">
        <f t="shared" si="212"/>
        <v>0</v>
      </c>
      <c r="I789" s="2">
        <f t="shared" si="212"/>
        <v>0</v>
      </c>
      <c r="J789" s="2">
        <f t="shared" si="212"/>
        <v>0</v>
      </c>
      <c r="K789" s="14">
        <f t="shared" si="212"/>
        <v>0</v>
      </c>
      <c r="L789" s="2">
        <f t="shared" si="212"/>
        <v>0</v>
      </c>
      <c r="M789" s="2">
        <f t="shared" si="212"/>
        <v>267.3</v>
      </c>
      <c r="N789" s="2">
        <f t="shared" si="212"/>
        <v>1764180</v>
      </c>
      <c r="O789" s="2">
        <f t="shared" si="212"/>
        <v>0</v>
      </c>
      <c r="P789" s="2">
        <f t="shared" si="212"/>
        <v>0</v>
      </c>
      <c r="Q789" s="2">
        <f t="shared" si="212"/>
        <v>0</v>
      </c>
      <c r="R789" s="2">
        <f t="shared" si="212"/>
        <v>0</v>
      </c>
      <c r="S789" s="2">
        <f t="shared" si="212"/>
        <v>0</v>
      </c>
      <c r="T789" s="2">
        <f t="shared" si="212"/>
        <v>0</v>
      </c>
      <c r="U789" s="2">
        <f t="shared" si="212"/>
        <v>0</v>
      </c>
    </row>
    <row r="790" spans="1:22" ht="25.15" customHeight="1" x14ac:dyDescent="0.25">
      <c r="A790" s="37" t="s">
        <v>1663</v>
      </c>
      <c r="B790" s="8" t="s">
        <v>159</v>
      </c>
      <c r="C790" s="2">
        <f t="shared" si="202"/>
        <v>1764180</v>
      </c>
      <c r="D790" s="3">
        <f>SUM(E790:J790)</f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267.3</v>
      </c>
      <c r="N790" s="3">
        <f>M790*6600</f>
        <v>1764180</v>
      </c>
      <c r="O790" s="3">
        <v>0</v>
      </c>
      <c r="P790" s="3">
        <v>0</v>
      </c>
      <c r="Q790" s="3">
        <v>0</v>
      </c>
      <c r="R790" s="3">
        <f>Q790*3200</f>
        <v>0</v>
      </c>
      <c r="S790" s="3">
        <v>0</v>
      </c>
      <c r="T790" s="3">
        <v>0</v>
      </c>
      <c r="U790" s="3">
        <v>0</v>
      </c>
      <c r="V790" s="6">
        <f>N790/M790</f>
        <v>6600</v>
      </c>
    </row>
    <row r="791" spans="1:22" ht="45" customHeight="1" x14ac:dyDescent="0.25">
      <c r="A791" s="54" t="s">
        <v>1213</v>
      </c>
      <c r="B791" s="54"/>
      <c r="C791" s="2">
        <f>SUM(C792)</f>
        <v>300000</v>
      </c>
      <c r="D791" s="2">
        <f t="shared" ref="D791:U791" si="213">SUM(D792)</f>
        <v>0</v>
      </c>
      <c r="E791" s="2">
        <f t="shared" si="213"/>
        <v>0</v>
      </c>
      <c r="F791" s="2">
        <f t="shared" si="213"/>
        <v>0</v>
      </c>
      <c r="G791" s="2">
        <f t="shared" si="213"/>
        <v>0</v>
      </c>
      <c r="H791" s="2">
        <f t="shared" si="213"/>
        <v>0</v>
      </c>
      <c r="I791" s="2">
        <f t="shared" si="213"/>
        <v>0</v>
      </c>
      <c r="J791" s="2">
        <f t="shared" si="213"/>
        <v>0</v>
      </c>
      <c r="K791" s="14">
        <f t="shared" si="213"/>
        <v>0</v>
      </c>
      <c r="L791" s="2">
        <f t="shared" si="213"/>
        <v>0</v>
      </c>
      <c r="M791" s="2">
        <f t="shared" si="213"/>
        <v>0</v>
      </c>
      <c r="N791" s="2">
        <f t="shared" si="213"/>
        <v>0</v>
      </c>
      <c r="O791" s="2">
        <f t="shared" si="213"/>
        <v>0</v>
      </c>
      <c r="P791" s="2">
        <f t="shared" si="213"/>
        <v>0</v>
      </c>
      <c r="Q791" s="2">
        <f t="shared" si="213"/>
        <v>0</v>
      </c>
      <c r="R791" s="2">
        <f t="shared" si="213"/>
        <v>0</v>
      </c>
      <c r="S791" s="2">
        <f t="shared" si="213"/>
        <v>0</v>
      </c>
      <c r="T791" s="2">
        <f t="shared" si="213"/>
        <v>0</v>
      </c>
      <c r="U791" s="2">
        <f t="shared" si="213"/>
        <v>300000</v>
      </c>
    </row>
    <row r="792" spans="1:22" ht="25.15" customHeight="1" x14ac:dyDescent="0.25">
      <c r="A792" s="37" t="s">
        <v>1664</v>
      </c>
      <c r="B792" s="8" t="s">
        <v>1214</v>
      </c>
      <c r="C792" s="2">
        <f>D792+L792+N792+P792+R792+S792+T792+U792</f>
        <v>300000</v>
      </c>
      <c r="D792" s="3">
        <f>SUM(E792:J792)</f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4">
        <v>0</v>
      </c>
      <c r="L792" s="3">
        <v>0</v>
      </c>
      <c r="M792" s="3">
        <v>0</v>
      </c>
      <c r="N792" s="3">
        <f>M792*6600</f>
        <v>0</v>
      </c>
      <c r="O792" s="3">
        <v>0</v>
      </c>
      <c r="P792" s="3">
        <v>0</v>
      </c>
      <c r="Q792" s="3">
        <v>0</v>
      </c>
      <c r="R792" s="3">
        <f>Q792*3200</f>
        <v>0</v>
      </c>
      <c r="S792" s="3">
        <v>0</v>
      </c>
      <c r="T792" s="3">
        <v>0</v>
      </c>
      <c r="U792" s="3">
        <v>300000</v>
      </c>
      <c r="V792" s="6" t="e">
        <f>N792/M792</f>
        <v>#DIV/0!</v>
      </c>
    </row>
    <row r="793" spans="1:22" ht="45" customHeight="1" x14ac:dyDescent="0.25">
      <c r="A793" s="54" t="s">
        <v>162</v>
      </c>
      <c r="B793" s="54"/>
      <c r="C793" s="2">
        <f>SUM(C794:C811)</f>
        <v>127407690</v>
      </c>
      <c r="D793" s="2">
        <f t="shared" ref="D793:U793" si="214">SUM(D794:D811)</f>
        <v>40463335</v>
      </c>
      <c r="E793" s="2">
        <f t="shared" si="214"/>
        <v>14966910</v>
      </c>
      <c r="F793" s="2">
        <f t="shared" si="214"/>
        <v>17576355</v>
      </c>
      <c r="G793" s="2">
        <f t="shared" si="214"/>
        <v>4008270</v>
      </c>
      <c r="H793" s="2">
        <f t="shared" si="214"/>
        <v>0</v>
      </c>
      <c r="I793" s="2">
        <f t="shared" si="214"/>
        <v>3911800</v>
      </c>
      <c r="J793" s="2">
        <f t="shared" si="214"/>
        <v>0</v>
      </c>
      <c r="K793" s="14">
        <f t="shared" si="214"/>
        <v>0</v>
      </c>
      <c r="L793" s="2">
        <f t="shared" si="214"/>
        <v>0</v>
      </c>
      <c r="M793" s="2">
        <f t="shared" si="214"/>
        <v>8529.4</v>
      </c>
      <c r="N793" s="2">
        <f t="shared" si="214"/>
        <v>53276735</v>
      </c>
      <c r="O793" s="2">
        <f t="shared" si="214"/>
        <v>507.1</v>
      </c>
      <c r="P793" s="2">
        <f t="shared" si="214"/>
        <v>608520</v>
      </c>
      <c r="Q793" s="2">
        <f t="shared" si="214"/>
        <v>9443.9999999999982</v>
      </c>
      <c r="R793" s="2">
        <f t="shared" si="214"/>
        <v>29959100</v>
      </c>
      <c r="S793" s="2">
        <f t="shared" si="214"/>
        <v>0</v>
      </c>
      <c r="T793" s="2">
        <f t="shared" si="214"/>
        <v>0</v>
      </c>
      <c r="U793" s="2">
        <f t="shared" si="214"/>
        <v>3100000</v>
      </c>
    </row>
    <row r="794" spans="1:22" ht="25.15" customHeight="1" x14ac:dyDescent="0.25">
      <c r="A794" s="37" t="s">
        <v>1665</v>
      </c>
      <c r="B794" s="21" t="s">
        <v>167</v>
      </c>
      <c r="C794" s="2">
        <f t="shared" ref="C794" si="215">D794+L794+N794+P794+R794+S794+T794+U794</f>
        <v>5297180</v>
      </c>
      <c r="D794" s="3">
        <f t="shared" ref="D794" si="216">SUM(E794:J794)</f>
        <v>5297180</v>
      </c>
      <c r="E794" s="3">
        <f>7567.4*700</f>
        <v>5297180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4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5">
        <v>0</v>
      </c>
      <c r="R794" s="3">
        <v>0</v>
      </c>
      <c r="S794" s="3">
        <v>0</v>
      </c>
      <c r="T794" s="3">
        <v>0</v>
      </c>
      <c r="U794" s="3">
        <v>0</v>
      </c>
      <c r="V794" s="6" t="e">
        <f t="shared" ref="V794" si="217">N794/M794</f>
        <v>#DIV/0!</v>
      </c>
    </row>
    <row r="795" spans="1:22" ht="25.15" customHeight="1" x14ac:dyDescent="0.25">
      <c r="A795" s="37" t="s">
        <v>1666</v>
      </c>
      <c r="B795" s="1" t="s">
        <v>190</v>
      </c>
      <c r="C795" s="2">
        <f t="shared" si="202"/>
        <v>7718040</v>
      </c>
      <c r="D795" s="3">
        <f t="shared" ref="D795:D811" si="218">SUM(E795:J795)</f>
        <v>0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4">
        <v>0</v>
      </c>
      <c r="L795" s="3">
        <v>0</v>
      </c>
      <c r="M795" s="3">
        <v>851</v>
      </c>
      <c r="N795" s="3">
        <f t="shared" ref="N795:N804" si="219">M795*6600</f>
        <v>5616600</v>
      </c>
      <c r="O795" s="3">
        <v>0</v>
      </c>
      <c r="P795" s="3">
        <f>O795*410</f>
        <v>0</v>
      </c>
      <c r="Q795" s="3">
        <v>656.7</v>
      </c>
      <c r="R795" s="3">
        <f t="shared" ref="R795:R811" si="220">Q795*3200</f>
        <v>2101440</v>
      </c>
      <c r="S795" s="3">
        <f>S862</f>
        <v>0</v>
      </c>
      <c r="T795" s="3">
        <v>0</v>
      </c>
      <c r="U795" s="3">
        <v>0</v>
      </c>
      <c r="V795" s="6">
        <f t="shared" ref="V795:V811" si="221">N795/M795</f>
        <v>6600</v>
      </c>
    </row>
    <row r="796" spans="1:22" ht="25.15" customHeight="1" x14ac:dyDescent="0.25">
      <c r="A796" s="37" t="s">
        <v>1667</v>
      </c>
      <c r="B796" s="21" t="s">
        <v>184</v>
      </c>
      <c r="C796" s="2">
        <f>D796+L796+N796+P796+R796+S796+T796+U796</f>
        <v>13846530</v>
      </c>
      <c r="D796" s="3">
        <f>SUM(E796:J796)</f>
        <v>3762330</v>
      </c>
      <c r="E796" s="3">
        <f>350*1929.4</f>
        <v>675290</v>
      </c>
      <c r="F796" s="3">
        <f>1050*1929.4</f>
        <v>2025870</v>
      </c>
      <c r="G796" s="3">
        <f>300*1929.4</f>
        <v>578820</v>
      </c>
      <c r="H796" s="3">
        <f t="shared" si="102"/>
        <v>0</v>
      </c>
      <c r="I796" s="3">
        <f>250*1929.4</f>
        <v>482350</v>
      </c>
      <c r="J796" s="3">
        <f t="shared" si="101"/>
        <v>0</v>
      </c>
      <c r="K796" s="4">
        <v>0</v>
      </c>
      <c r="L796" s="3">
        <v>0</v>
      </c>
      <c r="M796" s="5">
        <v>1083.4000000000001</v>
      </c>
      <c r="N796" s="5">
        <f>M796*5500</f>
        <v>5958700.0000000009</v>
      </c>
      <c r="O796" s="3">
        <v>0</v>
      </c>
      <c r="P796" s="3">
        <v>0</v>
      </c>
      <c r="Q796" s="3">
        <v>1308.5</v>
      </c>
      <c r="R796" s="3">
        <f>Q796*3000</f>
        <v>3925500</v>
      </c>
      <c r="S796" s="3">
        <v>0</v>
      </c>
      <c r="T796" s="3">
        <v>0</v>
      </c>
      <c r="U796" s="3">
        <v>200000</v>
      </c>
      <c r="V796" s="6">
        <f>N796/M796</f>
        <v>5500</v>
      </c>
    </row>
    <row r="797" spans="1:22" ht="25.15" customHeight="1" x14ac:dyDescent="0.25">
      <c r="A797" s="37" t="s">
        <v>1668</v>
      </c>
      <c r="B797" s="1" t="s">
        <v>182</v>
      </c>
      <c r="C797" s="2">
        <f t="shared" ref="C797" si="222">D797+L797+N797+P797+R797+S797+T797+U797</f>
        <v>789535</v>
      </c>
      <c r="D797" s="3">
        <f t="shared" ref="D797" si="223">SUM(E797:J797)</f>
        <v>689535</v>
      </c>
      <c r="E797" s="3">
        <v>0</v>
      </c>
      <c r="F797" s="3">
        <f>1050*656.7</f>
        <v>689535</v>
      </c>
      <c r="G797" s="3">
        <v>0</v>
      </c>
      <c r="H797" s="3">
        <f t="shared" si="102"/>
        <v>0</v>
      </c>
      <c r="I797" s="3">
        <v>0</v>
      </c>
      <c r="J797" s="3">
        <f t="shared" si="101"/>
        <v>0</v>
      </c>
      <c r="K797" s="4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5">
        <v>0</v>
      </c>
      <c r="R797" s="3">
        <v>0</v>
      </c>
      <c r="S797" s="3">
        <f>S1608</f>
        <v>0</v>
      </c>
      <c r="T797" s="3">
        <v>0</v>
      </c>
      <c r="U797" s="3">
        <v>100000</v>
      </c>
      <c r="V797" s="6" t="e">
        <f t="shared" ref="V797" si="224">N797/M797</f>
        <v>#DIV/0!</v>
      </c>
    </row>
    <row r="798" spans="1:22" ht="25.15" customHeight="1" x14ac:dyDescent="0.25">
      <c r="A798" s="37" t="s">
        <v>1669</v>
      </c>
      <c r="B798" s="1" t="s">
        <v>191</v>
      </c>
      <c r="C798" s="2">
        <f t="shared" si="202"/>
        <v>7087320</v>
      </c>
      <c r="D798" s="3">
        <f t="shared" si="218"/>
        <v>2397720</v>
      </c>
      <c r="E798" s="3">
        <f>700*922.2</f>
        <v>645540</v>
      </c>
      <c r="F798" s="3">
        <f>1300*922.2</f>
        <v>1198860</v>
      </c>
      <c r="G798" s="3">
        <f>300*922.2</f>
        <v>276660</v>
      </c>
      <c r="H798" s="3">
        <v>0</v>
      </c>
      <c r="I798" s="3">
        <f>300*922.2</f>
        <v>276660</v>
      </c>
      <c r="J798" s="3">
        <v>0</v>
      </c>
      <c r="K798" s="4">
        <v>0</v>
      </c>
      <c r="L798" s="3">
        <v>0</v>
      </c>
      <c r="M798" s="3">
        <v>340</v>
      </c>
      <c r="N798" s="3">
        <f t="shared" si="219"/>
        <v>2244000</v>
      </c>
      <c r="O798" s="3">
        <v>0</v>
      </c>
      <c r="P798" s="3">
        <f>O798*410</f>
        <v>0</v>
      </c>
      <c r="Q798" s="3">
        <v>733</v>
      </c>
      <c r="R798" s="3">
        <f t="shared" si="220"/>
        <v>2345600</v>
      </c>
      <c r="S798" s="3">
        <f>S866</f>
        <v>0</v>
      </c>
      <c r="T798" s="3">
        <v>0</v>
      </c>
      <c r="U798" s="3">
        <v>100000</v>
      </c>
      <c r="V798" s="6">
        <f t="shared" si="221"/>
        <v>6600</v>
      </c>
    </row>
    <row r="799" spans="1:22" ht="25.15" customHeight="1" x14ac:dyDescent="0.25">
      <c r="A799" s="37" t="s">
        <v>1670</v>
      </c>
      <c r="B799" s="1" t="s">
        <v>192</v>
      </c>
      <c r="C799" s="2">
        <f t="shared" si="202"/>
        <v>7411960</v>
      </c>
      <c r="D799" s="3">
        <f t="shared" si="218"/>
        <v>767200</v>
      </c>
      <c r="E799" s="3">
        <f>700*1096</f>
        <v>767200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4">
        <v>0</v>
      </c>
      <c r="L799" s="3">
        <v>0</v>
      </c>
      <c r="M799" s="3">
        <v>688.6</v>
      </c>
      <c r="N799" s="3">
        <f t="shared" si="219"/>
        <v>4544760</v>
      </c>
      <c r="O799" s="3">
        <v>0</v>
      </c>
      <c r="P799" s="3">
        <f>O799*410</f>
        <v>0</v>
      </c>
      <c r="Q799" s="3">
        <v>625</v>
      </c>
      <c r="R799" s="3">
        <f t="shared" si="220"/>
        <v>2000000</v>
      </c>
      <c r="S799" s="3">
        <f>S876</f>
        <v>0</v>
      </c>
      <c r="T799" s="3">
        <v>0</v>
      </c>
      <c r="U799" s="3">
        <v>100000</v>
      </c>
      <c r="V799" s="6">
        <f t="shared" si="221"/>
        <v>6600</v>
      </c>
    </row>
    <row r="800" spans="1:22" ht="25.15" customHeight="1" x14ac:dyDescent="0.25">
      <c r="A800" s="37" t="s">
        <v>1671</v>
      </c>
      <c r="B800" s="1" t="s">
        <v>193</v>
      </c>
      <c r="C800" s="2">
        <f t="shared" si="202"/>
        <v>8249480</v>
      </c>
      <c r="D800" s="3">
        <f t="shared" si="218"/>
        <v>3218800</v>
      </c>
      <c r="E800" s="3">
        <f>700*1238</f>
        <v>866600</v>
      </c>
      <c r="F800" s="3">
        <f>1300*1238</f>
        <v>1609400</v>
      </c>
      <c r="G800" s="3">
        <f>300*1238</f>
        <v>371400</v>
      </c>
      <c r="H800" s="3">
        <v>0</v>
      </c>
      <c r="I800" s="3">
        <f>300*1238</f>
        <v>371400</v>
      </c>
      <c r="J800" s="3">
        <f>350*0</f>
        <v>0</v>
      </c>
      <c r="K800" s="4">
        <v>0</v>
      </c>
      <c r="L800" s="3">
        <v>0</v>
      </c>
      <c r="M800" s="3">
        <v>476.2</v>
      </c>
      <c r="N800" s="3">
        <f t="shared" si="219"/>
        <v>3142920</v>
      </c>
      <c r="O800" s="3">
        <v>0</v>
      </c>
      <c r="P800" s="3">
        <f>O800*410</f>
        <v>0</v>
      </c>
      <c r="Q800" s="3">
        <v>324.3</v>
      </c>
      <c r="R800" s="3">
        <f t="shared" si="220"/>
        <v>1037760</v>
      </c>
      <c r="S800" s="3">
        <f>S877</f>
        <v>0</v>
      </c>
      <c r="T800" s="3">
        <v>0</v>
      </c>
      <c r="U800" s="3">
        <v>850000</v>
      </c>
      <c r="V800" s="6">
        <f t="shared" si="221"/>
        <v>6600</v>
      </c>
    </row>
    <row r="801" spans="1:22" ht="25.15" customHeight="1" x14ac:dyDescent="0.25">
      <c r="A801" s="37" t="s">
        <v>1672</v>
      </c>
      <c r="B801" s="1" t="s">
        <v>194</v>
      </c>
      <c r="C801" s="2">
        <f t="shared" si="202"/>
        <v>8889680</v>
      </c>
      <c r="D801" s="3">
        <f t="shared" si="218"/>
        <v>3406000</v>
      </c>
      <c r="E801" s="3">
        <f>700*1310</f>
        <v>917000</v>
      </c>
      <c r="F801" s="3">
        <f>1300*1310</f>
        <v>1703000</v>
      </c>
      <c r="G801" s="3">
        <f>300*1310</f>
        <v>393000</v>
      </c>
      <c r="H801" s="3">
        <v>0</v>
      </c>
      <c r="I801" s="3">
        <f>300*1310</f>
        <v>393000</v>
      </c>
      <c r="J801" s="3">
        <f>350*0</f>
        <v>0</v>
      </c>
      <c r="K801" s="4">
        <v>0</v>
      </c>
      <c r="L801" s="3">
        <v>0</v>
      </c>
      <c r="M801" s="3">
        <v>582.79999999999995</v>
      </c>
      <c r="N801" s="3">
        <f t="shared" si="219"/>
        <v>3846479.9999999995</v>
      </c>
      <c r="O801" s="3">
        <v>0</v>
      </c>
      <c r="P801" s="3">
        <f>O801*410</f>
        <v>0</v>
      </c>
      <c r="Q801" s="3">
        <v>246</v>
      </c>
      <c r="R801" s="3">
        <f t="shared" si="220"/>
        <v>787200</v>
      </c>
      <c r="S801" s="3">
        <f>S878</f>
        <v>0</v>
      </c>
      <c r="T801" s="3">
        <v>0</v>
      </c>
      <c r="U801" s="3">
        <v>850000</v>
      </c>
      <c r="V801" s="6">
        <f t="shared" si="221"/>
        <v>6600</v>
      </c>
    </row>
    <row r="802" spans="1:22" ht="25.15" customHeight="1" x14ac:dyDescent="0.25">
      <c r="A802" s="37" t="s">
        <v>1673</v>
      </c>
      <c r="B802" s="1" t="s">
        <v>195</v>
      </c>
      <c r="C802" s="2">
        <f t="shared" si="202"/>
        <v>2467050</v>
      </c>
      <c r="D802" s="3">
        <f t="shared" si="218"/>
        <v>225190</v>
      </c>
      <c r="E802" s="3">
        <f>700*321.7</f>
        <v>225190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176.5</v>
      </c>
      <c r="N802" s="3">
        <f t="shared" si="219"/>
        <v>1164900</v>
      </c>
      <c r="O802" s="3">
        <v>0</v>
      </c>
      <c r="P802" s="3">
        <v>0</v>
      </c>
      <c r="Q802" s="3">
        <v>305.3</v>
      </c>
      <c r="R802" s="3">
        <f t="shared" si="220"/>
        <v>976960</v>
      </c>
      <c r="S802" s="3">
        <f>S881</f>
        <v>0</v>
      </c>
      <c r="T802" s="3">
        <v>0</v>
      </c>
      <c r="U802" s="3">
        <v>100000</v>
      </c>
      <c r="V802" s="6">
        <f t="shared" si="221"/>
        <v>6600</v>
      </c>
    </row>
    <row r="803" spans="1:22" ht="25.15" customHeight="1" x14ac:dyDescent="0.25">
      <c r="A803" s="37" t="s">
        <v>1674</v>
      </c>
      <c r="B803" s="1" t="s">
        <v>196</v>
      </c>
      <c r="C803" s="2">
        <f t="shared" si="202"/>
        <v>13685880</v>
      </c>
      <c r="D803" s="3">
        <f t="shared" si="218"/>
        <v>5680219.9999999991</v>
      </c>
      <c r="E803" s="3">
        <f>700*2184.7</f>
        <v>1529289.9999999998</v>
      </c>
      <c r="F803" s="3">
        <f>1300*2184.7</f>
        <v>2840109.9999999995</v>
      </c>
      <c r="G803" s="3">
        <f>300*2184.7</f>
        <v>655410</v>
      </c>
      <c r="H803" s="3">
        <v>0</v>
      </c>
      <c r="I803" s="3">
        <f>300*2184.7</f>
        <v>655410</v>
      </c>
      <c r="J803" s="3">
        <v>0</v>
      </c>
      <c r="K803" s="4">
        <v>0</v>
      </c>
      <c r="L803" s="3">
        <v>0</v>
      </c>
      <c r="M803" s="3">
        <v>657.9</v>
      </c>
      <c r="N803" s="3">
        <f t="shared" si="219"/>
        <v>4342140</v>
      </c>
      <c r="O803" s="3">
        <v>0</v>
      </c>
      <c r="P803" s="3">
        <v>0</v>
      </c>
      <c r="Q803" s="3">
        <v>1113.5999999999999</v>
      </c>
      <c r="R803" s="3">
        <f t="shared" si="220"/>
        <v>3563519.9999999995</v>
      </c>
      <c r="S803" s="3">
        <f>S884</f>
        <v>0</v>
      </c>
      <c r="T803" s="3">
        <v>0</v>
      </c>
      <c r="U803" s="3">
        <v>100000</v>
      </c>
      <c r="V803" s="6">
        <f t="shared" si="221"/>
        <v>6600</v>
      </c>
    </row>
    <row r="804" spans="1:22" ht="25.15" customHeight="1" x14ac:dyDescent="0.25">
      <c r="A804" s="37" t="s">
        <v>1675</v>
      </c>
      <c r="B804" s="1" t="s">
        <v>197</v>
      </c>
      <c r="C804" s="2">
        <f t="shared" si="202"/>
        <v>8418120</v>
      </c>
      <c r="D804" s="3">
        <f t="shared" si="218"/>
        <v>2528500</v>
      </c>
      <c r="E804" s="3">
        <f>700*972.5</f>
        <v>680750</v>
      </c>
      <c r="F804" s="3">
        <f>1300*972.5</f>
        <v>1264250</v>
      </c>
      <c r="G804" s="3">
        <f>300*972.5</f>
        <v>291750</v>
      </c>
      <c r="H804" s="3">
        <v>0</v>
      </c>
      <c r="I804" s="3">
        <f>300*972.5</f>
        <v>291750</v>
      </c>
      <c r="J804" s="3">
        <v>0</v>
      </c>
      <c r="K804" s="4">
        <v>0</v>
      </c>
      <c r="L804" s="3">
        <v>0</v>
      </c>
      <c r="M804" s="3">
        <v>620.70000000000005</v>
      </c>
      <c r="N804" s="3">
        <f t="shared" si="219"/>
        <v>4096620.0000000005</v>
      </c>
      <c r="O804" s="3">
        <v>507.1</v>
      </c>
      <c r="P804" s="3">
        <f>O804*1200</f>
        <v>608520</v>
      </c>
      <c r="Q804" s="3">
        <v>338.9</v>
      </c>
      <c r="R804" s="3">
        <f t="shared" si="220"/>
        <v>1084480</v>
      </c>
      <c r="S804" s="3">
        <v>0</v>
      </c>
      <c r="T804" s="3">
        <v>0</v>
      </c>
      <c r="U804" s="3">
        <v>100000</v>
      </c>
      <c r="V804" s="6">
        <f t="shared" si="221"/>
        <v>6600</v>
      </c>
    </row>
    <row r="805" spans="1:22" ht="25.15" customHeight="1" x14ac:dyDescent="0.25">
      <c r="A805" s="37" t="s">
        <v>1676</v>
      </c>
      <c r="B805" s="1" t="s">
        <v>198</v>
      </c>
      <c r="C805" s="2">
        <f t="shared" si="202"/>
        <v>200000</v>
      </c>
      <c r="D805" s="3">
        <f t="shared" si="218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f t="shared" si="220"/>
        <v>0</v>
      </c>
      <c r="S805" s="3">
        <v>0</v>
      </c>
      <c r="T805" s="3">
        <v>0</v>
      </c>
      <c r="U805" s="3">
        <v>200000</v>
      </c>
      <c r="V805" s="6" t="e">
        <f t="shared" si="221"/>
        <v>#DIV/0!</v>
      </c>
    </row>
    <row r="806" spans="1:22" ht="25.15" customHeight="1" x14ac:dyDescent="0.25">
      <c r="A806" s="37" t="s">
        <v>1677</v>
      </c>
      <c r="B806" s="1" t="s">
        <v>199</v>
      </c>
      <c r="C806" s="2">
        <f t="shared" si="202"/>
        <v>3778495</v>
      </c>
      <c r="D806" s="3">
        <f t="shared" si="218"/>
        <v>0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4">
        <v>0</v>
      </c>
      <c r="L806" s="3">
        <v>0</v>
      </c>
      <c r="M806" s="3">
        <v>849.1</v>
      </c>
      <c r="N806" s="3">
        <f>M806*4450</f>
        <v>3778495</v>
      </c>
      <c r="O806" s="3">
        <v>0</v>
      </c>
      <c r="P806" s="3">
        <v>0</v>
      </c>
      <c r="Q806" s="3">
        <v>0</v>
      </c>
      <c r="R806" s="3">
        <f t="shared" si="220"/>
        <v>0</v>
      </c>
      <c r="S806" s="3">
        <v>0</v>
      </c>
      <c r="T806" s="3">
        <v>0</v>
      </c>
      <c r="U806" s="3">
        <v>0</v>
      </c>
      <c r="V806" s="6">
        <f t="shared" si="221"/>
        <v>4450</v>
      </c>
    </row>
    <row r="807" spans="1:22" ht="25.15" customHeight="1" x14ac:dyDescent="0.25">
      <c r="A807" s="37" t="s">
        <v>1678</v>
      </c>
      <c r="B807" s="21" t="s">
        <v>200</v>
      </c>
      <c r="C807" s="2">
        <f t="shared" si="202"/>
        <v>18578700</v>
      </c>
      <c r="D807" s="3">
        <f t="shared" si="218"/>
        <v>7004660</v>
      </c>
      <c r="E807" s="3">
        <f>700*2694.1</f>
        <v>1885870</v>
      </c>
      <c r="F807" s="3">
        <f>1300*2694.1</f>
        <v>3502330</v>
      </c>
      <c r="G807" s="3">
        <f>300*2694.1</f>
        <v>808230</v>
      </c>
      <c r="H807" s="3">
        <v>0</v>
      </c>
      <c r="I807" s="3">
        <f>300*2694.1</f>
        <v>808230</v>
      </c>
      <c r="J807" s="3">
        <v>0</v>
      </c>
      <c r="K807" s="4">
        <v>0</v>
      </c>
      <c r="L807" s="3">
        <v>0</v>
      </c>
      <c r="M807" s="3">
        <v>781.4</v>
      </c>
      <c r="N807" s="3">
        <f>M807*6600</f>
        <v>5157240</v>
      </c>
      <c r="O807" s="3">
        <v>0</v>
      </c>
      <c r="P807" s="3">
        <v>0</v>
      </c>
      <c r="Q807" s="3">
        <v>1974</v>
      </c>
      <c r="R807" s="3">
        <f t="shared" si="220"/>
        <v>6316800</v>
      </c>
      <c r="S807" s="3">
        <f>S886</f>
        <v>0</v>
      </c>
      <c r="T807" s="3">
        <v>0</v>
      </c>
      <c r="U807" s="3">
        <v>100000</v>
      </c>
      <c r="V807" s="6">
        <f t="shared" si="221"/>
        <v>6600</v>
      </c>
    </row>
    <row r="808" spans="1:22" ht="25.15" customHeight="1" x14ac:dyDescent="0.25">
      <c r="A808" s="37" t="s">
        <v>1679</v>
      </c>
      <c r="B808" s="1" t="s">
        <v>204</v>
      </c>
      <c r="C808" s="2">
        <f t="shared" si="202"/>
        <v>4245560</v>
      </c>
      <c r="D808" s="3">
        <f t="shared" si="218"/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4">
        <v>0</v>
      </c>
      <c r="L808" s="3">
        <v>0</v>
      </c>
      <c r="M808" s="3">
        <v>415</v>
      </c>
      <c r="N808" s="3">
        <f>M808*6600</f>
        <v>2739000</v>
      </c>
      <c r="O808" s="3">
        <v>0</v>
      </c>
      <c r="P808" s="3">
        <v>0</v>
      </c>
      <c r="Q808" s="3">
        <v>470.8</v>
      </c>
      <c r="R808" s="3">
        <f t="shared" si="220"/>
        <v>1506560</v>
      </c>
      <c r="S808" s="3">
        <f>S890</f>
        <v>0</v>
      </c>
      <c r="T808" s="3">
        <v>0</v>
      </c>
      <c r="U808" s="3">
        <v>0</v>
      </c>
      <c r="V808" s="6">
        <f t="shared" si="221"/>
        <v>6600</v>
      </c>
    </row>
    <row r="809" spans="1:22" ht="25.15" customHeight="1" x14ac:dyDescent="0.25">
      <c r="A809" s="37" t="s">
        <v>1680</v>
      </c>
      <c r="B809" s="1" t="s">
        <v>201</v>
      </c>
      <c r="C809" s="2">
        <f t="shared" si="202"/>
        <v>5069500</v>
      </c>
      <c r="D809" s="3">
        <f t="shared" si="218"/>
        <v>1806220.0000000002</v>
      </c>
      <c r="E809" s="3">
        <f>700*694.7</f>
        <v>486290.00000000006</v>
      </c>
      <c r="F809" s="3">
        <f>1300*694.7</f>
        <v>903110.00000000012</v>
      </c>
      <c r="G809" s="3">
        <f>300*694.7</f>
        <v>208410</v>
      </c>
      <c r="H809" s="3">
        <v>0</v>
      </c>
      <c r="I809" s="3">
        <f>300*694.7</f>
        <v>208410</v>
      </c>
      <c r="J809" s="3">
        <v>0</v>
      </c>
      <c r="K809" s="4">
        <v>0</v>
      </c>
      <c r="L809" s="3">
        <v>0</v>
      </c>
      <c r="M809" s="3">
        <v>254.8</v>
      </c>
      <c r="N809" s="3">
        <f>M809*6600</f>
        <v>1681680</v>
      </c>
      <c r="O809" s="3">
        <v>0</v>
      </c>
      <c r="P809" s="3">
        <v>0</v>
      </c>
      <c r="Q809" s="3">
        <v>463</v>
      </c>
      <c r="R809" s="3">
        <f t="shared" si="220"/>
        <v>1481600</v>
      </c>
      <c r="S809" s="3">
        <f>S893</f>
        <v>0</v>
      </c>
      <c r="T809" s="3">
        <v>0</v>
      </c>
      <c r="U809" s="3">
        <v>100000</v>
      </c>
      <c r="V809" s="6">
        <f t="shared" si="221"/>
        <v>6600</v>
      </c>
    </row>
    <row r="810" spans="1:22" ht="25.15" customHeight="1" x14ac:dyDescent="0.25">
      <c r="A810" s="37" t="s">
        <v>1681</v>
      </c>
      <c r="B810" s="1" t="s">
        <v>202</v>
      </c>
      <c r="C810" s="2">
        <f t="shared" si="202"/>
        <v>5957520</v>
      </c>
      <c r="D810" s="3">
        <f t="shared" si="218"/>
        <v>1823900</v>
      </c>
      <c r="E810" s="3">
        <f>700*701.5</f>
        <v>491050</v>
      </c>
      <c r="F810" s="3">
        <f>1300*701.5</f>
        <v>911950</v>
      </c>
      <c r="G810" s="3">
        <f>300*701.5</f>
        <v>210450</v>
      </c>
      <c r="H810" s="3">
        <v>0</v>
      </c>
      <c r="I810" s="3">
        <f>300*701.5</f>
        <v>210450</v>
      </c>
      <c r="J810" s="3">
        <v>0</v>
      </c>
      <c r="K810" s="4">
        <v>0</v>
      </c>
      <c r="L810" s="3">
        <v>0</v>
      </c>
      <c r="M810" s="3">
        <v>384.1</v>
      </c>
      <c r="N810" s="3">
        <f>M810*6600</f>
        <v>2535060</v>
      </c>
      <c r="O810" s="3">
        <v>0</v>
      </c>
      <c r="P810" s="3">
        <v>0</v>
      </c>
      <c r="Q810" s="3">
        <v>468.3</v>
      </c>
      <c r="R810" s="3">
        <f t="shared" si="220"/>
        <v>1498560</v>
      </c>
      <c r="S810" s="3">
        <f>S894</f>
        <v>0</v>
      </c>
      <c r="T810" s="3">
        <v>0</v>
      </c>
      <c r="U810" s="3">
        <v>100000</v>
      </c>
      <c r="V810" s="6">
        <f t="shared" si="221"/>
        <v>6600</v>
      </c>
    </row>
    <row r="811" spans="1:22" ht="25.15" customHeight="1" x14ac:dyDescent="0.25">
      <c r="A811" s="37" t="s">
        <v>1682</v>
      </c>
      <c r="B811" s="1" t="s">
        <v>203</v>
      </c>
      <c r="C811" s="2">
        <f t="shared" si="202"/>
        <v>5717140</v>
      </c>
      <c r="D811" s="3">
        <f t="shared" si="218"/>
        <v>1855879.9999999998</v>
      </c>
      <c r="E811" s="3">
        <f>700*713.8</f>
        <v>499659.99999999994</v>
      </c>
      <c r="F811" s="3">
        <f>1300*713.8</f>
        <v>927939.99999999988</v>
      </c>
      <c r="G811" s="3">
        <f>300*713.8</f>
        <v>214140</v>
      </c>
      <c r="H811" s="3">
        <v>0</v>
      </c>
      <c r="I811" s="3">
        <f>300*713.8</f>
        <v>214140</v>
      </c>
      <c r="J811" s="3">
        <v>0</v>
      </c>
      <c r="K811" s="4">
        <v>0</v>
      </c>
      <c r="L811" s="3">
        <v>0</v>
      </c>
      <c r="M811" s="3">
        <v>367.9</v>
      </c>
      <c r="N811" s="3">
        <f>M811*6600</f>
        <v>2428140</v>
      </c>
      <c r="O811" s="3">
        <v>0</v>
      </c>
      <c r="P811" s="3">
        <v>0</v>
      </c>
      <c r="Q811" s="3">
        <v>416.6</v>
      </c>
      <c r="R811" s="3">
        <f t="shared" si="220"/>
        <v>1333120</v>
      </c>
      <c r="S811" s="3">
        <v>0</v>
      </c>
      <c r="T811" s="3">
        <v>0</v>
      </c>
      <c r="U811" s="3">
        <v>100000</v>
      </c>
      <c r="V811" s="6">
        <f t="shared" si="221"/>
        <v>6600</v>
      </c>
    </row>
    <row r="812" spans="1:22" ht="45" customHeight="1" x14ac:dyDescent="0.25">
      <c r="A812" s="54" t="s">
        <v>220</v>
      </c>
      <c r="B812" s="54"/>
      <c r="C812" s="2">
        <f>SUM(C813)</f>
        <v>4773385</v>
      </c>
      <c r="D812" s="2">
        <f t="shared" ref="D812:U812" si="225">SUM(D813)</f>
        <v>378441</v>
      </c>
      <c r="E812" s="2">
        <f t="shared" si="225"/>
        <v>378441</v>
      </c>
      <c r="F812" s="2">
        <f t="shared" si="225"/>
        <v>0</v>
      </c>
      <c r="G812" s="2">
        <f t="shared" si="225"/>
        <v>0</v>
      </c>
      <c r="H812" s="2">
        <f t="shared" si="225"/>
        <v>0</v>
      </c>
      <c r="I812" s="2">
        <f t="shared" si="225"/>
        <v>0</v>
      </c>
      <c r="J812" s="2">
        <f t="shared" si="225"/>
        <v>0</v>
      </c>
      <c r="K812" s="14">
        <f t="shared" si="225"/>
        <v>0</v>
      </c>
      <c r="L812" s="2">
        <f t="shared" si="225"/>
        <v>0</v>
      </c>
      <c r="M812" s="2">
        <f t="shared" si="225"/>
        <v>395.68</v>
      </c>
      <c r="N812" s="2">
        <f t="shared" si="225"/>
        <v>2611488</v>
      </c>
      <c r="O812" s="2">
        <f t="shared" si="225"/>
        <v>0</v>
      </c>
      <c r="P812" s="2">
        <f t="shared" si="225"/>
        <v>0</v>
      </c>
      <c r="Q812" s="2">
        <f t="shared" si="225"/>
        <v>526.08000000000004</v>
      </c>
      <c r="R812" s="2">
        <f t="shared" si="225"/>
        <v>1683456.0000000002</v>
      </c>
      <c r="S812" s="2">
        <f t="shared" si="225"/>
        <v>0</v>
      </c>
      <c r="T812" s="2">
        <f t="shared" si="225"/>
        <v>0</v>
      </c>
      <c r="U812" s="2">
        <f t="shared" si="225"/>
        <v>100000</v>
      </c>
    </row>
    <row r="813" spans="1:22" ht="25.15" customHeight="1" x14ac:dyDescent="0.25">
      <c r="A813" s="37" t="s">
        <v>1683</v>
      </c>
      <c r="B813" s="8" t="s">
        <v>222</v>
      </c>
      <c r="C813" s="2">
        <f>D813+L813+N813+P813+R813+S813+T813+U813</f>
        <v>4773385</v>
      </c>
      <c r="D813" s="3">
        <f>SUM(E813:J813)</f>
        <v>378441</v>
      </c>
      <c r="E813" s="3">
        <f>700*540.63</f>
        <v>378441</v>
      </c>
      <c r="F813" s="3">
        <f>1050*0</f>
        <v>0</v>
      </c>
      <c r="G813" s="3">
        <f>300*0</f>
        <v>0</v>
      </c>
      <c r="H813" s="3">
        <f>400*0</f>
        <v>0</v>
      </c>
      <c r="I813" s="3">
        <f>250*0</f>
        <v>0</v>
      </c>
      <c r="J813" s="3">
        <f>350*0</f>
        <v>0</v>
      </c>
      <c r="K813" s="4">
        <v>0</v>
      </c>
      <c r="L813" s="3">
        <v>0</v>
      </c>
      <c r="M813" s="3">
        <v>395.68</v>
      </c>
      <c r="N813" s="3">
        <f>M813*6600</f>
        <v>2611488</v>
      </c>
      <c r="O813" s="3">
        <v>0</v>
      </c>
      <c r="P813" s="3">
        <v>0</v>
      </c>
      <c r="Q813" s="3">
        <v>526.08000000000004</v>
      </c>
      <c r="R813" s="3">
        <f>Q813*3200</f>
        <v>1683456.0000000002</v>
      </c>
      <c r="S813" s="3">
        <v>0</v>
      </c>
      <c r="T813" s="3">
        <v>0</v>
      </c>
      <c r="U813" s="3">
        <v>100000</v>
      </c>
      <c r="V813" s="6">
        <f>N813/M813</f>
        <v>6600</v>
      </c>
    </row>
    <row r="814" spans="1:22" ht="45" customHeight="1" x14ac:dyDescent="0.25">
      <c r="A814" s="54" t="s">
        <v>219</v>
      </c>
      <c r="B814" s="54"/>
      <c r="C814" s="2">
        <f>SUM(C815:C823)</f>
        <v>38232113</v>
      </c>
      <c r="D814" s="2">
        <f t="shared" ref="D814:U814" si="226">SUM(D815:D823)</f>
        <v>8710157</v>
      </c>
      <c r="E814" s="2">
        <f t="shared" si="226"/>
        <v>3889207</v>
      </c>
      <c r="F814" s="2">
        <f t="shared" si="226"/>
        <v>3445663</v>
      </c>
      <c r="G814" s="2">
        <f t="shared" si="226"/>
        <v>883083</v>
      </c>
      <c r="H814" s="2">
        <f t="shared" si="226"/>
        <v>0</v>
      </c>
      <c r="I814" s="2">
        <f t="shared" si="226"/>
        <v>492204</v>
      </c>
      <c r="J814" s="2">
        <f t="shared" si="226"/>
        <v>0</v>
      </c>
      <c r="K814" s="14">
        <f t="shared" si="226"/>
        <v>0</v>
      </c>
      <c r="L814" s="2">
        <f t="shared" si="226"/>
        <v>0</v>
      </c>
      <c r="M814" s="2">
        <f t="shared" si="226"/>
        <v>2829.06</v>
      </c>
      <c r="N814" s="2">
        <f t="shared" si="226"/>
        <v>18671796</v>
      </c>
      <c r="O814" s="2">
        <f t="shared" si="226"/>
        <v>0</v>
      </c>
      <c r="P814" s="2">
        <f t="shared" si="226"/>
        <v>0</v>
      </c>
      <c r="Q814" s="2">
        <f t="shared" si="226"/>
        <v>3043.7999999999997</v>
      </c>
      <c r="R814" s="2">
        <f t="shared" si="226"/>
        <v>9740160</v>
      </c>
      <c r="S814" s="2">
        <f t="shared" si="226"/>
        <v>0</v>
      </c>
      <c r="T814" s="2">
        <f t="shared" si="226"/>
        <v>0</v>
      </c>
      <c r="U814" s="2">
        <f t="shared" si="226"/>
        <v>1110000</v>
      </c>
    </row>
    <row r="815" spans="1:22" ht="25.15" customHeight="1" x14ac:dyDescent="0.25">
      <c r="A815" s="37" t="s">
        <v>1684</v>
      </c>
      <c r="B815" s="8" t="s">
        <v>210</v>
      </c>
      <c r="C815" s="2">
        <f>D815+L815+N815+P815+R815+S815+T815+U815</f>
        <v>310000</v>
      </c>
      <c r="D815" s="3">
        <f>SUM(E815:J815)</f>
        <v>0</v>
      </c>
      <c r="E815" s="3">
        <v>0</v>
      </c>
      <c r="F815" s="3">
        <v>0</v>
      </c>
      <c r="G815" s="3">
        <v>0</v>
      </c>
      <c r="H815" s="3">
        <f>400*0</f>
        <v>0</v>
      </c>
      <c r="I815" s="3">
        <f>250*0</f>
        <v>0</v>
      </c>
      <c r="J815" s="3">
        <f t="shared" si="106"/>
        <v>0</v>
      </c>
      <c r="K815" s="4">
        <v>0</v>
      </c>
      <c r="L815" s="3">
        <v>0</v>
      </c>
      <c r="M815" s="5">
        <v>0</v>
      </c>
      <c r="N815" s="3">
        <f t="shared" ref="N815" si="227">M815*5500</f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310000</v>
      </c>
      <c r="V815" s="6" t="e">
        <f>N815/M815</f>
        <v>#DIV/0!</v>
      </c>
    </row>
    <row r="816" spans="1:22" ht="25.15" customHeight="1" x14ac:dyDescent="0.25">
      <c r="A816" s="37" t="s">
        <v>1685</v>
      </c>
      <c r="B816" s="8" t="s">
        <v>211</v>
      </c>
      <c r="C816" s="2">
        <f>D816+L816+N816+P816+R816+S816+T816+U816</f>
        <v>5787327</v>
      </c>
      <c r="D816" s="3">
        <f t="shared" ref="D816:D823" si="228">SUM(E816:J816)</f>
        <v>1341199</v>
      </c>
      <c r="E816" s="3">
        <f>700*583.13</f>
        <v>408191</v>
      </c>
      <c r="F816" s="3">
        <f>1300*583.13</f>
        <v>758069</v>
      </c>
      <c r="G816" s="3">
        <f>300*583.13</f>
        <v>174939</v>
      </c>
      <c r="H816" s="3">
        <v>0</v>
      </c>
      <c r="I816" s="3">
        <v>0</v>
      </c>
      <c r="J816" s="3">
        <f>350*0</f>
        <v>0</v>
      </c>
      <c r="K816" s="4">
        <v>0</v>
      </c>
      <c r="L816" s="3">
        <v>0</v>
      </c>
      <c r="M816" s="5">
        <v>427.28</v>
      </c>
      <c r="N816" s="3">
        <f t="shared" ref="N816:N820" si="229">M816*6600</f>
        <v>2820048</v>
      </c>
      <c r="O816" s="3">
        <v>0</v>
      </c>
      <c r="P816" s="3">
        <v>0</v>
      </c>
      <c r="Q816" s="3">
        <v>476.9</v>
      </c>
      <c r="R816" s="3">
        <f t="shared" ref="R816:R823" si="230">Q816*3200</f>
        <v>1526080</v>
      </c>
      <c r="S816" s="3">
        <v>0</v>
      </c>
      <c r="T816" s="3">
        <v>0</v>
      </c>
      <c r="U816" s="3">
        <v>100000</v>
      </c>
      <c r="V816" s="6">
        <f t="shared" ref="V816:V823" si="231">N816/M816</f>
        <v>6600</v>
      </c>
    </row>
    <row r="817" spans="1:22" ht="25.15" customHeight="1" x14ac:dyDescent="0.25">
      <c r="A817" s="37" t="s">
        <v>1686</v>
      </c>
      <c r="B817" s="8" t="s">
        <v>212</v>
      </c>
      <c r="C817" s="2">
        <f>D817+L817+N817+P817+R817+S817+T817+U817</f>
        <v>5768660</v>
      </c>
      <c r="D817" s="3">
        <f t="shared" si="228"/>
        <v>981410</v>
      </c>
      <c r="E817" s="3">
        <f>700*426.7</f>
        <v>298690</v>
      </c>
      <c r="F817" s="3">
        <f>1300*426.7</f>
        <v>554710</v>
      </c>
      <c r="G817" s="3">
        <f>300*426.7</f>
        <v>128010</v>
      </c>
      <c r="H817" s="3">
        <v>0</v>
      </c>
      <c r="I817" s="3">
        <v>0</v>
      </c>
      <c r="J817" s="3">
        <f>350*0</f>
        <v>0</v>
      </c>
      <c r="K817" s="11">
        <v>0</v>
      </c>
      <c r="L817" s="5">
        <v>0</v>
      </c>
      <c r="M817" s="5">
        <v>554.65</v>
      </c>
      <c r="N817" s="3">
        <f t="shared" si="229"/>
        <v>3660690</v>
      </c>
      <c r="O817" s="5">
        <v>0</v>
      </c>
      <c r="P817" s="5">
        <v>0</v>
      </c>
      <c r="Q817" s="5">
        <v>320.8</v>
      </c>
      <c r="R817" s="3">
        <f t="shared" si="230"/>
        <v>1026560</v>
      </c>
      <c r="S817" s="5">
        <v>0</v>
      </c>
      <c r="T817" s="3">
        <v>0</v>
      </c>
      <c r="U817" s="5">
        <v>100000</v>
      </c>
      <c r="V817" s="6">
        <f t="shared" si="231"/>
        <v>6600</v>
      </c>
    </row>
    <row r="818" spans="1:22" ht="25.15" customHeight="1" x14ac:dyDescent="0.25">
      <c r="A818" s="37" t="s">
        <v>1687</v>
      </c>
      <c r="B818" s="8" t="s">
        <v>214</v>
      </c>
      <c r="C818" s="2">
        <f>D818+L818+N818+P818+R818+S818+T818+U818</f>
        <v>6113936</v>
      </c>
      <c r="D818" s="3">
        <f>SUM(E818:J818)</f>
        <v>1330888</v>
      </c>
      <c r="E818" s="3">
        <f>700*511.88</f>
        <v>358316</v>
      </c>
      <c r="F818" s="3">
        <f>1300*511.88</f>
        <v>665444</v>
      </c>
      <c r="G818" s="3">
        <f>300*511.88</f>
        <v>153564</v>
      </c>
      <c r="H818" s="3">
        <v>0</v>
      </c>
      <c r="I818" s="3">
        <f>300*511.88</f>
        <v>153564</v>
      </c>
      <c r="J818" s="3">
        <f t="shared" si="106"/>
        <v>0</v>
      </c>
      <c r="K818" s="4">
        <v>0</v>
      </c>
      <c r="L818" s="3">
        <v>0</v>
      </c>
      <c r="M818" s="3">
        <v>487.88</v>
      </c>
      <c r="N818" s="3">
        <f t="shared" si="229"/>
        <v>3220008</v>
      </c>
      <c r="O818" s="3">
        <v>0</v>
      </c>
      <c r="P818" s="3">
        <v>0</v>
      </c>
      <c r="Q818" s="3">
        <v>457.2</v>
      </c>
      <c r="R818" s="3">
        <f>Q818*3200</f>
        <v>1463040</v>
      </c>
      <c r="S818" s="3">
        <v>0</v>
      </c>
      <c r="T818" s="3">
        <v>0</v>
      </c>
      <c r="U818" s="3">
        <v>100000</v>
      </c>
      <c r="V818" s="6">
        <f>N818/M818</f>
        <v>6600</v>
      </c>
    </row>
    <row r="819" spans="1:22" ht="25.15" customHeight="1" x14ac:dyDescent="0.25">
      <c r="A819" s="37" t="s">
        <v>1688</v>
      </c>
      <c r="B819" s="8" t="s">
        <v>215</v>
      </c>
      <c r="C819" s="2">
        <f>D819+L819+N819+P819+R819+S819+T819+U819</f>
        <v>5113180</v>
      </c>
      <c r="D819" s="3">
        <f>SUM(E819:J819)</f>
        <v>1031680</v>
      </c>
      <c r="E819" s="3">
        <f>700*396.8</f>
        <v>277760</v>
      </c>
      <c r="F819" s="3">
        <f>1300*396.8</f>
        <v>515840</v>
      </c>
      <c r="G819" s="3">
        <f>300*396.8</f>
        <v>119040</v>
      </c>
      <c r="H819" s="3">
        <v>0</v>
      </c>
      <c r="I819" s="3">
        <f>300*396.8</f>
        <v>119040</v>
      </c>
      <c r="J819" s="3">
        <f t="shared" si="106"/>
        <v>0</v>
      </c>
      <c r="K819" s="4">
        <v>0</v>
      </c>
      <c r="L819" s="3">
        <v>0</v>
      </c>
      <c r="M819" s="3">
        <v>371.5</v>
      </c>
      <c r="N819" s="3">
        <f t="shared" si="229"/>
        <v>2451900</v>
      </c>
      <c r="O819" s="3">
        <v>0</v>
      </c>
      <c r="P819" s="3">
        <v>0</v>
      </c>
      <c r="Q819" s="3">
        <v>478</v>
      </c>
      <c r="R819" s="3">
        <f>Q819*3200</f>
        <v>1529600</v>
      </c>
      <c r="S819" s="3">
        <v>0</v>
      </c>
      <c r="T819" s="3">
        <v>0</v>
      </c>
      <c r="U819" s="3">
        <v>100000</v>
      </c>
      <c r="V819" s="6">
        <f>N819/M819</f>
        <v>6600</v>
      </c>
    </row>
    <row r="820" spans="1:22" ht="25.15" customHeight="1" x14ac:dyDescent="0.25">
      <c r="A820" s="37" t="s">
        <v>1689</v>
      </c>
      <c r="B820" s="8" t="s">
        <v>216</v>
      </c>
      <c r="C820" s="2">
        <f t="shared" si="202"/>
        <v>4374600</v>
      </c>
      <c r="D820" s="3">
        <f t="shared" si="228"/>
        <v>293100</v>
      </c>
      <c r="E820" s="3">
        <f>700*293.1</f>
        <v>205170.00000000003</v>
      </c>
      <c r="F820" s="3">
        <v>0</v>
      </c>
      <c r="G820" s="3">
        <f>300*293.1</f>
        <v>87930</v>
      </c>
      <c r="H820" s="3">
        <v>0</v>
      </c>
      <c r="I820" s="3">
        <v>0</v>
      </c>
      <c r="J820" s="3">
        <v>0</v>
      </c>
      <c r="K820" s="4">
        <v>0</v>
      </c>
      <c r="L820" s="3">
        <v>0</v>
      </c>
      <c r="M820" s="3">
        <v>371.5</v>
      </c>
      <c r="N820" s="3">
        <f t="shared" si="229"/>
        <v>2451900</v>
      </c>
      <c r="O820" s="3">
        <v>0</v>
      </c>
      <c r="P820" s="3">
        <v>0</v>
      </c>
      <c r="Q820" s="3">
        <v>478</v>
      </c>
      <c r="R820" s="3">
        <f t="shared" si="230"/>
        <v>1529600</v>
      </c>
      <c r="S820" s="3">
        <v>0</v>
      </c>
      <c r="T820" s="3">
        <v>0</v>
      </c>
      <c r="U820" s="3">
        <v>100000</v>
      </c>
      <c r="V820" s="6">
        <f t="shared" si="231"/>
        <v>6600</v>
      </c>
    </row>
    <row r="821" spans="1:22" ht="25.15" customHeight="1" x14ac:dyDescent="0.25">
      <c r="A821" s="37" t="s">
        <v>1690</v>
      </c>
      <c r="B821" s="8" t="s">
        <v>1006</v>
      </c>
      <c r="C821" s="2">
        <f>D821+L821+N821+P821+R821+S821+T821+U821</f>
        <v>1928680</v>
      </c>
      <c r="D821" s="3">
        <f t="shared" si="228"/>
        <v>1828680</v>
      </c>
      <c r="E821" s="3">
        <f>700*2612.4</f>
        <v>1828680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4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f t="shared" si="230"/>
        <v>0</v>
      </c>
      <c r="S821" s="3">
        <v>0</v>
      </c>
      <c r="T821" s="3">
        <v>0</v>
      </c>
      <c r="U821" s="3">
        <v>100000</v>
      </c>
      <c r="V821" s="6" t="e">
        <f t="shared" si="231"/>
        <v>#DIV/0!</v>
      </c>
    </row>
    <row r="822" spans="1:22" ht="25.15" customHeight="1" x14ac:dyDescent="0.25">
      <c r="A822" s="37" t="s">
        <v>1691</v>
      </c>
      <c r="B822" s="8" t="s">
        <v>217</v>
      </c>
      <c r="C822" s="2">
        <f t="shared" si="202"/>
        <v>5224880</v>
      </c>
      <c r="D822" s="3">
        <f t="shared" si="228"/>
        <v>1141140</v>
      </c>
      <c r="E822" s="3">
        <f>700*438.9</f>
        <v>307230</v>
      </c>
      <c r="F822" s="3">
        <f>1300*438.9</f>
        <v>570570</v>
      </c>
      <c r="G822" s="3">
        <f>300*438.9</f>
        <v>131670</v>
      </c>
      <c r="H822" s="3">
        <v>0</v>
      </c>
      <c r="I822" s="3">
        <f>300*438.9</f>
        <v>131670</v>
      </c>
      <c r="J822" s="3">
        <v>0</v>
      </c>
      <c r="K822" s="4">
        <v>0</v>
      </c>
      <c r="L822" s="3">
        <v>0</v>
      </c>
      <c r="M822" s="3">
        <v>371.5</v>
      </c>
      <c r="N822" s="3">
        <f>M822*6600</f>
        <v>2451900</v>
      </c>
      <c r="O822" s="3">
        <v>0</v>
      </c>
      <c r="P822" s="3">
        <v>0</v>
      </c>
      <c r="Q822" s="3">
        <v>478.7</v>
      </c>
      <c r="R822" s="3">
        <f t="shared" si="230"/>
        <v>1531840</v>
      </c>
      <c r="S822" s="3">
        <v>0</v>
      </c>
      <c r="T822" s="3">
        <v>0</v>
      </c>
      <c r="U822" s="3">
        <v>100000</v>
      </c>
      <c r="V822" s="6">
        <f t="shared" si="231"/>
        <v>6600</v>
      </c>
    </row>
    <row r="823" spans="1:22" ht="25.15" customHeight="1" x14ac:dyDescent="0.25">
      <c r="A823" s="37" t="s">
        <v>1692</v>
      </c>
      <c r="B823" s="8" t="s">
        <v>218</v>
      </c>
      <c r="C823" s="2">
        <f t="shared" si="202"/>
        <v>3610850</v>
      </c>
      <c r="D823" s="3">
        <f t="shared" si="228"/>
        <v>762060.00000000012</v>
      </c>
      <c r="E823" s="3">
        <f>700*293.1</f>
        <v>205170.00000000003</v>
      </c>
      <c r="F823" s="3">
        <f>1300*293.1</f>
        <v>381030.00000000006</v>
      </c>
      <c r="G823" s="3">
        <f>300*293.1</f>
        <v>87930</v>
      </c>
      <c r="H823" s="3">
        <v>0</v>
      </c>
      <c r="I823" s="3">
        <f>300*293.1</f>
        <v>87930</v>
      </c>
      <c r="J823" s="3">
        <v>0</v>
      </c>
      <c r="K823" s="4">
        <v>0</v>
      </c>
      <c r="L823" s="3">
        <v>0</v>
      </c>
      <c r="M823" s="3">
        <v>244.75</v>
      </c>
      <c r="N823" s="3">
        <f>M823*6600</f>
        <v>1615350</v>
      </c>
      <c r="O823" s="3">
        <v>0</v>
      </c>
      <c r="P823" s="3">
        <v>0</v>
      </c>
      <c r="Q823" s="3">
        <v>354.2</v>
      </c>
      <c r="R823" s="3">
        <f t="shared" si="230"/>
        <v>1133440</v>
      </c>
      <c r="S823" s="3">
        <v>0</v>
      </c>
      <c r="T823" s="3">
        <v>0</v>
      </c>
      <c r="U823" s="3">
        <v>100000</v>
      </c>
      <c r="V823" s="6">
        <f t="shared" si="231"/>
        <v>6600</v>
      </c>
    </row>
    <row r="824" spans="1:22" ht="45" customHeight="1" x14ac:dyDescent="0.25">
      <c r="A824" s="54" t="s">
        <v>223</v>
      </c>
      <c r="B824" s="54"/>
      <c r="C824" s="2">
        <f>SUM(C825:C832)</f>
        <v>37287132</v>
      </c>
      <c r="D824" s="2">
        <f t="shared" ref="D824:U824" si="232">SUM(D825:D832)</f>
        <v>5709900</v>
      </c>
      <c r="E824" s="2">
        <f t="shared" si="232"/>
        <v>2084320</v>
      </c>
      <c r="F824" s="2">
        <f t="shared" si="232"/>
        <v>1454460</v>
      </c>
      <c r="G824" s="2">
        <f t="shared" si="232"/>
        <v>914670</v>
      </c>
      <c r="H824" s="2">
        <f t="shared" si="232"/>
        <v>554080</v>
      </c>
      <c r="I824" s="2">
        <f t="shared" si="232"/>
        <v>702370</v>
      </c>
      <c r="J824" s="2">
        <f t="shared" si="232"/>
        <v>0</v>
      </c>
      <c r="K824" s="14">
        <f t="shared" si="232"/>
        <v>0</v>
      </c>
      <c r="L824" s="2">
        <f t="shared" si="232"/>
        <v>0</v>
      </c>
      <c r="M824" s="2">
        <f t="shared" si="232"/>
        <v>2877.0999999999995</v>
      </c>
      <c r="N824" s="2">
        <f t="shared" si="232"/>
        <v>17834960</v>
      </c>
      <c r="O824" s="2">
        <f t="shared" si="232"/>
        <v>0</v>
      </c>
      <c r="P824" s="2">
        <f t="shared" si="232"/>
        <v>0</v>
      </c>
      <c r="Q824" s="2">
        <f t="shared" si="232"/>
        <v>3964.84</v>
      </c>
      <c r="R824" s="2">
        <f t="shared" si="232"/>
        <v>12431888</v>
      </c>
      <c r="S824" s="2">
        <f t="shared" si="232"/>
        <v>510384</v>
      </c>
      <c r="T824" s="2">
        <f t="shared" si="232"/>
        <v>0</v>
      </c>
      <c r="U824" s="2">
        <f t="shared" si="232"/>
        <v>800000</v>
      </c>
    </row>
    <row r="825" spans="1:22" ht="25.15" customHeight="1" x14ac:dyDescent="0.25">
      <c r="A825" s="37" t="s">
        <v>1693</v>
      </c>
      <c r="B825" s="8" t="s">
        <v>224</v>
      </c>
      <c r="C825" s="2">
        <f t="shared" ref="C825:C826" si="233">D825+L825+N825+P825+R825+S825+T825+U825</f>
        <v>6435410</v>
      </c>
      <c r="D825" s="3">
        <f t="shared" ref="D825:D826" si="234">SUM(E825:J825)</f>
        <v>1627610</v>
      </c>
      <c r="E825" s="3">
        <f>350*692.6</f>
        <v>242410</v>
      </c>
      <c r="F825" s="3">
        <f>1050*692.6</f>
        <v>727230</v>
      </c>
      <c r="G825" s="3">
        <f>300*692.6</f>
        <v>207780</v>
      </c>
      <c r="H825" s="3">
        <f>400*692.6</f>
        <v>277040</v>
      </c>
      <c r="I825" s="3">
        <f>250*692.6</f>
        <v>173150</v>
      </c>
      <c r="J825" s="3">
        <f t="shared" ref="J825:J830" si="235">350*0</f>
        <v>0</v>
      </c>
      <c r="K825" s="4">
        <v>0</v>
      </c>
      <c r="L825" s="3">
        <v>0</v>
      </c>
      <c r="M825" s="3">
        <v>525.6</v>
      </c>
      <c r="N825" s="3">
        <f>M825*5500</f>
        <v>2890800</v>
      </c>
      <c r="O825" s="3">
        <v>0</v>
      </c>
      <c r="P825" s="3">
        <v>0</v>
      </c>
      <c r="Q825" s="3">
        <v>639</v>
      </c>
      <c r="R825" s="3">
        <f t="shared" ref="R825:R826" si="236">Q825*3000</f>
        <v>1917000</v>
      </c>
      <c r="S825" s="3">
        <v>0</v>
      </c>
      <c r="T825" s="3">
        <v>0</v>
      </c>
      <c r="U825" s="3">
        <v>0</v>
      </c>
      <c r="V825" s="6">
        <f t="shared" ref="V825:V826" si="237">N825/M825</f>
        <v>5500</v>
      </c>
    </row>
    <row r="826" spans="1:22" ht="25.15" customHeight="1" x14ac:dyDescent="0.25">
      <c r="A826" s="37" t="s">
        <v>1694</v>
      </c>
      <c r="B826" s="8" t="s">
        <v>225</v>
      </c>
      <c r="C826" s="2">
        <f t="shared" si="233"/>
        <v>6423310</v>
      </c>
      <c r="D826" s="3">
        <f t="shared" si="234"/>
        <v>1627610</v>
      </c>
      <c r="E826" s="3">
        <f>350*692.6</f>
        <v>242410</v>
      </c>
      <c r="F826" s="3">
        <f>1050*692.6</f>
        <v>727230</v>
      </c>
      <c r="G826" s="3">
        <f>300*692.6</f>
        <v>207780</v>
      </c>
      <c r="H826" s="3">
        <f>400*692.6</f>
        <v>277040</v>
      </c>
      <c r="I826" s="3">
        <f>250*692.6</f>
        <v>173150</v>
      </c>
      <c r="J826" s="3">
        <f t="shared" si="235"/>
        <v>0</v>
      </c>
      <c r="K826" s="4">
        <v>0</v>
      </c>
      <c r="L826" s="3">
        <v>0</v>
      </c>
      <c r="M826" s="3">
        <v>523.4</v>
      </c>
      <c r="N826" s="3">
        <f>M826*5500</f>
        <v>2878700</v>
      </c>
      <c r="O826" s="3">
        <v>0</v>
      </c>
      <c r="P826" s="3">
        <v>0</v>
      </c>
      <c r="Q826" s="3">
        <v>639</v>
      </c>
      <c r="R826" s="3">
        <f t="shared" si="236"/>
        <v>1917000</v>
      </c>
      <c r="S826" s="3">
        <v>0</v>
      </c>
      <c r="T826" s="3">
        <v>0</v>
      </c>
      <c r="U826" s="3">
        <v>0</v>
      </c>
      <c r="V826" s="6">
        <f t="shared" si="237"/>
        <v>5500</v>
      </c>
    </row>
    <row r="827" spans="1:22" ht="25.15" customHeight="1" x14ac:dyDescent="0.25">
      <c r="A827" s="37" t="s">
        <v>1695</v>
      </c>
      <c r="B827" s="8" t="s">
        <v>230</v>
      </c>
      <c r="C827" s="2">
        <f t="shared" si="202"/>
        <v>5123660</v>
      </c>
      <c r="D827" s="3">
        <f>SUM(E827:J827)</f>
        <v>615680</v>
      </c>
      <c r="E827" s="3">
        <f>700*473.6</f>
        <v>331520</v>
      </c>
      <c r="F827" s="3">
        <v>0</v>
      </c>
      <c r="G827" s="3">
        <f>300*473.6</f>
        <v>142080</v>
      </c>
      <c r="H827" s="3">
        <v>0</v>
      </c>
      <c r="I827" s="3">
        <f>300*473.6</f>
        <v>142080</v>
      </c>
      <c r="J827" s="3">
        <f t="shared" si="235"/>
        <v>0</v>
      </c>
      <c r="K827" s="4">
        <v>0</v>
      </c>
      <c r="L827" s="3">
        <v>0</v>
      </c>
      <c r="M827" s="3">
        <v>379.8</v>
      </c>
      <c r="N827" s="3">
        <f t="shared" ref="N827:N832" si="238">M827*6600</f>
        <v>2506680</v>
      </c>
      <c r="O827" s="3">
        <v>0</v>
      </c>
      <c r="P827" s="3">
        <v>0</v>
      </c>
      <c r="Q827" s="3">
        <v>545.20000000000005</v>
      </c>
      <c r="R827" s="3">
        <f t="shared" ref="R827:R832" si="239">Q827*3200</f>
        <v>1744640.0000000002</v>
      </c>
      <c r="S827" s="3">
        <v>156660</v>
      </c>
      <c r="T827" s="3">
        <v>0</v>
      </c>
      <c r="U827" s="3">
        <v>100000</v>
      </c>
      <c r="V827" s="6">
        <f>N827/M827</f>
        <v>6600</v>
      </c>
    </row>
    <row r="828" spans="1:22" ht="25.15" customHeight="1" x14ac:dyDescent="0.25">
      <c r="A828" s="37" t="s">
        <v>1696</v>
      </c>
      <c r="B828" s="8" t="s">
        <v>233</v>
      </c>
      <c r="C828" s="2">
        <f>D828+L828+N828+P828+R828+S828+T828+U828</f>
        <v>3817110</v>
      </c>
      <c r="D828" s="3">
        <f>SUM(E828:J828)</f>
        <v>466050</v>
      </c>
      <c r="E828" s="3">
        <f>700*358.5</f>
        <v>250950</v>
      </c>
      <c r="F828" s="3">
        <v>0</v>
      </c>
      <c r="G828" s="3">
        <f>300*358.5</f>
        <v>107550</v>
      </c>
      <c r="H828" s="3">
        <v>0</v>
      </c>
      <c r="I828" s="3">
        <f>300*358.5</f>
        <v>107550</v>
      </c>
      <c r="J828" s="3">
        <f t="shared" si="235"/>
        <v>0</v>
      </c>
      <c r="K828" s="4">
        <v>0</v>
      </c>
      <c r="L828" s="3">
        <v>0</v>
      </c>
      <c r="M828" s="3">
        <v>257</v>
      </c>
      <c r="N828" s="3">
        <f t="shared" si="238"/>
        <v>1696200</v>
      </c>
      <c r="O828" s="3">
        <v>0</v>
      </c>
      <c r="P828" s="3">
        <v>0</v>
      </c>
      <c r="Q828" s="3">
        <v>447.7</v>
      </c>
      <c r="R828" s="3">
        <f t="shared" si="239"/>
        <v>1432640</v>
      </c>
      <c r="S828" s="3">
        <v>122220</v>
      </c>
      <c r="T828" s="3">
        <v>0</v>
      </c>
      <c r="U828" s="3">
        <v>100000</v>
      </c>
      <c r="V828" s="6">
        <f>N828/M828</f>
        <v>6600</v>
      </c>
    </row>
    <row r="829" spans="1:22" ht="25.15" customHeight="1" x14ac:dyDescent="0.25">
      <c r="A829" s="37" t="s">
        <v>1697</v>
      </c>
      <c r="B829" s="8" t="s">
        <v>231</v>
      </c>
      <c r="C829" s="2">
        <f t="shared" si="202"/>
        <v>3991306</v>
      </c>
      <c r="D829" s="3">
        <f>SUM(E829:J829)</f>
        <v>461240</v>
      </c>
      <c r="E829" s="3">
        <f>700*354.8</f>
        <v>248360</v>
      </c>
      <c r="F829" s="3">
        <v>0</v>
      </c>
      <c r="G829" s="3">
        <f>300*354.8</f>
        <v>106440</v>
      </c>
      <c r="H829" s="3">
        <v>0</v>
      </c>
      <c r="I829" s="3">
        <f>300*354.8</f>
        <v>106440</v>
      </c>
      <c r="J829" s="3">
        <f t="shared" si="235"/>
        <v>0</v>
      </c>
      <c r="K829" s="4">
        <v>0</v>
      </c>
      <c r="L829" s="3">
        <v>0</v>
      </c>
      <c r="M829" s="3">
        <v>255.83</v>
      </c>
      <c r="N829" s="3">
        <f t="shared" si="238"/>
        <v>1688478</v>
      </c>
      <c r="O829" s="3">
        <v>0</v>
      </c>
      <c r="P829" s="3">
        <v>0</v>
      </c>
      <c r="Q829" s="3">
        <v>443.5</v>
      </c>
      <c r="R829" s="3">
        <f t="shared" si="239"/>
        <v>1419200</v>
      </c>
      <c r="S829" s="3">
        <v>122388</v>
      </c>
      <c r="T829" s="3">
        <v>0</v>
      </c>
      <c r="U829" s="3">
        <v>300000</v>
      </c>
      <c r="V829" s="6">
        <f>N829/M829</f>
        <v>6600</v>
      </c>
    </row>
    <row r="830" spans="1:22" ht="25.15" customHeight="1" x14ac:dyDescent="0.25">
      <c r="A830" s="37" t="s">
        <v>1698</v>
      </c>
      <c r="B830" s="8" t="s">
        <v>232</v>
      </c>
      <c r="C830" s="2">
        <f t="shared" si="202"/>
        <v>4430840</v>
      </c>
      <c r="D830" s="3">
        <f t="shared" ref="D830:D831" si="240">SUM(E830:J830)</f>
        <v>476800</v>
      </c>
      <c r="E830" s="3">
        <f>700*476.8</f>
        <v>333760</v>
      </c>
      <c r="F830" s="3">
        <v>0</v>
      </c>
      <c r="G830" s="3">
        <f>300*476.8</f>
        <v>143040</v>
      </c>
      <c r="H830" s="3">
        <v>0</v>
      </c>
      <c r="I830" s="3">
        <v>0</v>
      </c>
      <c r="J830" s="3">
        <f t="shared" si="235"/>
        <v>0</v>
      </c>
      <c r="K830" s="4">
        <v>0</v>
      </c>
      <c r="L830" s="3">
        <v>0</v>
      </c>
      <c r="M830" s="3">
        <v>365.4</v>
      </c>
      <c r="N830" s="3">
        <f t="shared" si="238"/>
        <v>2411640</v>
      </c>
      <c r="O830" s="3">
        <v>0</v>
      </c>
      <c r="P830" s="3">
        <v>0</v>
      </c>
      <c r="Q830" s="3">
        <v>482</v>
      </c>
      <c r="R830" s="3">
        <f t="shared" si="239"/>
        <v>1542400</v>
      </c>
      <c r="S830" s="3">
        <v>0</v>
      </c>
      <c r="T830" s="3">
        <v>0</v>
      </c>
      <c r="U830" s="3">
        <v>0</v>
      </c>
      <c r="V830" s="6">
        <f t="shared" ref="V830:V831" si="241">N830/M830</f>
        <v>6600</v>
      </c>
    </row>
    <row r="831" spans="1:22" ht="25.15" customHeight="1" x14ac:dyDescent="0.25">
      <c r="A831" s="37" t="s">
        <v>1699</v>
      </c>
      <c r="B831" s="8" t="s">
        <v>235</v>
      </c>
      <c r="C831" s="2">
        <f t="shared" si="202"/>
        <v>3527320</v>
      </c>
      <c r="D831" s="3">
        <f t="shared" si="240"/>
        <v>234360</v>
      </c>
      <c r="E831" s="3">
        <f>700*334.8</f>
        <v>234360</v>
      </c>
      <c r="F831" s="3">
        <f>800*0</f>
        <v>0</v>
      </c>
      <c r="G831" s="3">
        <v>0</v>
      </c>
      <c r="H831" s="3">
        <f>400*0</f>
        <v>0</v>
      </c>
      <c r="I831" s="3">
        <v>0</v>
      </c>
      <c r="J831" s="3">
        <v>0</v>
      </c>
      <c r="K831" s="4">
        <v>0</v>
      </c>
      <c r="L831" s="3">
        <v>0</v>
      </c>
      <c r="M831" s="3">
        <v>301.60000000000002</v>
      </c>
      <c r="N831" s="3">
        <f t="shared" si="238"/>
        <v>1990560.0000000002</v>
      </c>
      <c r="O831" s="3">
        <v>0</v>
      </c>
      <c r="P831" s="3">
        <v>0</v>
      </c>
      <c r="Q831" s="3">
        <v>407</v>
      </c>
      <c r="R831" s="3">
        <f t="shared" si="239"/>
        <v>1302400</v>
      </c>
      <c r="S831" s="3">
        <v>0</v>
      </c>
      <c r="T831" s="3">
        <v>0</v>
      </c>
      <c r="U831" s="3">
        <v>0</v>
      </c>
      <c r="V831" s="6">
        <f t="shared" si="241"/>
        <v>6600</v>
      </c>
    </row>
    <row r="832" spans="1:22" ht="24.6" customHeight="1" x14ac:dyDescent="0.25">
      <c r="A832" s="37" t="s">
        <v>1700</v>
      </c>
      <c r="B832" s="8" t="s">
        <v>234</v>
      </c>
      <c r="C832" s="2">
        <f t="shared" si="202"/>
        <v>3538176</v>
      </c>
      <c r="D832" s="3">
        <f>SUM(E832:J832)</f>
        <v>200550</v>
      </c>
      <c r="E832" s="3">
        <f>700*286.5</f>
        <v>200550</v>
      </c>
      <c r="F832" s="3">
        <v>0</v>
      </c>
      <c r="G832" s="3">
        <v>0</v>
      </c>
      <c r="H832" s="3">
        <v>0</v>
      </c>
      <c r="I832" s="3">
        <v>0</v>
      </c>
      <c r="J832" s="3">
        <f>350*0</f>
        <v>0</v>
      </c>
      <c r="K832" s="4">
        <v>0</v>
      </c>
      <c r="L832" s="3">
        <v>0</v>
      </c>
      <c r="M832" s="3">
        <v>268.47000000000003</v>
      </c>
      <c r="N832" s="3">
        <f t="shared" si="238"/>
        <v>1771902.0000000002</v>
      </c>
      <c r="O832" s="3">
        <v>0</v>
      </c>
      <c r="P832" s="3">
        <v>0</v>
      </c>
      <c r="Q832" s="3">
        <v>361.44</v>
      </c>
      <c r="R832" s="3">
        <f t="shared" si="239"/>
        <v>1156608</v>
      </c>
      <c r="S832" s="3">
        <v>109116</v>
      </c>
      <c r="T832" s="3">
        <v>0</v>
      </c>
      <c r="U832" s="3">
        <v>300000</v>
      </c>
      <c r="V832" s="6">
        <f>N832/M832</f>
        <v>6600</v>
      </c>
    </row>
    <row r="833" spans="1:22" ht="45" customHeight="1" x14ac:dyDescent="0.25">
      <c r="A833" s="54" t="s">
        <v>240</v>
      </c>
      <c r="B833" s="54"/>
      <c r="C833" s="2">
        <f>SUM(C834:C836)</f>
        <v>11668090</v>
      </c>
      <c r="D833" s="2">
        <f t="shared" ref="D833:U833" si="242">SUM(D834:D836)</f>
        <v>1868310</v>
      </c>
      <c r="E833" s="2">
        <f t="shared" si="242"/>
        <v>622965</v>
      </c>
      <c r="F833" s="2">
        <f t="shared" si="242"/>
        <v>432900</v>
      </c>
      <c r="G833" s="2">
        <f t="shared" si="242"/>
        <v>434070</v>
      </c>
      <c r="H833" s="2">
        <f t="shared" si="242"/>
        <v>0</v>
      </c>
      <c r="I833" s="2">
        <f t="shared" si="242"/>
        <v>378375</v>
      </c>
      <c r="J833" s="2">
        <f t="shared" si="242"/>
        <v>0</v>
      </c>
      <c r="K833" s="14">
        <f t="shared" si="242"/>
        <v>0</v>
      </c>
      <c r="L833" s="2">
        <f t="shared" si="242"/>
        <v>0</v>
      </c>
      <c r="M833" s="2">
        <f t="shared" si="242"/>
        <v>772</v>
      </c>
      <c r="N833" s="2">
        <f t="shared" si="242"/>
        <v>5095200</v>
      </c>
      <c r="O833" s="2">
        <f t="shared" si="242"/>
        <v>0</v>
      </c>
      <c r="P833" s="2">
        <f t="shared" si="242"/>
        <v>0</v>
      </c>
      <c r="Q833" s="2">
        <f t="shared" si="242"/>
        <v>1418.9</v>
      </c>
      <c r="R833" s="2">
        <f t="shared" si="242"/>
        <v>4343300</v>
      </c>
      <c r="S833" s="2">
        <f t="shared" si="242"/>
        <v>161280</v>
      </c>
      <c r="T833" s="2">
        <f t="shared" si="242"/>
        <v>0</v>
      </c>
      <c r="U833" s="2">
        <f t="shared" si="242"/>
        <v>200000</v>
      </c>
      <c r="V833" s="18">
        <f>C833</f>
        <v>11668090</v>
      </c>
    </row>
    <row r="834" spans="1:22" ht="24.6" customHeight="1" x14ac:dyDescent="0.25">
      <c r="A834" s="37" t="s">
        <v>1701</v>
      </c>
      <c r="B834" s="8" t="s">
        <v>238</v>
      </c>
      <c r="C834" s="2">
        <f>D834+L834+N834+P834+R834+S834+T834+U834</f>
        <v>4060210</v>
      </c>
      <c r="D834" s="3">
        <f>SUM(E834:J834)</f>
        <v>1002510</v>
      </c>
      <c r="E834" s="3">
        <f>350*1113.9</f>
        <v>389865.00000000006</v>
      </c>
      <c r="F834" s="3">
        <v>0</v>
      </c>
      <c r="G834" s="3">
        <f>300*1113.9</f>
        <v>334170</v>
      </c>
      <c r="H834" s="3">
        <v>0</v>
      </c>
      <c r="I834" s="3">
        <f>250*1113.9</f>
        <v>278475</v>
      </c>
      <c r="J834" s="3">
        <f>350*0</f>
        <v>0</v>
      </c>
      <c r="K834" s="4">
        <v>0</v>
      </c>
      <c r="L834" s="3">
        <v>0</v>
      </c>
      <c r="M834" s="3">
        <v>0</v>
      </c>
      <c r="N834" s="3">
        <f>M834*5500</f>
        <v>0</v>
      </c>
      <c r="O834" s="3">
        <v>0</v>
      </c>
      <c r="P834" s="3">
        <v>0</v>
      </c>
      <c r="Q834" s="3">
        <v>985.9</v>
      </c>
      <c r="R834" s="3">
        <f>Q834*3000</f>
        <v>2957700</v>
      </c>
      <c r="S834" s="3">
        <v>0</v>
      </c>
      <c r="T834" s="3">
        <v>0</v>
      </c>
      <c r="U834" s="3">
        <v>100000</v>
      </c>
      <c r="V834" s="6" t="e">
        <f>N834/M834</f>
        <v>#DIV/0!</v>
      </c>
    </row>
    <row r="835" spans="1:22" ht="25.15" customHeight="1" x14ac:dyDescent="0.25">
      <c r="A835" s="37" t="s">
        <v>1702</v>
      </c>
      <c r="B835" s="8" t="s">
        <v>1200</v>
      </c>
      <c r="C835" s="2">
        <f>D835+L835+N835+P835+R835+S835+T835+U835</f>
        <v>3300000</v>
      </c>
      <c r="D835" s="3">
        <f>SUM(E835:J835)</f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f>350*0</f>
        <v>0</v>
      </c>
      <c r="K835" s="4">
        <v>0</v>
      </c>
      <c r="L835" s="3">
        <v>0</v>
      </c>
      <c r="M835" s="3">
        <v>500</v>
      </c>
      <c r="N835" s="3">
        <f>M835*6600</f>
        <v>3300000</v>
      </c>
      <c r="O835" s="3">
        <v>0</v>
      </c>
      <c r="P835" s="3">
        <v>0</v>
      </c>
      <c r="Q835" s="3">
        <v>0</v>
      </c>
      <c r="R835" s="3">
        <f>Q835*3200</f>
        <v>0</v>
      </c>
      <c r="S835" s="3">
        <v>0</v>
      </c>
      <c r="T835" s="3">
        <v>0</v>
      </c>
      <c r="U835" s="3">
        <v>0</v>
      </c>
      <c r="V835" s="6">
        <f>N835/M835</f>
        <v>6600</v>
      </c>
    </row>
    <row r="836" spans="1:22" ht="25.15" customHeight="1" x14ac:dyDescent="0.25">
      <c r="A836" s="37" t="s">
        <v>1703</v>
      </c>
      <c r="B836" s="8" t="s">
        <v>239</v>
      </c>
      <c r="C836" s="2">
        <f t="shared" si="202"/>
        <v>4307880</v>
      </c>
      <c r="D836" s="3">
        <f>SUM(E836:J836)</f>
        <v>865800</v>
      </c>
      <c r="E836" s="3">
        <f>700*333</f>
        <v>233100</v>
      </c>
      <c r="F836" s="3">
        <f>1300*333</f>
        <v>432900</v>
      </c>
      <c r="G836" s="3">
        <f>300*333</f>
        <v>99900</v>
      </c>
      <c r="H836" s="3">
        <v>0</v>
      </c>
      <c r="I836" s="3">
        <f>300*333</f>
        <v>99900</v>
      </c>
      <c r="J836" s="3">
        <f>350*0</f>
        <v>0</v>
      </c>
      <c r="K836" s="4">
        <v>0</v>
      </c>
      <c r="L836" s="3">
        <v>0</v>
      </c>
      <c r="M836" s="3">
        <v>272</v>
      </c>
      <c r="N836" s="3">
        <f>M836*6600</f>
        <v>1795200</v>
      </c>
      <c r="O836" s="3">
        <v>0</v>
      </c>
      <c r="P836" s="3">
        <v>0</v>
      </c>
      <c r="Q836" s="3">
        <v>433</v>
      </c>
      <c r="R836" s="3">
        <f>Q836*3200</f>
        <v>1385600</v>
      </c>
      <c r="S836" s="3">
        <v>161280</v>
      </c>
      <c r="T836" s="3">
        <v>0</v>
      </c>
      <c r="U836" s="3">
        <v>100000</v>
      </c>
      <c r="V836" s="6">
        <f>N836/M836</f>
        <v>6600</v>
      </c>
    </row>
    <row r="837" spans="1:22" ht="45" customHeight="1" x14ac:dyDescent="0.25">
      <c r="A837" s="54" t="s">
        <v>265</v>
      </c>
      <c r="B837" s="54"/>
      <c r="C837" s="2">
        <f>SUM(C838:C854)</f>
        <v>147943663.10999998</v>
      </c>
      <c r="D837" s="2">
        <f t="shared" ref="D837:U837" si="243">SUM(D838:D854)</f>
        <v>42426992</v>
      </c>
      <c r="E837" s="2">
        <f t="shared" si="243"/>
        <v>10752504</v>
      </c>
      <c r="F837" s="2">
        <f t="shared" si="243"/>
        <v>21972546</v>
      </c>
      <c r="G837" s="2">
        <f t="shared" si="243"/>
        <v>4898676</v>
      </c>
      <c r="H837" s="2">
        <f t="shared" si="243"/>
        <v>0</v>
      </c>
      <c r="I837" s="2">
        <f t="shared" si="243"/>
        <v>4803266</v>
      </c>
      <c r="J837" s="2">
        <f t="shared" si="243"/>
        <v>0</v>
      </c>
      <c r="K837" s="14">
        <f t="shared" si="243"/>
        <v>0</v>
      </c>
      <c r="L837" s="2">
        <f t="shared" si="243"/>
        <v>0</v>
      </c>
      <c r="M837" s="2">
        <f t="shared" si="243"/>
        <v>8937.1999999999989</v>
      </c>
      <c r="N837" s="2">
        <f t="shared" si="243"/>
        <v>50105390</v>
      </c>
      <c r="O837" s="2">
        <f t="shared" si="243"/>
        <v>1929.8500000000001</v>
      </c>
      <c r="P837" s="2">
        <f t="shared" si="243"/>
        <v>2315820</v>
      </c>
      <c r="Q837" s="2">
        <f t="shared" si="243"/>
        <v>16183.900000000001</v>
      </c>
      <c r="R837" s="2">
        <f t="shared" si="243"/>
        <v>51047680</v>
      </c>
      <c r="S837" s="2">
        <f t="shared" si="243"/>
        <v>500000</v>
      </c>
      <c r="T837" s="2">
        <f t="shared" si="243"/>
        <v>0</v>
      </c>
      <c r="U837" s="2">
        <f t="shared" si="243"/>
        <v>1547781.1099999999</v>
      </c>
    </row>
    <row r="838" spans="1:22" ht="25.15" customHeight="1" x14ac:dyDescent="0.25">
      <c r="A838" s="37" t="s">
        <v>1704</v>
      </c>
      <c r="B838" s="8" t="s">
        <v>932</v>
      </c>
      <c r="C838" s="2">
        <f t="shared" si="202"/>
        <v>5382000</v>
      </c>
      <c r="D838" s="3">
        <f t="shared" ref="D838:D854" si="244">SUM(E838:J838)</f>
        <v>5382000</v>
      </c>
      <c r="E838" s="3">
        <f>700*2070</f>
        <v>1449000</v>
      </c>
      <c r="F838" s="3">
        <f>1300*2070</f>
        <v>2691000</v>
      </c>
      <c r="G838" s="3">
        <f>300*2070</f>
        <v>621000</v>
      </c>
      <c r="H838" s="3">
        <v>0</v>
      </c>
      <c r="I838" s="3">
        <f>300*2070</f>
        <v>621000</v>
      </c>
      <c r="J838" s="3">
        <v>0</v>
      </c>
      <c r="K838" s="11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3">
        <f t="shared" ref="R838:R854" si="245">Q838*3200</f>
        <v>0</v>
      </c>
      <c r="S838" s="5">
        <v>0</v>
      </c>
      <c r="T838" s="5">
        <v>0</v>
      </c>
      <c r="U838" s="5">
        <v>0</v>
      </c>
      <c r="V838" s="6" t="e">
        <f t="shared" ref="V838:V854" si="246">N838/M838</f>
        <v>#DIV/0!</v>
      </c>
    </row>
    <row r="839" spans="1:22" ht="25.15" customHeight="1" x14ac:dyDescent="0.25">
      <c r="A839" s="37" t="s">
        <v>1705</v>
      </c>
      <c r="B839" s="8" t="s">
        <v>919</v>
      </c>
      <c r="C839" s="2">
        <f t="shared" si="202"/>
        <v>3280200</v>
      </c>
      <c r="D839" s="3">
        <f t="shared" si="244"/>
        <v>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11">
        <v>0</v>
      </c>
      <c r="L839" s="5">
        <v>0</v>
      </c>
      <c r="M839" s="5">
        <v>497</v>
      </c>
      <c r="N839" s="5">
        <f>M839*6600</f>
        <v>3280200</v>
      </c>
      <c r="O839" s="5">
        <v>0</v>
      </c>
      <c r="P839" s="5">
        <v>0</v>
      </c>
      <c r="Q839" s="5">
        <v>0</v>
      </c>
      <c r="R839" s="3">
        <f t="shared" si="245"/>
        <v>0</v>
      </c>
      <c r="S839" s="5">
        <v>0</v>
      </c>
      <c r="T839" s="5">
        <v>0</v>
      </c>
      <c r="U839" s="5">
        <v>0</v>
      </c>
      <c r="V839" s="6">
        <f t="shared" si="246"/>
        <v>6600</v>
      </c>
    </row>
    <row r="840" spans="1:22" ht="25.15" customHeight="1" x14ac:dyDescent="0.25">
      <c r="A840" s="37" t="s">
        <v>1706</v>
      </c>
      <c r="B840" s="22" t="s">
        <v>245</v>
      </c>
      <c r="C840" s="2">
        <f t="shared" si="202"/>
        <v>17698500</v>
      </c>
      <c r="D840" s="3">
        <f t="shared" si="244"/>
        <v>9053200</v>
      </c>
      <c r="E840" s="3">
        <f>700*3482</f>
        <v>2437400</v>
      </c>
      <c r="F840" s="3">
        <f>1300*3482</f>
        <v>4526600</v>
      </c>
      <c r="G840" s="3">
        <f>300*3482</f>
        <v>1044600</v>
      </c>
      <c r="H840" s="3">
        <v>0</v>
      </c>
      <c r="I840" s="3">
        <f>300*3482</f>
        <v>1044600</v>
      </c>
      <c r="J840" s="3">
        <f>350*0</f>
        <v>0</v>
      </c>
      <c r="K840" s="4">
        <v>0</v>
      </c>
      <c r="L840" s="3">
        <v>0</v>
      </c>
      <c r="M840" s="3">
        <v>0</v>
      </c>
      <c r="N840" s="3">
        <v>0</v>
      </c>
      <c r="O840" s="3">
        <v>817.75</v>
      </c>
      <c r="P840" s="3">
        <f>O840*1200</f>
        <v>981300</v>
      </c>
      <c r="Q840" s="3">
        <v>2395</v>
      </c>
      <c r="R840" s="3">
        <f>Q840*3200</f>
        <v>7664000</v>
      </c>
      <c r="S840" s="3">
        <v>0</v>
      </c>
      <c r="T840" s="3">
        <v>0</v>
      </c>
      <c r="U840" s="3">
        <v>0</v>
      </c>
      <c r="V840" s="6" t="e">
        <f t="shared" si="246"/>
        <v>#DIV/0!</v>
      </c>
    </row>
    <row r="841" spans="1:22" ht="25.15" customHeight="1" x14ac:dyDescent="0.25">
      <c r="A841" s="37" t="s">
        <v>1707</v>
      </c>
      <c r="B841" s="22" t="s">
        <v>246</v>
      </c>
      <c r="C841" s="2">
        <f t="shared" si="202"/>
        <v>9530400</v>
      </c>
      <c r="D841" s="3">
        <f>SUM(E841:J841)</f>
        <v>1880000</v>
      </c>
      <c r="E841" s="3">
        <f>700*940</f>
        <v>658000</v>
      </c>
      <c r="F841" s="3">
        <f>1300*940</f>
        <v>1222000</v>
      </c>
      <c r="G841" s="3">
        <v>0</v>
      </c>
      <c r="H841" s="3">
        <f t="shared" si="119"/>
        <v>0</v>
      </c>
      <c r="I841" s="3">
        <v>0</v>
      </c>
      <c r="J841" s="3">
        <f t="shared" si="120"/>
        <v>0</v>
      </c>
      <c r="K841" s="4">
        <v>0</v>
      </c>
      <c r="L841" s="3">
        <v>0</v>
      </c>
      <c r="M841" s="3">
        <v>690</v>
      </c>
      <c r="N841" s="3">
        <f>M841*6600</f>
        <v>4554000</v>
      </c>
      <c r="O841" s="3">
        <v>0</v>
      </c>
      <c r="P841" s="3">
        <v>0</v>
      </c>
      <c r="Q841" s="3">
        <v>827</v>
      </c>
      <c r="R841" s="3">
        <f>Q841*3200</f>
        <v>2646400</v>
      </c>
      <c r="S841" s="3">
        <v>250000</v>
      </c>
      <c r="T841" s="3">
        <v>0</v>
      </c>
      <c r="U841" s="3">
        <v>200000</v>
      </c>
      <c r="V841" s="6">
        <f>N841/M841</f>
        <v>6600</v>
      </c>
    </row>
    <row r="842" spans="1:22" ht="24.6" customHeight="1" x14ac:dyDescent="0.25">
      <c r="A842" s="37" t="s">
        <v>1708</v>
      </c>
      <c r="B842" s="22" t="s">
        <v>244</v>
      </c>
      <c r="C842" s="2">
        <f>D842+L842+N842+P842+R842+S842+T842+U842</f>
        <v>7823640</v>
      </c>
      <c r="D842" s="3">
        <f t="shared" ref="D842" si="247">SUM(E842:J842)</f>
        <v>1968200</v>
      </c>
      <c r="E842" s="3">
        <f>700*757</f>
        <v>529900</v>
      </c>
      <c r="F842" s="3">
        <f>1300*757</f>
        <v>984100</v>
      </c>
      <c r="G842" s="3">
        <f>300*757</f>
        <v>227100</v>
      </c>
      <c r="H842" s="3">
        <f t="shared" si="119"/>
        <v>0</v>
      </c>
      <c r="I842" s="3">
        <f>300*757</f>
        <v>227100</v>
      </c>
      <c r="J842" s="3">
        <f t="shared" si="120"/>
        <v>0</v>
      </c>
      <c r="K842" s="4">
        <v>0</v>
      </c>
      <c r="L842" s="3">
        <v>0</v>
      </c>
      <c r="M842" s="3">
        <v>544.4</v>
      </c>
      <c r="N842" s="3">
        <f>M842*6600</f>
        <v>3593040</v>
      </c>
      <c r="O842" s="3">
        <v>0</v>
      </c>
      <c r="P842" s="3">
        <v>0</v>
      </c>
      <c r="Q842" s="3">
        <v>707</v>
      </c>
      <c r="R842" s="3">
        <f>Q842*3200</f>
        <v>2262400</v>
      </c>
      <c r="S842" s="3">
        <v>0</v>
      </c>
      <c r="T842" s="3">
        <v>0</v>
      </c>
      <c r="U842" s="3">
        <v>0</v>
      </c>
      <c r="V842" s="6">
        <f t="shared" si="246"/>
        <v>6600</v>
      </c>
    </row>
    <row r="843" spans="1:22" ht="25.15" customHeight="1" x14ac:dyDescent="0.25">
      <c r="A843" s="37" t="s">
        <v>1709</v>
      </c>
      <c r="B843" s="22" t="s">
        <v>251</v>
      </c>
      <c r="C843" s="2">
        <f t="shared" ref="C843" si="248">D843+L843+N843+P843+R843+S843+T843+U843</f>
        <v>7355120</v>
      </c>
      <c r="D843" s="3">
        <f t="shared" ref="D843" si="249">SUM(E843:J843)</f>
        <v>3053120</v>
      </c>
      <c r="E843" s="3">
        <v>0</v>
      </c>
      <c r="F843" s="3">
        <f>1050*1908.2</f>
        <v>2003610</v>
      </c>
      <c r="G843" s="3">
        <f>300*1908.2</f>
        <v>572460</v>
      </c>
      <c r="H843" s="3">
        <f t="shared" si="119"/>
        <v>0</v>
      </c>
      <c r="I843" s="3">
        <f>250*1908.2</f>
        <v>477050</v>
      </c>
      <c r="J843" s="3">
        <f t="shared" si="120"/>
        <v>0</v>
      </c>
      <c r="K843" s="4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1434</v>
      </c>
      <c r="R843" s="3">
        <f t="shared" ref="R843" si="250">Q843*3000</f>
        <v>4302000</v>
      </c>
      <c r="S843" s="3">
        <v>0</v>
      </c>
      <c r="T843" s="3">
        <v>0</v>
      </c>
      <c r="U843" s="3">
        <v>0</v>
      </c>
      <c r="V843" s="6" t="e">
        <f t="shared" si="246"/>
        <v>#DIV/0!</v>
      </c>
    </row>
    <row r="844" spans="1:22" ht="25.15" customHeight="1" x14ac:dyDescent="0.25">
      <c r="A844" s="37" t="s">
        <v>1710</v>
      </c>
      <c r="B844" s="22" t="s">
        <v>253</v>
      </c>
      <c r="C844" s="2">
        <f t="shared" si="202"/>
        <v>8400145.7400000002</v>
      </c>
      <c r="D844" s="3">
        <f t="shared" si="244"/>
        <v>1985958</v>
      </c>
      <c r="E844" s="3">
        <f>700*763.83</f>
        <v>534681</v>
      </c>
      <c r="F844" s="3">
        <f>1300*763.83</f>
        <v>992979</v>
      </c>
      <c r="G844" s="3">
        <f>300*763.83</f>
        <v>229149</v>
      </c>
      <c r="H844" s="3">
        <v>0</v>
      </c>
      <c r="I844" s="3">
        <f>300*763.83</f>
        <v>229149</v>
      </c>
      <c r="J844" s="3">
        <f>350*0</f>
        <v>0</v>
      </c>
      <c r="K844" s="4">
        <v>0</v>
      </c>
      <c r="L844" s="3">
        <v>0</v>
      </c>
      <c r="M844" s="3">
        <v>620</v>
      </c>
      <c r="N844" s="3">
        <f>M844*6600</f>
        <v>4092000</v>
      </c>
      <c r="O844" s="3">
        <v>42.7</v>
      </c>
      <c r="P844" s="3">
        <f>O844*1200</f>
        <v>51240</v>
      </c>
      <c r="Q844" s="3">
        <v>672</v>
      </c>
      <c r="R844" s="3">
        <f t="shared" si="245"/>
        <v>2150400</v>
      </c>
      <c r="S844" s="3">
        <v>0</v>
      </c>
      <c r="T844" s="3">
        <v>0</v>
      </c>
      <c r="U844" s="3">
        <v>120547.74</v>
      </c>
      <c r="V844" s="6">
        <f t="shared" si="246"/>
        <v>6600</v>
      </c>
    </row>
    <row r="845" spans="1:22" ht="25.15" customHeight="1" x14ac:dyDescent="0.25">
      <c r="A845" s="37" t="s">
        <v>1711</v>
      </c>
      <c r="B845" s="22" t="s">
        <v>257</v>
      </c>
      <c r="C845" s="2">
        <f t="shared" si="202"/>
        <v>14600400</v>
      </c>
      <c r="D845" s="3">
        <f t="shared" ref="D845" si="251">SUM(E845:J845)</f>
        <v>0</v>
      </c>
      <c r="E845" s="3">
        <v>0</v>
      </c>
      <c r="F845" s="3">
        <v>0</v>
      </c>
      <c r="G845" s="3">
        <v>0</v>
      </c>
      <c r="H845" s="3">
        <f t="shared" ref="H845:H846" si="252">400*0</f>
        <v>0</v>
      </c>
      <c r="I845" s="3">
        <v>0</v>
      </c>
      <c r="J845" s="3">
        <f t="shared" ref="J845:J846" si="253">350*0</f>
        <v>0</v>
      </c>
      <c r="K845" s="4">
        <v>0</v>
      </c>
      <c r="L845" s="3">
        <v>0</v>
      </c>
      <c r="M845" s="3">
        <v>1212</v>
      </c>
      <c r="N845" s="3">
        <f>M845*5500</f>
        <v>6666000</v>
      </c>
      <c r="O845" s="3">
        <v>937</v>
      </c>
      <c r="P845" s="3">
        <f>O845*1200</f>
        <v>1124400</v>
      </c>
      <c r="Q845" s="3">
        <v>2270</v>
      </c>
      <c r="R845" s="3">
        <f t="shared" ref="R845" si="254">Q845*3000</f>
        <v>6810000</v>
      </c>
      <c r="S845" s="3">
        <v>0</v>
      </c>
      <c r="T845" s="3">
        <v>0</v>
      </c>
      <c r="U845" s="3">
        <v>0</v>
      </c>
      <c r="V845" s="6">
        <f t="shared" si="246"/>
        <v>5500</v>
      </c>
    </row>
    <row r="846" spans="1:22" ht="25.15" customHeight="1" x14ac:dyDescent="0.25">
      <c r="A846" s="37" t="s">
        <v>1712</v>
      </c>
      <c r="B846" s="22" t="s">
        <v>255</v>
      </c>
      <c r="C846" s="2">
        <f t="shared" si="202"/>
        <v>5863040</v>
      </c>
      <c r="D846" s="3">
        <f t="shared" ref="D846" si="255">SUM(E846:J846)</f>
        <v>0</v>
      </c>
      <c r="E846" s="3">
        <v>0</v>
      </c>
      <c r="F846" s="3">
        <v>0</v>
      </c>
      <c r="G846" s="3">
        <v>0</v>
      </c>
      <c r="H846" s="3">
        <f t="shared" si="252"/>
        <v>0</v>
      </c>
      <c r="I846" s="3">
        <v>0</v>
      </c>
      <c r="J846" s="3">
        <f t="shared" si="253"/>
        <v>0</v>
      </c>
      <c r="K846" s="4">
        <v>0</v>
      </c>
      <c r="L846" s="3">
        <v>0</v>
      </c>
      <c r="M846" s="3">
        <v>0</v>
      </c>
      <c r="N846" s="3">
        <f>M846*5500</f>
        <v>0</v>
      </c>
      <c r="O846" s="3">
        <v>0</v>
      </c>
      <c r="P846" s="3">
        <v>0</v>
      </c>
      <c r="Q846" s="3">
        <v>1832.2</v>
      </c>
      <c r="R846" s="3">
        <f>Q846*3200</f>
        <v>5863040</v>
      </c>
      <c r="S846" s="3">
        <v>0</v>
      </c>
      <c r="T846" s="3">
        <v>0</v>
      </c>
      <c r="U846" s="3">
        <v>0</v>
      </c>
      <c r="V846" s="6" t="e">
        <f t="shared" si="246"/>
        <v>#DIV/0!</v>
      </c>
    </row>
    <row r="847" spans="1:22" ht="25.15" customHeight="1" x14ac:dyDescent="0.25">
      <c r="A847" s="37" t="s">
        <v>1713</v>
      </c>
      <c r="B847" s="22" t="s">
        <v>258</v>
      </c>
      <c r="C847" s="2">
        <f t="shared" si="202"/>
        <v>4316400</v>
      </c>
      <c r="D847" s="3">
        <f t="shared" si="244"/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4">
        <v>0</v>
      </c>
      <c r="L847" s="3">
        <v>0</v>
      </c>
      <c r="M847" s="3">
        <v>654</v>
      </c>
      <c r="N847" s="3">
        <f>M847*6600</f>
        <v>4316400</v>
      </c>
      <c r="O847" s="3">
        <v>0</v>
      </c>
      <c r="P847" s="3">
        <v>0</v>
      </c>
      <c r="Q847" s="3">
        <v>0</v>
      </c>
      <c r="R847" s="3">
        <f t="shared" si="245"/>
        <v>0</v>
      </c>
      <c r="S847" s="3">
        <v>0</v>
      </c>
      <c r="T847" s="3">
        <v>0</v>
      </c>
      <c r="U847" s="3">
        <v>0</v>
      </c>
      <c r="V847" s="6">
        <f t="shared" si="246"/>
        <v>6600</v>
      </c>
    </row>
    <row r="848" spans="1:22" ht="25.15" customHeight="1" x14ac:dyDescent="0.25">
      <c r="A848" s="37" t="s">
        <v>1714</v>
      </c>
      <c r="B848" s="22" t="s">
        <v>1201</v>
      </c>
      <c r="C848" s="2">
        <f>D848+L848+N848+P848+R848+S848+T848+U848</f>
        <v>4752600</v>
      </c>
      <c r="D848" s="3">
        <f>SUM(E848:J848)</f>
        <v>0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4">
        <v>0</v>
      </c>
      <c r="L848" s="3">
        <v>0</v>
      </c>
      <c r="M848" s="3">
        <v>1068</v>
      </c>
      <c r="N848" s="3">
        <f>M848*4450</f>
        <v>4752600</v>
      </c>
      <c r="O848" s="3">
        <v>0</v>
      </c>
      <c r="P848" s="3">
        <v>0</v>
      </c>
      <c r="Q848" s="3">
        <v>0</v>
      </c>
      <c r="R848" s="3">
        <f t="shared" si="245"/>
        <v>0</v>
      </c>
      <c r="S848" s="3">
        <v>0</v>
      </c>
      <c r="T848" s="3">
        <v>0</v>
      </c>
      <c r="U848" s="3">
        <v>0</v>
      </c>
    </row>
    <row r="849" spans="1:22" ht="25.15" customHeight="1" x14ac:dyDescent="0.25">
      <c r="A849" s="37" t="s">
        <v>1715</v>
      </c>
      <c r="B849" s="22" t="s">
        <v>259</v>
      </c>
      <c r="C849" s="2">
        <f t="shared" si="202"/>
        <v>13985166.27</v>
      </c>
      <c r="D849" s="3">
        <f>SUM(E849:J849)</f>
        <v>4713800</v>
      </c>
      <c r="E849" s="3">
        <f>700*1813</f>
        <v>1269100</v>
      </c>
      <c r="F849" s="3">
        <f>1300*1813</f>
        <v>2356900</v>
      </c>
      <c r="G849" s="3">
        <f>300*1813</f>
        <v>543900</v>
      </c>
      <c r="H849" s="3">
        <v>0</v>
      </c>
      <c r="I849" s="3">
        <f>300*1813</f>
        <v>543900</v>
      </c>
      <c r="J849" s="3">
        <f t="shared" ref="J849:J854" si="256">350*0</f>
        <v>0</v>
      </c>
      <c r="K849" s="4">
        <v>0</v>
      </c>
      <c r="L849" s="3">
        <v>0</v>
      </c>
      <c r="M849" s="3">
        <v>866.2</v>
      </c>
      <c r="N849" s="3">
        <f>M849*4450</f>
        <v>3854590</v>
      </c>
      <c r="O849" s="3">
        <v>26.3</v>
      </c>
      <c r="P849" s="3">
        <f>O849*1200</f>
        <v>31560</v>
      </c>
      <c r="Q849" s="3">
        <v>1442.1</v>
      </c>
      <c r="R849" s="3">
        <f t="shared" si="245"/>
        <v>4614720</v>
      </c>
      <c r="S849" s="3">
        <v>250000</v>
      </c>
      <c r="T849" s="3">
        <v>0</v>
      </c>
      <c r="U849" s="3">
        <v>520496.27</v>
      </c>
      <c r="V849" s="6">
        <f t="shared" si="246"/>
        <v>4450</v>
      </c>
    </row>
    <row r="850" spans="1:22" ht="25.15" customHeight="1" x14ac:dyDescent="0.25">
      <c r="A850" s="37" t="s">
        <v>1716</v>
      </c>
      <c r="B850" s="22" t="s">
        <v>260</v>
      </c>
      <c r="C850" s="2">
        <f t="shared" si="202"/>
        <v>12882599.1</v>
      </c>
      <c r="D850" s="3">
        <f t="shared" si="244"/>
        <v>4761900</v>
      </c>
      <c r="E850" s="3">
        <f>700*1831.5</f>
        <v>1282050</v>
      </c>
      <c r="F850" s="3">
        <f>1300*1831.5</f>
        <v>2380950</v>
      </c>
      <c r="G850" s="3">
        <f>300*1831.5</f>
        <v>549450</v>
      </c>
      <c r="H850" s="3">
        <v>0</v>
      </c>
      <c r="I850" s="3">
        <f>300*1831.5</f>
        <v>549450</v>
      </c>
      <c r="J850" s="3">
        <f t="shared" si="256"/>
        <v>0</v>
      </c>
      <c r="K850" s="4">
        <v>0</v>
      </c>
      <c r="L850" s="3">
        <v>0</v>
      </c>
      <c r="M850" s="3">
        <v>786</v>
      </c>
      <c r="N850" s="3">
        <f>M850*4450</f>
        <v>3497700</v>
      </c>
      <c r="O850" s="3">
        <v>52.7</v>
      </c>
      <c r="P850" s="3">
        <f>O850*1200</f>
        <v>63240</v>
      </c>
      <c r="Q850" s="3">
        <v>1368</v>
      </c>
      <c r="R850" s="3">
        <f t="shared" si="245"/>
        <v>4377600</v>
      </c>
      <c r="S850" s="3">
        <v>0</v>
      </c>
      <c r="T850" s="3">
        <v>0</v>
      </c>
      <c r="U850" s="3">
        <v>182159.1</v>
      </c>
      <c r="V850" s="6">
        <f t="shared" si="246"/>
        <v>4450</v>
      </c>
    </row>
    <row r="851" spans="1:22" ht="25.15" customHeight="1" x14ac:dyDescent="0.25">
      <c r="A851" s="37" t="s">
        <v>1717</v>
      </c>
      <c r="B851" s="22" t="s">
        <v>261</v>
      </c>
      <c r="C851" s="2">
        <f t="shared" si="202"/>
        <v>12937484.18</v>
      </c>
      <c r="D851" s="3">
        <f t="shared" si="244"/>
        <v>4799964</v>
      </c>
      <c r="E851" s="3">
        <f>700*1846.14</f>
        <v>1292298</v>
      </c>
      <c r="F851" s="3">
        <f>1300*1846.14</f>
        <v>2399982</v>
      </c>
      <c r="G851" s="3">
        <f>300*1846.14</f>
        <v>553842</v>
      </c>
      <c r="H851" s="3">
        <v>0</v>
      </c>
      <c r="I851" s="3">
        <f>300*1846.14</f>
        <v>553842</v>
      </c>
      <c r="J851" s="3">
        <f t="shared" si="256"/>
        <v>0</v>
      </c>
      <c r="K851" s="4">
        <v>0</v>
      </c>
      <c r="L851" s="3">
        <v>0</v>
      </c>
      <c r="M851" s="3">
        <v>790</v>
      </c>
      <c r="N851" s="3">
        <f>M851*4450</f>
        <v>3515500</v>
      </c>
      <c r="O851" s="3">
        <v>53.4</v>
      </c>
      <c r="P851" s="3">
        <f>O851*1200</f>
        <v>64080</v>
      </c>
      <c r="Q851" s="3">
        <v>1368</v>
      </c>
      <c r="R851" s="3">
        <f t="shared" si="245"/>
        <v>4377600</v>
      </c>
      <c r="S851" s="3">
        <v>0</v>
      </c>
      <c r="T851" s="3">
        <v>0</v>
      </c>
      <c r="U851" s="3">
        <v>180340.18</v>
      </c>
      <c r="V851" s="6">
        <f t="shared" si="246"/>
        <v>4450</v>
      </c>
    </row>
    <row r="852" spans="1:22" ht="25.15" customHeight="1" x14ac:dyDescent="0.25">
      <c r="A852" s="37" t="s">
        <v>1718</v>
      </c>
      <c r="B852" s="22" t="s">
        <v>262</v>
      </c>
      <c r="C852" s="2">
        <f t="shared" si="202"/>
        <v>8480774.6600000001</v>
      </c>
      <c r="D852" s="3">
        <f t="shared" si="244"/>
        <v>2012010</v>
      </c>
      <c r="E852" s="3">
        <f>700*773.85</f>
        <v>541695</v>
      </c>
      <c r="F852" s="3">
        <f>1300*773.85</f>
        <v>1006005</v>
      </c>
      <c r="G852" s="3">
        <f>300*773.85</f>
        <v>232155</v>
      </c>
      <c r="H852" s="3">
        <v>0</v>
      </c>
      <c r="I852" s="3">
        <f>300*773.85</f>
        <v>232155</v>
      </c>
      <c r="J852" s="3">
        <f t="shared" si="256"/>
        <v>0</v>
      </c>
      <c r="K852" s="4">
        <v>0</v>
      </c>
      <c r="L852" s="3">
        <v>0</v>
      </c>
      <c r="M852" s="3">
        <v>606.20000000000005</v>
      </c>
      <c r="N852" s="3">
        <f>M852*6600</f>
        <v>4000920.0000000005</v>
      </c>
      <c r="O852" s="3">
        <v>0</v>
      </c>
      <c r="P852" s="3">
        <v>0</v>
      </c>
      <c r="Q852" s="3">
        <v>734</v>
      </c>
      <c r="R852" s="3">
        <f t="shared" si="245"/>
        <v>2348800</v>
      </c>
      <c r="S852" s="3">
        <v>0</v>
      </c>
      <c r="T852" s="3">
        <v>0</v>
      </c>
      <c r="U852" s="3">
        <v>119044.66</v>
      </c>
      <c r="V852" s="6">
        <f t="shared" si="246"/>
        <v>6600</v>
      </c>
    </row>
    <row r="853" spans="1:22" ht="25.15" customHeight="1" x14ac:dyDescent="0.25">
      <c r="A853" s="37" t="s">
        <v>1719</v>
      </c>
      <c r="B853" s="22" t="s">
        <v>263</v>
      </c>
      <c r="C853" s="2">
        <f t="shared" si="202"/>
        <v>8193248.6600000001</v>
      </c>
      <c r="D853" s="3">
        <f t="shared" si="244"/>
        <v>1838720.0000000002</v>
      </c>
      <c r="E853" s="3">
        <f>700*707.2</f>
        <v>495040.00000000006</v>
      </c>
      <c r="F853" s="3">
        <f>1300*707.2</f>
        <v>919360.00000000012</v>
      </c>
      <c r="G853" s="3">
        <f>300*707.2</f>
        <v>212160</v>
      </c>
      <c r="H853" s="3">
        <v>0</v>
      </c>
      <c r="I853" s="3">
        <f>300*707.2</f>
        <v>212160</v>
      </c>
      <c r="J853" s="3">
        <f t="shared" si="256"/>
        <v>0</v>
      </c>
      <c r="K853" s="4">
        <v>0</v>
      </c>
      <c r="L853" s="3">
        <v>0</v>
      </c>
      <c r="M853" s="3">
        <v>603.4</v>
      </c>
      <c r="N853" s="3">
        <f>M853*6600</f>
        <v>3982440</v>
      </c>
      <c r="O853" s="3">
        <v>0</v>
      </c>
      <c r="P853" s="3">
        <v>0</v>
      </c>
      <c r="Q853" s="3">
        <v>704</v>
      </c>
      <c r="R853" s="3">
        <f t="shared" si="245"/>
        <v>2252800</v>
      </c>
      <c r="S853" s="3">
        <v>0</v>
      </c>
      <c r="T853" s="3">
        <v>0</v>
      </c>
      <c r="U853" s="3">
        <v>119288.66</v>
      </c>
      <c r="V853" s="6">
        <f t="shared" si="246"/>
        <v>6600</v>
      </c>
    </row>
    <row r="854" spans="1:22" ht="25.15" customHeight="1" x14ac:dyDescent="0.25">
      <c r="A854" s="37" t="s">
        <v>1720</v>
      </c>
      <c r="B854" s="22" t="s">
        <v>264</v>
      </c>
      <c r="C854" s="2">
        <f t="shared" si="202"/>
        <v>2461944.5</v>
      </c>
      <c r="D854" s="3">
        <f t="shared" si="244"/>
        <v>978120</v>
      </c>
      <c r="E854" s="3">
        <f>700*376.2</f>
        <v>263340</v>
      </c>
      <c r="F854" s="3">
        <f>1300*376.2</f>
        <v>489060</v>
      </c>
      <c r="G854" s="3">
        <f>300*376.2</f>
        <v>112860</v>
      </c>
      <c r="H854" s="3">
        <v>0</v>
      </c>
      <c r="I854" s="3">
        <f>300*376.2</f>
        <v>112860</v>
      </c>
      <c r="J854" s="3">
        <f t="shared" si="256"/>
        <v>0</v>
      </c>
      <c r="K854" s="4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430.6</v>
      </c>
      <c r="R854" s="3">
        <f t="shared" si="245"/>
        <v>1377920</v>
      </c>
      <c r="S854" s="3">
        <v>0</v>
      </c>
      <c r="T854" s="3">
        <v>0</v>
      </c>
      <c r="U854" s="3">
        <v>105904.5</v>
      </c>
      <c r="V854" s="6" t="e">
        <f t="shared" si="246"/>
        <v>#DIV/0!</v>
      </c>
    </row>
    <row r="855" spans="1:22" ht="45" customHeight="1" x14ac:dyDescent="0.25">
      <c r="A855" s="54" t="s">
        <v>266</v>
      </c>
      <c r="B855" s="54"/>
      <c r="C855" s="2">
        <f>SUM(C856)</f>
        <v>3270960</v>
      </c>
      <c r="D855" s="2">
        <f t="shared" ref="D855:U855" si="257">SUM(D856)</f>
        <v>0</v>
      </c>
      <c r="E855" s="2">
        <f t="shared" si="257"/>
        <v>0</v>
      </c>
      <c r="F855" s="2">
        <f t="shared" si="257"/>
        <v>0</v>
      </c>
      <c r="G855" s="2">
        <f t="shared" si="257"/>
        <v>0</v>
      </c>
      <c r="H855" s="2">
        <f t="shared" si="257"/>
        <v>0</v>
      </c>
      <c r="I855" s="2">
        <f t="shared" si="257"/>
        <v>0</v>
      </c>
      <c r="J855" s="2">
        <f t="shared" si="257"/>
        <v>0</v>
      </c>
      <c r="K855" s="14">
        <f t="shared" si="257"/>
        <v>0</v>
      </c>
      <c r="L855" s="2">
        <f t="shared" si="257"/>
        <v>0</v>
      </c>
      <c r="M855" s="2">
        <f t="shared" si="257"/>
        <v>495.6</v>
      </c>
      <c r="N855" s="2">
        <f t="shared" si="257"/>
        <v>3270960</v>
      </c>
      <c r="O855" s="2">
        <f t="shared" si="257"/>
        <v>0</v>
      </c>
      <c r="P855" s="2">
        <f t="shared" si="257"/>
        <v>0</v>
      </c>
      <c r="Q855" s="2">
        <f t="shared" si="257"/>
        <v>0</v>
      </c>
      <c r="R855" s="2">
        <f t="shared" si="257"/>
        <v>0</v>
      </c>
      <c r="S855" s="2">
        <f t="shared" si="257"/>
        <v>0</v>
      </c>
      <c r="T855" s="2">
        <f t="shared" si="257"/>
        <v>0</v>
      </c>
      <c r="U855" s="2">
        <f t="shared" si="257"/>
        <v>0</v>
      </c>
      <c r="V855" s="18">
        <f>C855</f>
        <v>3270960</v>
      </c>
    </row>
    <row r="856" spans="1:22" ht="25.15" customHeight="1" x14ac:dyDescent="0.25">
      <c r="A856" s="37" t="s">
        <v>1721</v>
      </c>
      <c r="B856" s="22" t="s">
        <v>1215</v>
      </c>
      <c r="C856" s="2">
        <f>D856+L856+N856+P856+R856+S856+T856+U856</f>
        <v>3270960</v>
      </c>
      <c r="D856" s="3">
        <f>SUM(E856:J856)</f>
        <v>0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f>350*0</f>
        <v>0</v>
      </c>
      <c r="K856" s="4">
        <v>0</v>
      </c>
      <c r="L856" s="3">
        <v>0</v>
      </c>
      <c r="M856" s="3">
        <v>495.6</v>
      </c>
      <c r="N856" s="3">
        <f>M856*6600</f>
        <v>3270960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6">
        <f>N856/M856</f>
        <v>6600</v>
      </c>
    </row>
    <row r="857" spans="1:22" ht="45" customHeight="1" x14ac:dyDescent="0.25">
      <c r="A857" s="54" t="s">
        <v>268</v>
      </c>
      <c r="B857" s="54"/>
      <c r="C857" s="2">
        <f>SUM(C858:C859)</f>
        <v>5930660</v>
      </c>
      <c r="D857" s="2">
        <f t="shared" ref="D857:U857" si="258">SUM(D858:D859)</f>
        <v>1127460</v>
      </c>
      <c r="E857" s="2">
        <f t="shared" si="258"/>
        <v>343140</v>
      </c>
      <c r="F857" s="2">
        <f t="shared" si="258"/>
        <v>637260</v>
      </c>
      <c r="G857" s="2">
        <f t="shared" si="258"/>
        <v>147060</v>
      </c>
      <c r="H857" s="2">
        <f t="shared" si="258"/>
        <v>0</v>
      </c>
      <c r="I857" s="2">
        <f t="shared" si="258"/>
        <v>0</v>
      </c>
      <c r="J857" s="2">
        <f t="shared" si="258"/>
        <v>0</v>
      </c>
      <c r="K857" s="14">
        <f t="shared" si="258"/>
        <v>0</v>
      </c>
      <c r="L857" s="2">
        <f t="shared" si="258"/>
        <v>0</v>
      </c>
      <c r="M857" s="2">
        <f t="shared" si="258"/>
        <v>432</v>
      </c>
      <c r="N857" s="2">
        <f t="shared" si="258"/>
        <v>2851200</v>
      </c>
      <c r="O857" s="2">
        <f t="shared" si="258"/>
        <v>0</v>
      </c>
      <c r="P857" s="2">
        <f t="shared" si="258"/>
        <v>0</v>
      </c>
      <c r="Q857" s="2">
        <f t="shared" si="258"/>
        <v>485</v>
      </c>
      <c r="R857" s="2">
        <f t="shared" si="258"/>
        <v>1552000</v>
      </c>
      <c r="S857" s="2">
        <f t="shared" si="258"/>
        <v>0</v>
      </c>
      <c r="T857" s="2">
        <f t="shared" si="258"/>
        <v>0</v>
      </c>
      <c r="U857" s="2">
        <f t="shared" si="258"/>
        <v>400000</v>
      </c>
      <c r="V857" s="18">
        <f>C857</f>
        <v>5930660</v>
      </c>
    </row>
    <row r="858" spans="1:22" ht="25.15" customHeight="1" x14ac:dyDescent="0.25">
      <c r="A858" s="37" t="s">
        <v>1722</v>
      </c>
      <c r="B858" s="22" t="s">
        <v>269</v>
      </c>
      <c r="C858" s="2">
        <f t="shared" si="202"/>
        <v>5630660</v>
      </c>
      <c r="D858" s="3">
        <f>SUM(E858:J858)</f>
        <v>1127460</v>
      </c>
      <c r="E858" s="3">
        <f>700*490.2</f>
        <v>343140</v>
      </c>
      <c r="F858" s="3">
        <f>1300*490.2</f>
        <v>637260</v>
      </c>
      <c r="G858" s="3">
        <f>300*490.2</f>
        <v>147060</v>
      </c>
      <c r="H858" s="3"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432</v>
      </c>
      <c r="N858" s="3">
        <f>M858*6600</f>
        <v>2851200</v>
      </c>
      <c r="O858" s="3">
        <v>0</v>
      </c>
      <c r="P858" s="3">
        <v>0</v>
      </c>
      <c r="Q858" s="3">
        <v>485</v>
      </c>
      <c r="R858" s="3">
        <f>Q858*3200</f>
        <v>1552000</v>
      </c>
      <c r="S858" s="3">
        <v>0</v>
      </c>
      <c r="T858" s="3">
        <v>0</v>
      </c>
      <c r="U858" s="3">
        <v>100000</v>
      </c>
      <c r="V858" s="6">
        <f>N858/M858</f>
        <v>6600</v>
      </c>
    </row>
    <row r="859" spans="1:22" ht="25.15" customHeight="1" x14ac:dyDescent="0.25">
      <c r="A859" s="37" t="s">
        <v>1723</v>
      </c>
      <c r="B859" s="22" t="s">
        <v>947</v>
      </c>
      <c r="C859" s="2">
        <f t="shared" si="202"/>
        <v>300000</v>
      </c>
      <c r="D859" s="3">
        <f>SUM(E859:J859)</f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f>350*0</f>
        <v>0</v>
      </c>
      <c r="K859" s="4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300000</v>
      </c>
      <c r="V859" s="6" t="e">
        <f>N859/M859</f>
        <v>#DIV/0!</v>
      </c>
    </row>
    <row r="860" spans="1:22" ht="45" customHeight="1" x14ac:dyDescent="0.25">
      <c r="A860" s="54" t="s">
        <v>273</v>
      </c>
      <c r="B860" s="54"/>
      <c r="C860" s="2">
        <f>SUM(C861:C862)</f>
        <v>8932240</v>
      </c>
      <c r="D860" s="2">
        <f t="shared" ref="D860:U860" si="259">SUM(D861:D862)</f>
        <v>702800</v>
      </c>
      <c r="E860" s="2">
        <f t="shared" si="259"/>
        <v>702800</v>
      </c>
      <c r="F860" s="2">
        <f t="shared" si="259"/>
        <v>0</v>
      </c>
      <c r="G860" s="2">
        <f t="shared" si="259"/>
        <v>0</v>
      </c>
      <c r="H860" s="2">
        <f t="shared" si="259"/>
        <v>0</v>
      </c>
      <c r="I860" s="2">
        <f t="shared" si="259"/>
        <v>0</v>
      </c>
      <c r="J860" s="2">
        <f t="shared" si="259"/>
        <v>0</v>
      </c>
      <c r="K860" s="14">
        <f t="shared" si="259"/>
        <v>0</v>
      </c>
      <c r="L860" s="2">
        <f t="shared" si="259"/>
        <v>0</v>
      </c>
      <c r="M860" s="2">
        <f t="shared" si="259"/>
        <v>864</v>
      </c>
      <c r="N860" s="2">
        <f t="shared" si="259"/>
        <v>5702400</v>
      </c>
      <c r="O860" s="2">
        <f t="shared" si="259"/>
        <v>0</v>
      </c>
      <c r="P860" s="2">
        <f t="shared" si="259"/>
        <v>0</v>
      </c>
      <c r="Q860" s="2">
        <f t="shared" si="259"/>
        <v>727.2</v>
      </c>
      <c r="R860" s="2">
        <f t="shared" si="259"/>
        <v>2327040</v>
      </c>
      <c r="S860" s="2">
        <f t="shared" si="259"/>
        <v>0</v>
      </c>
      <c r="T860" s="2">
        <f t="shared" si="259"/>
        <v>0</v>
      </c>
      <c r="U860" s="2">
        <f t="shared" si="259"/>
        <v>200000</v>
      </c>
      <c r="V860" s="18">
        <f>C860</f>
        <v>8932240</v>
      </c>
    </row>
    <row r="861" spans="1:22" ht="25.15" customHeight="1" x14ac:dyDescent="0.25">
      <c r="A861" s="37" t="s">
        <v>1724</v>
      </c>
      <c r="B861" s="22" t="s">
        <v>274</v>
      </c>
      <c r="C861" s="2">
        <f t="shared" si="202"/>
        <v>4466120</v>
      </c>
      <c r="D861" s="3">
        <f>SUM(E861:J861)</f>
        <v>351400</v>
      </c>
      <c r="E861" s="3">
        <f>700*502</f>
        <v>351400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4">
        <v>0</v>
      </c>
      <c r="L861" s="3">
        <v>0</v>
      </c>
      <c r="M861" s="3">
        <v>432</v>
      </c>
      <c r="N861" s="3">
        <f>M861*6600</f>
        <v>2851200</v>
      </c>
      <c r="O861" s="3">
        <v>0</v>
      </c>
      <c r="P861" s="3">
        <v>0</v>
      </c>
      <c r="Q861" s="3">
        <v>363.6</v>
      </c>
      <c r="R861" s="3">
        <f>Q861*3200</f>
        <v>1163520</v>
      </c>
      <c r="S861" s="3">
        <v>0</v>
      </c>
      <c r="T861" s="3">
        <v>0</v>
      </c>
      <c r="U861" s="3">
        <v>100000</v>
      </c>
      <c r="V861" s="6">
        <f>N861/M861</f>
        <v>6600</v>
      </c>
    </row>
    <row r="862" spans="1:22" ht="25.15" customHeight="1" x14ac:dyDescent="0.25">
      <c r="A862" s="37" t="s">
        <v>1725</v>
      </c>
      <c r="B862" s="22" t="s">
        <v>275</v>
      </c>
      <c r="C862" s="2">
        <f t="shared" si="202"/>
        <v>4466120</v>
      </c>
      <c r="D862" s="3">
        <f>SUM(E862:J862)</f>
        <v>351400</v>
      </c>
      <c r="E862" s="3">
        <f>700*502</f>
        <v>351400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4">
        <v>0</v>
      </c>
      <c r="L862" s="3">
        <v>0</v>
      </c>
      <c r="M862" s="3">
        <v>432</v>
      </c>
      <c r="N862" s="3">
        <f>M862*6600</f>
        <v>2851200</v>
      </c>
      <c r="O862" s="3">
        <v>0</v>
      </c>
      <c r="P862" s="3">
        <v>0</v>
      </c>
      <c r="Q862" s="3">
        <v>363.6</v>
      </c>
      <c r="R862" s="3">
        <f>Q862*3200</f>
        <v>1163520</v>
      </c>
      <c r="S862" s="3">
        <v>0</v>
      </c>
      <c r="T862" s="3">
        <v>0</v>
      </c>
      <c r="U862" s="3">
        <v>100000</v>
      </c>
      <c r="V862" s="6">
        <f>N862/M862</f>
        <v>6600</v>
      </c>
    </row>
    <row r="863" spans="1:22" ht="45" customHeight="1" x14ac:dyDescent="0.25">
      <c r="A863" s="54" t="s">
        <v>894</v>
      </c>
      <c r="B863" s="54"/>
      <c r="C863" s="2">
        <f>SUM(C864)</f>
        <v>4984560</v>
      </c>
      <c r="D863" s="2">
        <f t="shared" ref="D863:U863" si="260">SUM(D864)</f>
        <v>554960</v>
      </c>
      <c r="E863" s="2">
        <f t="shared" si="260"/>
        <v>554960</v>
      </c>
      <c r="F863" s="2">
        <f t="shared" si="260"/>
        <v>0</v>
      </c>
      <c r="G863" s="2">
        <f t="shared" si="260"/>
        <v>0</v>
      </c>
      <c r="H863" s="2">
        <f t="shared" si="260"/>
        <v>0</v>
      </c>
      <c r="I863" s="2">
        <f t="shared" si="260"/>
        <v>0</v>
      </c>
      <c r="J863" s="2">
        <f t="shared" si="260"/>
        <v>0</v>
      </c>
      <c r="K863" s="14">
        <f t="shared" si="260"/>
        <v>0</v>
      </c>
      <c r="L863" s="2">
        <f t="shared" si="260"/>
        <v>0</v>
      </c>
      <c r="M863" s="2">
        <f t="shared" si="260"/>
        <v>656</v>
      </c>
      <c r="N863" s="2">
        <f t="shared" si="260"/>
        <v>4329600</v>
      </c>
      <c r="O863" s="2">
        <f t="shared" si="260"/>
        <v>0</v>
      </c>
      <c r="P863" s="2">
        <f t="shared" si="260"/>
        <v>0</v>
      </c>
      <c r="Q863" s="2">
        <f t="shared" si="260"/>
        <v>0</v>
      </c>
      <c r="R863" s="2">
        <f t="shared" si="260"/>
        <v>0</v>
      </c>
      <c r="S863" s="2">
        <f t="shared" si="260"/>
        <v>0</v>
      </c>
      <c r="T863" s="2">
        <f t="shared" si="260"/>
        <v>0</v>
      </c>
      <c r="U863" s="2">
        <f t="shared" si="260"/>
        <v>100000</v>
      </c>
      <c r="V863" s="18">
        <f>C863</f>
        <v>4984560</v>
      </c>
    </row>
    <row r="864" spans="1:22" ht="25.15" customHeight="1" x14ac:dyDescent="0.25">
      <c r="A864" s="37" t="s">
        <v>1726</v>
      </c>
      <c r="B864" s="22" t="s">
        <v>1216</v>
      </c>
      <c r="C864" s="2">
        <f>D864+L864+N864+P864+R864+S864+T864+U864</f>
        <v>4984560</v>
      </c>
      <c r="D864" s="3">
        <f>SUM(E864:J864)</f>
        <v>554960</v>
      </c>
      <c r="E864" s="3">
        <f>700*792.8</f>
        <v>554960</v>
      </c>
      <c r="F864" s="3">
        <f>670.53*0</f>
        <v>0</v>
      </c>
      <c r="G864" s="3">
        <v>0</v>
      </c>
      <c r="H864" s="3">
        <f>500*0</f>
        <v>0</v>
      </c>
      <c r="I864" s="3">
        <v>0</v>
      </c>
      <c r="J864" s="3">
        <f>350*0</f>
        <v>0</v>
      </c>
      <c r="K864" s="4">
        <v>0</v>
      </c>
      <c r="L864" s="3">
        <v>0</v>
      </c>
      <c r="M864" s="3">
        <v>656</v>
      </c>
      <c r="N864" s="3">
        <f>M864*6600</f>
        <v>4329600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100000</v>
      </c>
      <c r="V864" s="6">
        <f>N864/M864</f>
        <v>6600</v>
      </c>
    </row>
    <row r="865" spans="1:191" ht="45" customHeight="1" x14ac:dyDescent="0.25">
      <c r="A865" s="54" t="s">
        <v>372</v>
      </c>
      <c r="B865" s="54"/>
      <c r="C865" s="2">
        <f>SUM(C866:C1121)</f>
        <v>1322672116.5700002</v>
      </c>
      <c r="D865" s="2">
        <f t="shared" ref="D865:U865" si="261">SUM(D866:D1121)</f>
        <v>394937255.5</v>
      </c>
      <c r="E865" s="2">
        <f t="shared" si="261"/>
        <v>95066135.5</v>
      </c>
      <c r="F865" s="2">
        <f t="shared" si="261"/>
        <v>173527357.5</v>
      </c>
      <c r="G865" s="2">
        <f t="shared" si="261"/>
        <v>40348275</v>
      </c>
      <c r="H865" s="2">
        <f t="shared" si="261"/>
        <v>45503056</v>
      </c>
      <c r="I865" s="2">
        <f t="shared" si="261"/>
        <v>40492431.5</v>
      </c>
      <c r="J865" s="2">
        <f t="shared" si="261"/>
        <v>0</v>
      </c>
      <c r="K865" s="14">
        <f t="shared" si="261"/>
        <v>2</v>
      </c>
      <c r="L865" s="2">
        <f t="shared" si="261"/>
        <v>5400000</v>
      </c>
      <c r="M865" s="2">
        <f t="shared" si="261"/>
        <v>112431.67999999995</v>
      </c>
      <c r="N865" s="2">
        <f t="shared" si="261"/>
        <v>722672428</v>
      </c>
      <c r="O865" s="2">
        <f t="shared" si="261"/>
        <v>845.96</v>
      </c>
      <c r="P865" s="2">
        <f t="shared" si="261"/>
        <v>1114332</v>
      </c>
      <c r="Q865" s="2">
        <f t="shared" si="261"/>
        <v>55458.64</v>
      </c>
      <c r="R865" s="2">
        <f t="shared" si="261"/>
        <v>177467648</v>
      </c>
      <c r="S865" s="2">
        <f t="shared" si="261"/>
        <v>972000</v>
      </c>
      <c r="T865" s="2">
        <f t="shared" si="261"/>
        <v>0</v>
      </c>
      <c r="U865" s="2">
        <f t="shared" si="261"/>
        <v>20108453.07</v>
      </c>
    </row>
    <row r="866" spans="1:191" ht="24.6" customHeight="1" x14ac:dyDescent="0.25">
      <c r="A866" s="53" t="s">
        <v>1727</v>
      </c>
      <c r="B866" s="8" t="s">
        <v>748</v>
      </c>
      <c r="C866" s="2">
        <f t="shared" si="202"/>
        <v>3937560</v>
      </c>
      <c r="D866" s="3">
        <f t="shared" ref="D866:D962" si="262">SUM(E866:J866)</f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11">
        <v>0</v>
      </c>
      <c r="L866" s="5">
        <v>0</v>
      </c>
      <c r="M866" s="5">
        <v>596.6</v>
      </c>
      <c r="N866" s="3">
        <f>M866*6600</f>
        <v>3937560</v>
      </c>
      <c r="O866" s="5">
        <v>0</v>
      </c>
      <c r="P866" s="5">
        <v>0</v>
      </c>
      <c r="Q866" s="5">
        <v>0</v>
      </c>
      <c r="R866" s="3">
        <f t="shared" ref="R866:R948" si="263">Q866*3200</f>
        <v>0</v>
      </c>
      <c r="S866" s="5">
        <v>0</v>
      </c>
      <c r="T866" s="5">
        <v>0</v>
      </c>
      <c r="U866" s="5">
        <v>0</v>
      </c>
      <c r="V866" s="6">
        <f t="shared" ref="V866:V958" si="264">N866/M866</f>
        <v>6600</v>
      </c>
    </row>
    <row r="867" spans="1:191" ht="25.15" customHeight="1" x14ac:dyDescent="0.25">
      <c r="A867" s="53" t="s">
        <v>1728</v>
      </c>
      <c r="B867" s="8" t="s">
        <v>1224</v>
      </c>
      <c r="C867" s="2">
        <f t="shared" ref="C867" si="265">D867+L867+N867+P867+R867+S867+T867+U867</f>
        <v>300000</v>
      </c>
      <c r="D867" s="3">
        <f t="shared" ref="D867" si="266">SUM(E867:J867)</f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11">
        <v>0</v>
      </c>
      <c r="L867" s="5">
        <v>0</v>
      </c>
      <c r="M867" s="5">
        <v>0</v>
      </c>
      <c r="N867" s="3">
        <v>0</v>
      </c>
      <c r="O867" s="5">
        <v>0</v>
      </c>
      <c r="P867" s="5">
        <v>0</v>
      </c>
      <c r="Q867" s="5">
        <v>0</v>
      </c>
      <c r="R867" s="3">
        <v>0</v>
      </c>
      <c r="S867" s="5">
        <v>0</v>
      </c>
      <c r="T867" s="5">
        <v>0</v>
      </c>
      <c r="U867" s="5">
        <v>300000</v>
      </c>
      <c r="V867" s="6" t="e">
        <f>N867/M867</f>
        <v>#DIV/0!</v>
      </c>
    </row>
    <row r="868" spans="1:191" ht="25.15" customHeight="1" x14ac:dyDescent="0.25">
      <c r="A868" s="53" t="s">
        <v>1729</v>
      </c>
      <c r="B868" s="8" t="s">
        <v>479</v>
      </c>
      <c r="C868" s="2">
        <f>D868+L868+N868+P868+R868+S868+T868+U868</f>
        <v>7431752.8799999999</v>
      </c>
      <c r="D868" s="3">
        <f>SUM(E868:J868)</f>
        <v>3379799.9999999995</v>
      </c>
      <c r="E868" s="3">
        <f>700*1126.6</f>
        <v>788619.99999999988</v>
      </c>
      <c r="F868" s="3">
        <f>1300*1126.6</f>
        <v>1464579.9999999998</v>
      </c>
      <c r="G868" s="3">
        <f>300*1126.6</f>
        <v>337980</v>
      </c>
      <c r="H868" s="3">
        <f>400*1126.6</f>
        <v>450639.99999999994</v>
      </c>
      <c r="I868" s="3">
        <f>300*1126.6</f>
        <v>337980</v>
      </c>
      <c r="J868" s="3">
        <f>350*0</f>
        <v>0</v>
      </c>
      <c r="K868" s="11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1205.5</v>
      </c>
      <c r="R868" s="3">
        <f>Q868*3200</f>
        <v>3857600</v>
      </c>
      <c r="S868" s="5">
        <v>0</v>
      </c>
      <c r="T868" s="5">
        <v>0</v>
      </c>
      <c r="U868" s="5">
        <v>194352.88</v>
      </c>
      <c r="V868" s="6" t="e">
        <f>N868/M868</f>
        <v>#DIV/0!</v>
      </c>
    </row>
    <row r="869" spans="1:191" ht="25.15" customHeight="1" x14ac:dyDescent="0.25">
      <c r="A869" s="53" t="s">
        <v>1730</v>
      </c>
      <c r="B869" s="8" t="s">
        <v>563</v>
      </c>
      <c r="C869" s="2">
        <f>D869+L869+N869+P869+R869+S869+T869+U869</f>
        <v>2613520</v>
      </c>
      <c r="D869" s="3">
        <f>SUM(E869:J869)</f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11">
        <v>0</v>
      </c>
      <c r="L869" s="5">
        <v>0</v>
      </c>
      <c r="M869" s="5">
        <v>267.2</v>
      </c>
      <c r="N869" s="3">
        <f>M869*6600</f>
        <v>1763520</v>
      </c>
      <c r="O869" s="5">
        <v>0</v>
      </c>
      <c r="P869" s="5">
        <v>0</v>
      </c>
      <c r="Q869" s="5">
        <v>0</v>
      </c>
      <c r="R869" s="3">
        <f>Q869*3000</f>
        <v>0</v>
      </c>
      <c r="S869" s="5">
        <v>0</v>
      </c>
      <c r="T869" s="5">
        <v>0</v>
      </c>
      <c r="U869" s="5">
        <v>850000</v>
      </c>
      <c r="V869" s="6">
        <f>N869/M869</f>
        <v>6600</v>
      </c>
    </row>
    <row r="870" spans="1:191" ht="25.15" customHeight="1" x14ac:dyDescent="0.25">
      <c r="A870" s="53" t="s">
        <v>1731</v>
      </c>
      <c r="B870" s="8" t="s">
        <v>1212</v>
      </c>
      <c r="C870" s="2">
        <f>D870+L870+N870+P870+R870+S870+T870+U870</f>
        <v>2032800</v>
      </c>
      <c r="D870" s="3">
        <f>SUM(E870:J870)</f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308</v>
      </c>
      <c r="N870" s="3">
        <f>M870*6600</f>
        <v>2032800</v>
      </c>
      <c r="O870" s="3">
        <v>0</v>
      </c>
      <c r="P870" s="3">
        <v>0</v>
      </c>
      <c r="Q870" s="3">
        <v>0</v>
      </c>
      <c r="R870" s="3">
        <f>Q870*3200</f>
        <v>0</v>
      </c>
      <c r="S870" s="3">
        <v>0</v>
      </c>
      <c r="T870" s="5">
        <v>0</v>
      </c>
      <c r="U870" s="3">
        <v>0</v>
      </c>
      <c r="V870" s="6">
        <f>N870/M870</f>
        <v>6600</v>
      </c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</row>
    <row r="871" spans="1:191" ht="25.15" customHeight="1" x14ac:dyDescent="0.25">
      <c r="A871" s="53" t="s">
        <v>1732</v>
      </c>
      <c r="B871" s="8" t="s">
        <v>860</v>
      </c>
      <c r="C871" s="2">
        <f t="shared" si="202"/>
        <v>2200320</v>
      </c>
      <c r="D871" s="3">
        <f t="shared" si="262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11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687.6</v>
      </c>
      <c r="R871" s="3">
        <f t="shared" si="263"/>
        <v>2200320</v>
      </c>
      <c r="S871" s="5">
        <v>0</v>
      </c>
      <c r="T871" s="5">
        <v>0</v>
      </c>
      <c r="U871" s="5">
        <v>0</v>
      </c>
      <c r="V871" s="6" t="e">
        <f t="shared" si="264"/>
        <v>#DIV/0!</v>
      </c>
    </row>
    <row r="872" spans="1:191" ht="25.15" customHeight="1" x14ac:dyDescent="0.25">
      <c r="A872" s="53" t="s">
        <v>1733</v>
      </c>
      <c r="B872" s="24" t="s">
        <v>875</v>
      </c>
      <c r="C872" s="2">
        <f>D872+L872+N872+P872+R872+S872+T872+U872</f>
        <v>4224000</v>
      </c>
      <c r="D872" s="3">
        <f>SUM(E872:J872)</f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4">
        <v>0</v>
      </c>
      <c r="L872" s="3">
        <v>0</v>
      </c>
      <c r="M872" s="3">
        <v>640</v>
      </c>
      <c r="N872" s="3">
        <f>M872*6600</f>
        <v>4224000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6">
        <f>N872/M872</f>
        <v>6600</v>
      </c>
    </row>
    <row r="873" spans="1:191" ht="25.15" customHeight="1" x14ac:dyDescent="0.25">
      <c r="A873" s="53" t="s">
        <v>1734</v>
      </c>
      <c r="B873" s="24" t="s">
        <v>877</v>
      </c>
      <c r="C873" s="2">
        <f>D873+L873+N873+P873+R873+S873+T873+U873</f>
        <v>3379200</v>
      </c>
      <c r="D873" s="3">
        <f>SUM(E873:J873)</f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512</v>
      </c>
      <c r="N873" s="3">
        <f>M873*6600</f>
        <v>3379200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6">
        <f>N873/M873</f>
        <v>6600</v>
      </c>
    </row>
    <row r="874" spans="1:191" ht="25.15" customHeight="1" x14ac:dyDescent="0.25">
      <c r="A874" s="53" t="s">
        <v>1735</v>
      </c>
      <c r="B874" s="8" t="s">
        <v>417</v>
      </c>
      <c r="C874" s="2">
        <f t="shared" si="202"/>
        <v>640000</v>
      </c>
      <c r="D874" s="3">
        <f t="shared" si="262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4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200</v>
      </c>
      <c r="R874" s="3">
        <f>Q874*3200</f>
        <v>640000</v>
      </c>
      <c r="S874" s="3">
        <v>0</v>
      </c>
      <c r="T874" s="5">
        <v>0</v>
      </c>
      <c r="U874" s="3">
        <v>0</v>
      </c>
      <c r="V874" s="6" t="e">
        <f t="shared" si="264"/>
        <v>#DIV/0!</v>
      </c>
    </row>
    <row r="875" spans="1:191" ht="24.6" customHeight="1" x14ac:dyDescent="0.25">
      <c r="A875" s="53" t="s">
        <v>1736</v>
      </c>
      <c r="B875" s="23" t="s">
        <v>437</v>
      </c>
      <c r="C875" s="2">
        <f>D875+L875+N875+P875+R875+S875+T875+U875</f>
        <v>6587080.1900000004</v>
      </c>
      <c r="D875" s="3">
        <f>SUM(E875:J875)</f>
        <v>1786200</v>
      </c>
      <c r="E875" s="3">
        <f>700*595.4</f>
        <v>416780</v>
      </c>
      <c r="F875" s="3">
        <f>1300*595.4</f>
        <v>774020</v>
      </c>
      <c r="G875" s="3">
        <f>300*595.4</f>
        <v>178620</v>
      </c>
      <c r="H875" s="3">
        <f>400*595.4</f>
        <v>238160</v>
      </c>
      <c r="I875" s="3">
        <f>300*595.4</f>
        <v>178620</v>
      </c>
      <c r="J875" s="3">
        <f>350*0</f>
        <v>0</v>
      </c>
      <c r="K875" s="4">
        <v>0</v>
      </c>
      <c r="L875" s="3">
        <v>0</v>
      </c>
      <c r="M875" s="3">
        <v>370.6</v>
      </c>
      <c r="N875" s="3">
        <f>M875*6600</f>
        <v>2445960</v>
      </c>
      <c r="O875" s="3">
        <v>0</v>
      </c>
      <c r="P875" s="3">
        <v>0</v>
      </c>
      <c r="Q875" s="3">
        <v>701.9</v>
      </c>
      <c r="R875" s="3">
        <f>Q875*3200</f>
        <v>2246080</v>
      </c>
      <c r="S875" s="3">
        <v>0</v>
      </c>
      <c r="T875" s="5">
        <v>0</v>
      </c>
      <c r="U875" s="3">
        <v>108840.19</v>
      </c>
      <c r="V875" s="6">
        <f>N875/M875</f>
        <v>6600</v>
      </c>
    </row>
    <row r="876" spans="1:191" ht="25.15" customHeight="1" x14ac:dyDescent="0.25">
      <c r="A876" s="53" t="s">
        <v>1737</v>
      </c>
      <c r="B876" s="23" t="s">
        <v>749</v>
      </c>
      <c r="C876" s="2">
        <f t="shared" si="202"/>
        <v>1791900</v>
      </c>
      <c r="D876" s="3">
        <f t="shared" si="262"/>
        <v>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4">
        <v>0</v>
      </c>
      <c r="L876" s="3">
        <v>0</v>
      </c>
      <c r="M876" s="3">
        <v>271.5</v>
      </c>
      <c r="N876" s="3">
        <f t="shared" ref="N876:N884" si="267">M876*6600</f>
        <v>1791900</v>
      </c>
      <c r="O876" s="3">
        <v>0</v>
      </c>
      <c r="P876" s="3">
        <v>0</v>
      </c>
      <c r="Q876" s="3">
        <v>0</v>
      </c>
      <c r="R876" s="3">
        <f t="shared" si="263"/>
        <v>0</v>
      </c>
      <c r="S876" s="3">
        <v>0</v>
      </c>
      <c r="T876" s="3">
        <v>0</v>
      </c>
      <c r="U876" s="3">
        <v>0</v>
      </c>
      <c r="V876" s="6">
        <f t="shared" si="264"/>
        <v>6600</v>
      </c>
    </row>
    <row r="877" spans="1:191" ht="25.15" customHeight="1" x14ac:dyDescent="0.25">
      <c r="A877" s="53" t="s">
        <v>1738</v>
      </c>
      <c r="B877" s="23" t="s">
        <v>750</v>
      </c>
      <c r="C877" s="2">
        <f t="shared" ref="C877:C966" si="268">D877+L877+N877+P877+R877+S877+T877+U877</f>
        <v>1851960.0000000002</v>
      </c>
      <c r="D877" s="3">
        <f t="shared" si="262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280.60000000000002</v>
      </c>
      <c r="N877" s="3">
        <f t="shared" si="267"/>
        <v>1851960.0000000002</v>
      </c>
      <c r="O877" s="3">
        <v>0</v>
      </c>
      <c r="P877" s="3">
        <v>0</v>
      </c>
      <c r="Q877" s="3">
        <v>0</v>
      </c>
      <c r="R877" s="3">
        <f t="shared" si="263"/>
        <v>0</v>
      </c>
      <c r="S877" s="3">
        <v>0</v>
      </c>
      <c r="T877" s="3">
        <v>0</v>
      </c>
      <c r="U877" s="3">
        <v>0</v>
      </c>
      <c r="V877" s="6">
        <f t="shared" si="264"/>
        <v>6600</v>
      </c>
    </row>
    <row r="878" spans="1:191" ht="25.15" customHeight="1" x14ac:dyDescent="0.25">
      <c r="A878" s="53" t="s">
        <v>1739</v>
      </c>
      <c r="B878" s="23" t="s">
        <v>751</v>
      </c>
      <c r="C878" s="2">
        <f t="shared" si="268"/>
        <v>1842720</v>
      </c>
      <c r="D878" s="3">
        <f t="shared" si="262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279.2</v>
      </c>
      <c r="N878" s="3">
        <f t="shared" si="267"/>
        <v>1842720</v>
      </c>
      <c r="O878" s="3">
        <v>0</v>
      </c>
      <c r="P878" s="3">
        <v>0</v>
      </c>
      <c r="Q878" s="3">
        <v>0</v>
      </c>
      <c r="R878" s="3">
        <f t="shared" si="263"/>
        <v>0</v>
      </c>
      <c r="S878" s="3">
        <v>0</v>
      </c>
      <c r="T878" s="3">
        <v>0</v>
      </c>
      <c r="U878" s="3">
        <v>0</v>
      </c>
      <c r="V878" s="6">
        <f t="shared" si="264"/>
        <v>6600</v>
      </c>
    </row>
    <row r="879" spans="1:191" ht="25.15" customHeight="1" x14ac:dyDescent="0.25">
      <c r="A879" s="53" t="s">
        <v>1740</v>
      </c>
      <c r="B879" s="8" t="s">
        <v>484</v>
      </c>
      <c r="C879" s="2">
        <f>D879+L879+N879+P879+R879+S879+T879+U879</f>
        <v>3649800</v>
      </c>
      <c r="D879" s="3">
        <f>SUM(E879:J879)</f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4">
        <v>0</v>
      </c>
      <c r="L879" s="3">
        <v>0</v>
      </c>
      <c r="M879" s="3">
        <v>553</v>
      </c>
      <c r="N879" s="3">
        <f>M879*6600</f>
        <v>3649800</v>
      </c>
      <c r="O879" s="3">
        <v>0</v>
      </c>
      <c r="P879" s="3">
        <v>0</v>
      </c>
      <c r="Q879" s="3">
        <v>0</v>
      </c>
      <c r="R879" s="3">
        <f>Q879*3000</f>
        <v>0</v>
      </c>
      <c r="S879" s="3">
        <v>0</v>
      </c>
      <c r="T879" s="5">
        <v>0</v>
      </c>
      <c r="U879" s="3">
        <v>0</v>
      </c>
      <c r="V879" s="6">
        <f>N879/M879</f>
        <v>6600</v>
      </c>
    </row>
    <row r="880" spans="1:191" ht="25.15" customHeight="1" x14ac:dyDescent="0.25">
      <c r="A880" s="53" t="s">
        <v>1741</v>
      </c>
      <c r="B880" s="23" t="s">
        <v>567</v>
      </c>
      <c r="C880" s="2">
        <f>D880+L880+N880+P880+R880+S880+T880+U880</f>
        <v>5730472.8700000001</v>
      </c>
      <c r="D880" s="3">
        <f>SUM(E880:J880)</f>
        <v>2620904</v>
      </c>
      <c r="E880" s="3">
        <f>700*1008.04</f>
        <v>705628</v>
      </c>
      <c r="F880" s="3">
        <f>1300*1008.04</f>
        <v>1310452</v>
      </c>
      <c r="G880" s="3">
        <f>300*1008.04</f>
        <v>302412</v>
      </c>
      <c r="H880" s="3">
        <v>0</v>
      </c>
      <c r="I880" s="3">
        <f>300*1008.04</f>
        <v>302412</v>
      </c>
      <c r="J880" s="3">
        <f>350*0</f>
        <v>0</v>
      </c>
      <c r="K880" s="11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934.8</v>
      </c>
      <c r="R880" s="3">
        <f>Q880*3200</f>
        <v>2991360</v>
      </c>
      <c r="S880" s="5">
        <v>0</v>
      </c>
      <c r="T880" s="5">
        <v>0</v>
      </c>
      <c r="U880" s="5">
        <v>118208.87</v>
      </c>
      <c r="V880" s="6" t="e">
        <f>N880/M880</f>
        <v>#DIV/0!</v>
      </c>
    </row>
    <row r="881" spans="1:258" s="27" customFormat="1" ht="25.15" customHeight="1" x14ac:dyDescent="0.25">
      <c r="A881" s="53" t="s">
        <v>1742</v>
      </c>
      <c r="B881" s="8" t="s">
        <v>752</v>
      </c>
      <c r="C881" s="2">
        <f t="shared" si="268"/>
        <v>3498000</v>
      </c>
      <c r="D881" s="3">
        <f t="shared" si="262"/>
        <v>0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4">
        <v>0</v>
      </c>
      <c r="L881" s="3">
        <v>0</v>
      </c>
      <c r="M881" s="3">
        <v>530</v>
      </c>
      <c r="N881" s="3">
        <f t="shared" si="267"/>
        <v>3498000</v>
      </c>
      <c r="O881" s="3">
        <v>0</v>
      </c>
      <c r="P881" s="3">
        <v>0</v>
      </c>
      <c r="Q881" s="3">
        <v>0</v>
      </c>
      <c r="R881" s="3">
        <f t="shared" si="263"/>
        <v>0</v>
      </c>
      <c r="S881" s="3">
        <v>0</v>
      </c>
      <c r="T881" s="3">
        <v>0</v>
      </c>
      <c r="U881" s="3">
        <v>0</v>
      </c>
      <c r="V881" s="6">
        <f t="shared" si="264"/>
        <v>6600</v>
      </c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7"/>
      <c r="DO881" s="7"/>
      <c r="DP881" s="7"/>
      <c r="DQ881" s="7"/>
      <c r="DR881" s="7"/>
      <c r="DS881" s="7"/>
      <c r="DT881" s="7"/>
      <c r="DU881" s="7"/>
      <c r="DV881" s="7"/>
      <c r="DW881" s="7"/>
      <c r="DX881" s="7"/>
      <c r="DY881" s="7"/>
      <c r="DZ881" s="7"/>
      <c r="EA881" s="7"/>
      <c r="EB881" s="7"/>
      <c r="EC881" s="7"/>
      <c r="ED881" s="7"/>
      <c r="EE881" s="7"/>
      <c r="EF881" s="7"/>
      <c r="EG881" s="7"/>
      <c r="EH881" s="7"/>
      <c r="EI881" s="7"/>
      <c r="EJ881" s="7"/>
      <c r="EK881" s="7"/>
      <c r="EL881" s="7"/>
      <c r="EM881" s="7"/>
      <c r="EN881" s="7"/>
      <c r="EO881" s="7"/>
      <c r="EP881" s="7"/>
      <c r="EQ881" s="7"/>
      <c r="ER881" s="7"/>
      <c r="ES881" s="7"/>
      <c r="ET881" s="7"/>
      <c r="EU881" s="7"/>
      <c r="EV881" s="7"/>
      <c r="EW881" s="7"/>
      <c r="EX881" s="7"/>
      <c r="EY881" s="7"/>
      <c r="EZ881" s="7"/>
      <c r="FA881" s="7"/>
      <c r="FB881" s="7"/>
      <c r="FC881" s="7"/>
      <c r="FD881" s="7"/>
      <c r="FE881" s="7"/>
      <c r="FF881" s="7"/>
      <c r="FG881" s="7"/>
      <c r="FH881" s="7"/>
      <c r="FI881" s="7"/>
      <c r="FJ881" s="7"/>
      <c r="FK881" s="7"/>
      <c r="FL881" s="7"/>
      <c r="FM881" s="7"/>
      <c r="FN881" s="7"/>
      <c r="FO881" s="7"/>
      <c r="FP881" s="7"/>
      <c r="FQ881" s="7"/>
      <c r="FR881" s="7"/>
      <c r="FS881" s="7"/>
      <c r="FT881" s="7"/>
      <c r="FU881" s="7"/>
      <c r="FV881" s="7"/>
      <c r="FW881" s="7"/>
      <c r="FX881" s="7"/>
      <c r="FY881" s="7"/>
      <c r="FZ881" s="7"/>
      <c r="GA881" s="7"/>
      <c r="GB881" s="7"/>
      <c r="GC881" s="7"/>
      <c r="GD881" s="7"/>
      <c r="GE881" s="7"/>
      <c r="GF881" s="7"/>
      <c r="GG881" s="7"/>
      <c r="GH881" s="7"/>
      <c r="GI881" s="7"/>
      <c r="GJ881" s="7"/>
      <c r="GK881" s="7"/>
      <c r="GL881" s="7"/>
      <c r="GM881" s="7"/>
      <c r="GN881" s="7"/>
      <c r="GO881" s="7"/>
      <c r="GP881" s="7"/>
      <c r="GQ881" s="7"/>
      <c r="GR881" s="7"/>
      <c r="GS881" s="7"/>
      <c r="GT881" s="7"/>
      <c r="GU881" s="7"/>
      <c r="GV881" s="7"/>
      <c r="GW881" s="7"/>
      <c r="GX881" s="7"/>
      <c r="GY881" s="7"/>
      <c r="GZ881" s="7"/>
      <c r="HA881" s="7"/>
      <c r="HB881" s="7"/>
      <c r="HC881" s="7"/>
      <c r="HD881" s="7"/>
      <c r="HE881" s="7"/>
      <c r="HF881" s="7"/>
      <c r="HG881" s="7"/>
      <c r="HH881" s="7"/>
      <c r="HI881" s="7"/>
      <c r="HJ881" s="7"/>
      <c r="HK881" s="7"/>
      <c r="HL881" s="7"/>
      <c r="HM881" s="7"/>
      <c r="HN881" s="7"/>
      <c r="HO881" s="7"/>
      <c r="HP881" s="7"/>
      <c r="HQ881" s="7"/>
      <c r="HR881" s="7"/>
      <c r="HS881" s="7"/>
      <c r="HT881" s="7"/>
      <c r="HU881" s="7"/>
      <c r="HV881" s="7"/>
      <c r="HW881" s="7"/>
      <c r="HX881" s="7"/>
      <c r="HY881" s="7"/>
      <c r="HZ881" s="7"/>
      <c r="IA881" s="7"/>
      <c r="IB881" s="7"/>
      <c r="IC881" s="7"/>
      <c r="ID881" s="7"/>
      <c r="IE881" s="7"/>
      <c r="IF881" s="7"/>
      <c r="IG881" s="7"/>
      <c r="IH881" s="7"/>
      <c r="II881" s="7"/>
      <c r="IJ881" s="7"/>
      <c r="IK881" s="7"/>
      <c r="IL881" s="7"/>
      <c r="IM881" s="7"/>
      <c r="IN881" s="7"/>
      <c r="IO881" s="7"/>
      <c r="IP881" s="7"/>
      <c r="IQ881" s="7"/>
      <c r="IR881" s="7"/>
      <c r="IS881" s="7"/>
      <c r="IT881" s="7"/>
      <c r="IU881" s="7"/>
      <c r="IV881" s="7"/>
      <c r="IW881" s="7"/>
      <c r="IX881" s="7"/>
    </row>
    <row r="882" spans="1:258" ht="25.15" customHeight="1" x14ac:dyDescent="0.25">
      <c r="A882" s="53" t="s">
        <v>1743</v>
      </c>
      <c r="B882" s="23" t="s">
        <v>467</v>
      </c>
      <c r="C882" s="2">
        <f t="shared" si="268"/>
        <v>362250</v>
      </c>
      <c r="D882" s="3">
        <f t="shared" ref="D882" si="269">SUM(E882:J882)</f>
        <v>362250</v>
      </c>
      <c r="E882" s="3">
        <f>350*1035</f>
        <v>362250</v>
      </c>
      <c r="F882" s="3">
        <v>0</v>
      </c>
      <c r="G882" s="3">
        <v>0</v>
      </c>
      <c r="H882" s="3">
        <f>400*0</f>
        <v>0</v>
      </c>
      <c r="I882" s="3">
        <v>0</v>
      </c>
      <c r="J882" s="3">
        <f>350*0</f>
        <v>0</v>
      </c>
      <c r="K882" s="4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5">
        <v>0</v>
      </c>
      <c r="U882" s="3">
        <v>0</v>
      </c>
      <c r="V882" s="6" t="e">
        <f t="shared" si="264"/>
        <v>#DIV/0!</v>
      </c>
    </row>
    <row r="883" spans="1:258" ht="25.15" customHeight="1" x14ac:dyDescent="0.25">
      <c r="A883" s="53" t="s">
        <v>1744</v>
      </c>
      <c r="B883" s="8" t="s">
        <v>571</v>
      </c>
      <c r="C883" s="2">
        <f t="shared" si="268"/>
        <v>1947000</v>
      </c>
      <c r="D883" s="3">
        <f>SUM(E883:J883)</f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11">
        <v>0</v>
      </c>
      <c r="L883" s="5">
        <v>0</v>
      </c>
      <c r="M883" s="5">
        <v>295</v>
      </c>
      <c r="N883" s="3">
        <f t="shared" si="267"/>
        <v>1947000</v>
      </c>
      <c r="O883" s="5">
        <v>0</v>
      </c>
      <c r="P883" s="5">
        <v>0</v>
      </c>
      <c r="Q883" s="5">
        <v>0</v>
      </c>
      <c r="R883" s="3">
        <f t="shared" si="263"/>
        <v>0</v>
      </c>
      <c r="S883" s="5">
        <v>0</v>
      </c>
      <c r="T883" s="5">
        <v>0</v>
      </c>
      <c r="U883" s="5">
        <v>0</v>
      </c>
      <c r="V883" s="6">
        <f t="shared" si="264"/>
        <v>6600</v>
      </c>
    </row>
    <row r="884" spans="1:258" s="17" customFormat="1" ht="24.6" customHeight="1" x14ac:dyDescent="0.25">
      <c r="A884" s="53" t="s">
        <v>1745</v>
      </c>
      <c r="B884" s="8" t="s">
        <v>664</v>
      </c>
      <c r="C884" s="2">
        <f t="shared" si="268"/>
        <v>1947000</v>
      </c>
      <c r="D884" s="3">
        <f t="shared" si="262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295</v>
      </c>
      <c r="N884" s="3">
        <f t="shared" si="267"/>
        <v>1947000</v>
      </c>
      <c r="O884" s="3">
        <v>0</v>
      </c>
      <c r="P884" s="3">
        <v>0</v>
      </c>
      <c r="Q884" s="3">
        <v>0</v>
      </c>
      <c r="R884" s="3">
        <f t="shared" si="263"/>
        <v>0</v>
      </c>
      <c r="S884" s="3">
        <v>0</v>
      </c>
      <c r="T884" s="3">
        <v>0</v>
      </c>
      <c r="U884" s="3">
        <v>0</v>
      </c>
      <c r="V884" s="6">
        <f t="shared" si="264"/>
        <v>6600</v>
      </c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7"/>
      <c r="DO884" s="7"/>
      <c r="DP884" s="7"/>
      <c r="DQ884" s="7"/>
      <c r="DR884" s="7"/>
      <c r="DS884" s="7"/>
      <c r="DT884" s="7"/>
      <c r="DU884" s="7"/>
      <c r="DV884" s="7"/>
      <c r="DW884" s="7"/>
      <c r="DX884" s="7"/>
      <c r="DY884" s="7"/>
      <c r="DZ884" s="7"/>
      <c r="EA884" s="7"/>
      <c r="EB884" s="7"/>
      <c r="EC884" s="7"/>
      <c r="ED884" s="7"/>
      <c r="EE884" s="7"/>
      <c r="EF884" s="7"/>
      <c r="EG884" s="7"/>
      <c r="EH884" s="7"/>
      <c r="EI884" s="7"/>
      <c r="EJ884" s="7"/>
      <c r="EK884" s="7"/>
      <c r="EL884" s="7"/>
      <c r="EM884" s="7"/>
      <c r="EN884" s="7"/>
      <c r="EO884" s="7"/>
      <c r="EP884" s="7"/>
      <c r="EQ884" s="7"/>
      <c r="ER884" s="7"/>
      <c r="ES884" s="7"/>
      <c r="ET884" s="7"/>
      <c r="EU884" s="7"/>
      <c r="EV884" s="7"/>
      <c r="EW884" s="7"/>
      <c r="EX884" s="7"/>
      <c r="EY884" s="7"/>
      <c r="EZ884" s="7"/>
      <c r="FA884" s="7"/>
      <c r="FB884" s="7"/>
      <c r="FC884" s="7"/>
      <c r="FD884" s="7"/>
      <c r="FE884" s="7"/>
      <c r="FF884" s="7"/>
      <c r="FG884" s="7"/>
      <c r="FH884" s="7"/>
      <c r="FI884" s="7"/>
      <c r="FJ884" s="7"/>
      <c r="FK884" s="7"/>
      <c r="FL884" s="7"/>
      <c r="FM884" s="7"/>
      <c r="FN884" s="7"/>
      <c r="FO884" s="7"/>
      <c r="FP884" s="7"/>
      <c r="FQ884" s="7"/>
      <c r="FR884" s="7"/>
      <c r="FS884" s="7"/>
      <c r="FT884" s="7"/>
      <c r="FU884" s="7"/>
      <c r="FV884" s="7"/>
      <c r="FW884" s="7"/>
      <c r="FX884" s="7"/>
      <c r="FY884" s="7"/>
      <c r="FZ884" s="7"/>
      <c r="GA884" s="7"/>
      <c r="GB884" s="7"/>
      <c r="GC884" s="7"/>
      <c r="GD884" s="7"/>
      <c r="GE884" s="7"/>
      <c r="GF884" s="7"/>
      <c r="GG884" s="7"/>
      <c r="GH884" s="7"/>
      <c r="GI884" s="7"/>
      <c r="GJ884" s="7"/>
      <c r="GK884" s="7"/>
      <c r="GL884" s="7"/>
      <c r="GM884" s="7"/>
      <c r="GN884" s="7"/>
      <c r="GO884" s="7"/>
      <c r="GP884" s="7"/>
      <c r="GQ884" s="7"/>
      <c r="GR884" s="7"/>
      <c r="GS884" s="7"/>
      <c r="GT884" s="7"/>
      <c r="GU884" s="7"/>
      <c r="GV884" s="7"/>
      <c r="GW884" s="7"/>
      <c r="GX884" s="7"/>
      <c r="GY884" s="7"/>
      <c r="GZ884" s="7"/>
      <c r="HA884" s="7"/>
      <c r="HB884" s="7"/>
      <c r="HC884" s="7"/>
      <c r="HD884" s="7"/>
      <c r="HE884" s="7"/>
      <c r="HF884" s="7"/>
      <c r="HG884" s="7"/>
      <c r="HH884" s="7"/>
      <c r="HI884" s="7"/>
      <c r="HJ884" s="7"/>
      <c r="HK884" s="7"/>
      <c r="HL884" s="7"/>
      <c r="HM884" s="7"/>
      <c r="HN884" s="7"/>
      <c r="HO884" s="7"/>
      <c r="HP884" s="7"/>
      <c r="HQ884" s="7"/>
      <c r="HR884" s="7"/>
      <c r="HS884" s="7"/>
      <c r="HT884" s="7"/>
      <c r="HU884" s="7"/>
      <c r="HV884" s="7"/>
      <c r="HW884" s="7"/>
      <c r="HX884" s="7"/>
      <c r="HY884" s="7"/>
      <c r="HZ884" s="7"/>
      <c r="IA884" s="7"/>
      <c r="IB884" s="7"/>
      <c r="IC884" s="7"/>
      <c r="ID884" s="7"/>
      <c r="IE884" s="7"/>
      <c r="IF884" s="7"/>
      <c r="IG884" s="7"/>
      <c r="IH884" s="7"/>
      <c r="II884" s="7"/>
      <c r="IJ884" s="7"/>
      <c r="IK884" s="7"/>
      <c r="IL884" s="7"/>
      <c r="IM884" s="7"/>
      <c r="IN884" s="7"/>
      <c r="IO884" s="7"/>
      <c r="IP884" s="7"/>
      <c r="IQ884" s="7"/>
      <c r="IR884" s="7"/>
      <c r="IS884" s="7"/>
      <c r="IT884" s="7"/>
      <c r="IU884" s="7"/>
      <c r="IV884" s="7"/>
      <c r="IW884" s="7"/>
      <c r="IX884" s="7"/>
    </row>
    <row r="885" spans="1:258" ht="25.15" customHeight="1" x14ac:dyDescent="0.25">
      <c r="A885" s="53" t="s">
        <v>1746</v>
      </c>
      <c r="B885" s="8" t="s">
        <v>753</v>
      </c>
      <c r="C885" s="2">
        <f t="shared" si="268"/>
        <v>13289158</v>
      </c>
      <c r="D885" s="3">
        <f t="shared" si="262"/>
        <v>6403878.0000000009</v>
      </c>
      <c r="E885" s="3">
        <f>700*2463.03</f>
        <v>1724121.0000000002</v>
      </c>
      <c r="F885" s="3">
        <f>1300*2463.03</f>
        <v>3201939.0000000005</v>
      </c>
      <c r="G885" s="3">
        <f>300*2463.03</f>
        <v>738909.00000000012</v>
      </c>
      <c r="H885" s="3">
        <v>0</v>
      </c>
      <c r="I885" s="3">
        <f>300*2463.03</f>
        <v>738909.00000000012</v>
      </c>
      <c r="J885" s="3">
        <v>0</v>
      </c>
      <c r="K885" s="4">
        <v>0</v>
      </c>
      <c r="L885" s="3">
        <v>0</v>
      </c>
      <c r="M885" s="3">
        <v>0</v>
      </c>
      <c r="N885" s="3">
        <v>0</v>
      </c>
      <c r="O885" s="3">
        <v>0</v>
      </c>
      <c r="P885" s="3">
        <v>0</v>
      </c>
      <c r="Q885" s="3">
        <v>2120.4</v>
      </c>
      <c r="R885" s="3">
        <f t="shared" si="263"/>
        <v>6785280</v>
      </c>
      <c r="S885" s="3">
        <v>0</v>
      </c>
      <c r="T885" s="3">
        <v>0</v>
      </c>
      <c r="U885" s="3">
        <v>100000</v>
      </c>
      <c r="V885" s="6" t="e">
        <f t="shared" si="264"/>
        <v>#DIV/0!</v>
      </c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  <c r="IX885" s="17"/>
    </row>
    <row r="886" spans="1:258" ht="25.15" customHeight="1" x14ac:dyDescent="0.25">
      <c r="A886" s="53" t="s">
        <v>1747</v>
      </c>
      <c r="B886" s="8" t="s">
        <v>754</v>
      </c>
      <c r="C886" s="2">
        <f t="shared" si="268"/>
        <v>5736060</v>
      </c>
      <c r="D886" s="3">
        <f t="shared" si="262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4">
        <v>0</v>
      </c>
      <c r="L886" s="3">
        <v>0</v>
      </c>
      <c r="M886" s="3">
        <v>869.1</v>
      </c>
      <c r="N886" s="3">
        <f t="shared" ref="N886:N902" si="270">M886*6600</f>
        <v>5736060</v>
      </c>
      <c r="O886" s="3">
        <v>0</v>
      </c>
      <c r="P886" s="3">
        <v>0</v>
      </c>
      <c r="Q886" s="3">
        <v>0</v>
      </c>
      <c r="R886" s="3">
        <f t="shared" si="263"/>
        <v>0</v>
      </c>
      <c r="S886" s="3">
        <v>0</v>
      </c>
      <c r="T886" s="3">
        <v>0</v>
      </c>
      <c r="U886" s="3">
        <v>0</v>
      </c>
      <c r="V886" s="6">
        <f t="shared" si="264"/>
        <v>6600</v>
      </c>
    </row>
    <row r="887" spans="1:258" ht="25.15" customHeight="1" x14ac:dyDescent="0.25">
      <c r="A887" s="53" t="s">
        <v>1748</v>
      </c>
      <c r="B887" s="23" t="s">
        <v>494</v>
      </c>
      <c r="C887" s="2">
        <f>D887+L887+N887+P887+R887+S887+T887+U887</f>
        <v>8268540.0000000009</v>
      </c>
      <c r="D887" s="3">
        <f>SUM(E887:J887)</f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1161.9000000000001</v>
      </c>
      <c r="N887" s="3">
        <f>M887*6600</f>
        <v>7668540.0000000009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600000</v>
      </c>
      <c r="V887" s="6">
        <f>N887/M887</f>
        <v>6600</v>
      </c>
    </row>
    <row r="888" spans="1:258" ht="25.15" customHeight="1" x14ac:dyDescent="0.25">
      <c r="A888" s="53" t="s">
        <v>1749</v>
      </c>
      <c r="B888" s="23" t="s">
        <v>496</v>
      </c>
      <c r="C888" s="2">
        <f>D888+L888+N888+P888+R888+S888+T888+U888</f>
        <v>21127722</v>
      </c>
      <c r="D888" s="3">
        <f>SUM(E888:J888)</f>
        <v>5150262</v>
      </c>
      <c r="E888" s="3">
        <f>700*1980.87</f>
        <v>1386609</v>
      </c>
      <c r="F888" s="3">
        <f>1300*1980.87</f>
        <v>2575131</v>
      </c>
      <c r="G888" s="3">
        <f>300*1980.87</f>
        <v>594261</v>
      </c>
      <c r="H888" s="3">
        <f>500*0</f>
        <v>0</v>
      </c>
      <c r="I888" s="3">
        <f>300*1980.87</f>
        <v>594261</v>
      </c>
      <c r="J888" s="3">
        <f>350*0</f>
        <v>0</v>
      </c>
      <c r="K888" s="4">
        <v>0</v>
      </c>
      <c r="L888" s="3">
        <v>0</v>
      </c>
      <c r="M888" s="3">
        <v>1748.1</v>
      </c>
      <c r="N888" s="3">
        <f t="shared" si="270"/>
        <v>11537460</v>
      </c>
      <c r="O888" s="3">
        <v>0</v>
      </c>
      <c r="P888" s="3">
        <v>0</v>
      </c>
      <c r="Q888" s="3">
        <v>1200</v>
      </c>
      <c r="R888" s="3">
        <f>Q888*3200</f>
        <v>3840000</v>
      </c>
      <c r="S888" s="3">
        <v>0</v>
      </c>
      <c r="T888" s="3">
        <v>0</v>
      </c>
      <c r="U888" s="3">
        <v>600000</v>
      </c>
      <c r="V888" s="6">
        <f>N888/M888</f>
        <v>6600</v>
      </c>
    </row>
    <row r="889" spans="1:258" ht="25.15" customHeight="1" x14ac:dyDescent="0.25">
      <c r="A889" s="53" t="s">
        <v>1750</v>
      </c>
      <c r="B889" s="8" t="s">
        <v>390</v>
      </c>
      <c r="C889" s="2">
        <f>D889+L889+N889+P889+R889+S889+T889+U889</f>
        <v>7333600</v>
      </c>
      <c r="D889" s="3">
        <f>SUM(E889:J889)</f>
        <v>2725800</v>
      </c>
      <c r="E889" s="3">
        <f>700*908.6</f>
        <v>636020</v>
      </c>
      <c r="F889" s="3">
        <f>908.6*1300</f>
        <v>1181180</v>
      </c>
      <c r="G889" s="3">
        <f>908.6*300</f>
        <v>272580</v>
      </c>
      <c r="H889" s="3">
        <f>908.6*400</f>
        <v>363440</v>
      </c>
      <c r="I889" s="3">
        <f>908.6*300</f>
        <v>272580</v>
      </c>
      <c r="J889" s="3">
        <f>350*0</f>
        <v>0</v>
      </c>
      <c r="K889" s="4">
        <v>0</v>
      </c>
      <c r="L889" s="3">
        <v>0</v>
      </c>
      <c r="M889" s="3">
        <v>683</v>
      </c>
      <c r="N889" s="3">
        <f t="shared" si="270"/>
        <v>4507800</v>
      </c>
      <c r="O889" s="3">
        <v>0</v>
      </c>
      <c r="P889" s="3">
        <v>0</v>
      </c>
      <c r="Q889" s="3">
        <v>0</v>
      </c>
      <c r="R889" s="3">
        <f t="shared" si="263"/>
        <v>0</v>
      </c>
      <c r="S889" s="3">
        <v>0</v>
      </c>
      <c r="T889" s="3">
        <v>0</v>
      </c>
      <c r="U889" s="3">
        <v>100000</v>
      </c>
      <c r="V889" s="6">
        <f>N889/M889</f>
        <v>6600</v>
      </c>
    </row>
    <row r="890" spans="1:258" ht="25.15" customHeight="1" x14ac:dyDescent="0.25">
      <c r="A890" s="53" t="s">
        <v>1751</v>
      </c>
      <c r="B890" s="8" t="s">
        <v>755</v>
      </c>
      <c r="C890" s="2">
        <f t="shared" si="268"/>
        <v>6138000</v>
      </c>
      <c r="D890" s="3">
        <f t="shared" si="262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11">
        <v>0</v>
      </c>
      <c r="L890" s="5">
        <v>0</v>
      </c>
      <c r="M890" s="5">
        <v>930</v>
      </c>
      <c r="N890" s="3">
        <f t="shared" si="270"/>
        <v>6138000</v>
      </c>
      <c r="O890" s="5">
        <v>0</v>
      </c>
      <c r="P890" s="5">
        <v>0</v>
      </c>
      <c r="Q890" s="5">
        <v>0</v>
      </c>
      <c r="R890" s="3">
        <f t="shared" si="263"/>
        <v>0</v>
      </c>
      <c r="S890" s="5">
        <v>0</v>
      </c>
      <c r="T890" s="5">
        <v>0</v>
      </c>
      <c r="U890" s="5">
        <v>0</v>
      </c>
      <c r="V890" s="6">
        <f t="shared" si="264"/>
        <v>6600</v>
      </c>
    </row>
    <row r="891" spans="1:258" ht="25.15" customHeight="1" x14ac:dyDescent="0.25">
      <c r="A891" s="53" t="s">
        <v>1752</v>
      </c>
      <c r="B891" s="8" t="s">
        <v>572</v>
      </c>
      <c r="C891" s="2">
        <f>D891+L891+N891+P891+R891+S891+T891+U891</f>
        <v>10117908.75</v>
      </c>
      <c r="D891" s="3">
        <f>SUM(E891:J891)</f>
        <v>5621100</v>
      </c>
      <c r="E891" s="3">
        <f>700*1873.7</f>
        <v>1311590</v>
      </c>
      <c r="F891" s="3">
        <f>1300*1873.7</f>
        <v>2435810</v>
      </c>
      <c r="G891" s="3">
        <f>300*1873.7</f>
        <v>562110</v>
      </c>
      <c r="H891" s="3">
        <f>400*1873.7</f>
        <v>749480</v>
      </c>
      <c r="I891" s="3">
        <f>300*1873.7</f>
        <v>562110</v>
      </c>
      <c r="J891" s="3">
        <f>350*0</f>
        <v>0</v>
      </c>
      <c r="K891" s="11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1343</v>
      </c>
      <c r="R891" s="3">
        <f>Q891*3200</f>
        <v>4297600</v>
      </c>
      <c r="S891" s="5">
        <v>0</v>
      </c>
      <c r="T891" s="5">
        <v>0</v>
      </c>
      <c r="U891" s="5">
        <v>199208.75</v>
      </c>
      <c r="V891" s="6" t="e">
        <f>N891/M891</f>
        <v>#DIV/0!</v>
      </c>
    </row>
    <row r="892" spans="1:258" ht="25.15" customHeight="1" x14ac:dyDescent="0.25">
      <c r="A892" s="53" t="s">
        <v>1753</v>
      </c>
      <c r="B892" s="8" t="s">
        <v>382</v>
      </c>
      <c r="C892" s="2">
        <f>D892+L892+N892+P892+R892+S892+T892+U892</f>
        <v>5741186.6399999997</v>
      </c>
      <c r="D892" s="3">
        <f>SUM(E892:J892)</f>
        <v>5483700</v>
      </c>
      <c r="E892" s="3">
        <f>700*1827.9</f>
        <v>1279530</v>
      </c>
      <c r="F892" s="3">
        <f>1300*1827.9</f>
        <v>2376270</v>
      </c>
      <c r="G892" s="3">
        <f>300*1827.9</f>
        <v>548370</v>
      </c>
      <c r="H892" s="3">
        <f>400*1827.9</f>
        <v>731160</v>
      </c>
      <c r="I892" s="3">
        <f>300*1827.9</f>
        <v>548370</v>
      </c>
      <c r="J892" s="3">
        <f>350*0</f>
        <v>0</v>
      </c>
      <c r="K892" s="4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f>Q892*3000</f>
        <v>0</v>
      </c>
      <c r="S892" s="3">
        <v>0</v>
      </c>
      <c r="T892" s="3">
        <v>0</v>
      </c>
      <c r="U892" s="3">
        <v>257486.64</v>
      </c>
      <c r="V892" s="6" t="e">
        <f>N892/M892</f>
        <v>#DIV/0!</v>
      </c>
    </row>
    <row r="893" spans="1:258" ht="25.15" customHeight="1" x14ac:dyDescent="0.25">
      <c r="A893" s="53" t="s">
        <v>1754</v>
      </c>
      <c r="B893" s="8" t="s">
        <v>665</v>
      </c>
      <c r="C893" s="2">
        <f t="shared" si="268"/>
        <v>3885420.0000000005</v>
      </c>
      <c r="D893" s="3">
        <f t="shared" si="262"/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4">
        <v>0</v>
      </c>
      <c r="L893" s="3">
        <v>0</v>
      </c>
      <c r="M893" s="3">
        <v>588.70000000000005</v>
      </c>
      <c r="N893" s="3">
        <f t="shared" si="270"/>
        <v>3885420.0000000005</v>
      </c>
      <c r="O893" s="3">
        <v>0</v>
      </c>
      <c r="P893" s="3">
        <v>0</v>
      </c>
      <c r="Q893" s="3">
        <v>0</v>
      </c>
      <c r="R893" s="3">
        <f t="shared" si="263"/>
        <v>0</v>
      </c>
      <c r="S893" s="3">
        <v>0</v>
      </c>
      <c r="T893" s="5">
        <v>0</v>
      </c>
      <c r="U893" s="5">
        <v>0</v>
      </c>
      <c r="V893" s="6">
        <f t="shared" si="264"/>
        <v>6600</v>
      </c>
    </row>
    <row r="894" spans="1:258" ht="25.15" customHeight="1" x14ac:dyDescent="0.25">
      <c r="A894" s="53" t="s">
        <v>1755</v>
      </c>
      <c r="B894" s="8" t="s">
        <v>756</v>
      </c>
      <c r="C894" s="2">
        <f t="shared" si="268"/>
        <v>3885420.0000000005</v>
      </c>
      <c r="D894" s="3">
        <f t="shared" si="262"/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4">
        <v>0</v>
      </c>
      <c r="L894" s="3">
        <v>0</v>
      </c>
      <c r="M894" s="3">
        <v>588.70000000000005</v>
      </c>
      <c r="N894" s="3">
        <f t="shared" si="270"/>
        <v>3885420.0000000005</v>
      </c>
      <c r="O894" s="3">
        <v>0</v>
      </c>
      <c r="P894" s="3">
        <v>0</v>
      </c>
      <c r="Q894" s="3">
        <v>0</v>
      </c>
      <c r="R894" s="3">
        <f t="shared" si="263"/>
        <v>0</v>
      </c>
      <c r="S894" s="3">
        <v>0</v>
      </c>
      <c r="T894" s="5">
        <v>0</v>
      </c>
      <c r="U894" s="5">
        <v>0</v>
      </c>
      <c r="V894" s="6">
        <f t="shared" si="264"/>
        <v>6600</v>
      </c>
    </row>
    <row r="895" spans="1:258" ht="25.15" customHeight="1" x14ac:dyDescent="0.25">
      <c r="A895" s="53" t="s">
        <v>1756</v>
      </c>
      <c r="B895" s="8" t="s">
        <v>757</v>
      </c>
      <c r="C895" s="2">
        <f t="shared" si="268"/>
        <v>1770120</v>
      </c>
      <c r="D895" s="3">
        <f t="shared" si="262"/>
        <v>0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11">
        <v>0</v>
      </c>
      <c r="L895" s="5">
        <v>0</v>
      </c>
      <c r="M895" s="5">
        <v>268.2</v>
      </c>
      <c r="N895" s="3">
        <f t="shared" si="270"/>
        <v>1770120</v>
      </c>
      <c r="O895" s="5">
        <v>0</v>
      </c>
      <c r="P895" s="5">
        <v>0</v>
      </c>
      <c r="Q895" s="5">
        <v>0</v>
      </c>
      <c r="R895" s="3">
        <f t="shared" si="263"/>
        <v>0</v>
      </c>
      <c r="S895" s="5">
        <v>0</v>
      </c>
      <c r="T895" s="5">
        <v>0</v>
      </c>
      <c r="U895" s="5">
        <v>0</v>
      </c>
      <c r="V895" s="6">
        <f t="shared" si="264"/>
        <v>6600</v>
      </c>
    </row>
    <row r="896" spans="1:258" ht="25.15" customHeight="1" x14ac:dyDescent="0.25">
      <c r="A896" s="53" t="s">
        <v>1757</v>
      </c>
      <c r="B896" s="8" t="s">
        <v>666</v>
      </c>
      <c r="C896" s="2">
        <f t="shared" si="268"/>
        <v>300000</v>
      </c>
      <c r="D896" s="3">
        <f t="shared" si="262"/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11">
        <v>0</v>
      </c>
      <c r="L896" s="5">
        <v>0</v>
      </c>
      <c r="M896" s="3">
        <v>0</v>
      </c>
      <c r="N896" s="3">
        <f t="shared" si="270"/>
        <v>0</v>
      </c>
      <c r="O896" s="5">
        <v>0</v>
      </c>
      <c r="P896" s="5">
        <v>0</v>
      </c>
      <c r="Q896" s="5">
        <v>0</v>
      </c>
      <c r="R896" s="3">
        <f t="shared" si="263"/>
        <v>0</v>
      </c>
      <c r="S896" s="5">
        <v>0</v>
      </c>
      <c r="T896" s="5">
        <v>0</v>
      </c>
      <c r="U896" s="5">
        <v>300000</v>
      </c>
      <c r="V896" s="6" t="e">
        <f t="shared" si="264"/>
        <v>#DIV/0!</v>
      </c>
    </row>
    <row r="897" spans="1:258" ht="25.15" customHeight="1" x14ac:dyDescent="0.25">
      <c r="A897" s="53" t="s">
        <v>1758</v>
      </c>
      <c r="B897" s="8" t="s">
        <v>840</v>
      </c>
      <c r="C897" s="2">
        <f t="shared" si="268"/>
        <v>300000</v>
      </c>
      <c r="D897" s="3">
        <f t="shared" si="262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11">
        <v>0</v>
      </c>
      <c r="L897" s="5">
        <v>0</v>
      </c>
      <c r="M897" s="3">
        <v>0</v>
      </c>
      <c r="N897" s="3">
        <f t="shared" si="270"/>
        <v>0</v>
      </c>
      <c r="O897" s="5">
        <v>0</v>
      </c>
      <c r="P897" s="5">
        <v>0</v>
      </c>
      <c r="Q897" s="5">
        <v>0</v>
      </c>
      <c r="R897" s="3">
        <f t="shared" si="263"/>
        <v>0</v>
      </c>
      <c r="S897" s="5">
        <v>0</v>
      </c>
      <c r="T897" s="5">
        <v>0</v>
      </c>
      <c r="U897" s="5">
        <v>300000</v>
      </c>
      <c r="V897" s="6" t="e">
        <f t="shared" si="264"/>
        <v>#DIV/0!</v>
      </c>
    </row>
    <row r="898" spans="1:258" ht="25.15" customHeight="1" x14ac:dyDescent="0.25">
      <c r="A898" s="53" t="s">
        <v>1759</v>
      </c>
      <c r="B898" s="8" t="s">
        <v>758</v>
      </c>
      <c r="C898" s="2">
        <f t="shared" si="268"/>
        <v>2293500</v>
      </c>
      <c r="D898" s="3">
        <f t="shared" si="262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4">
        <v>0</v>
      </c>
      <c r="L898" s="3">
        <v>0</v>
      </c>
      <c r="M898" s="3">
        <v>347.5</v>
      </c>
      <c r="N898" s="3">
        <f t="shared" si="270"/>
        <v>2293500</v>
      </c>
      <c r="O898" s="5">
        <v>0</v>
      </c>
      <c r="P898" s="5">
        <v>0</v>
      </c>
      <c r="Q898" s="5">
        <v>0</v>
      </c>
      <c r="R898" s="3">
        <f t="shared" si="263"/>
        <v>0</v>
      </c>
      <c r="S898" s="5">
        <v>0</v>
      </c>
      <c r="T898" s="5">
        <v>0</v>
      </c>
      <c r="U898" s="5">
        <v>0</v>
      </c>
      <c r="V898" s="6">
        <f t="shared" si="264"/>
        <v>6600</v>
      </c>
    </row>
    <row r="899" spans="1:258" ht="25.15" customHeight="1" x14ac:dyDescent="0.25">
      <c r="A899" s="53" t="s">
        <v>1760</v>
      </c>
      <c r="B899" s="8" t="s">
        <v>759</v>
      </c>
      <c r="C899" s="2">
        <f t="shared" si="268"/>
        <v>1800480</v>
      </c>
      <c r="D899" s="3">
        <f t="shared" si="262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5">
        <v>272.8</v>
      </c>
      <c r="N899" s="3">
        <f t="shared" si="270"/>
        <v>1800480</v>
      </c>
      <c r="O899" s="5">
        <v>0</v>
      </c>
      <c r="P899" s="5">
        <v>0</v>
      </c>
      <c r="Q899" s="5">
        <v>0</v>
      </c>
      <c r="R899" s="3">
        <f t="shared" si="263"/>
        <v>0</v>
      </c>
      <c r="S899" s="5">
        <v>0</v>
      </c>
      <c r="T899" s="5">
        <v>0</v>
      </c>
      <c r="U899" s="5">
        <v>0</v>
      </c>
      <c r="V899" s="6">
        <f t="shared" si="264"/>
        <v>6600</v>
      </c>
    </row>
    <row r="900" spans="1:258" s="6" customFormat="1" ht="25.15" customHeight="1" x14ac:dyDescent="0.25">
      <c r="A900" s="53" t="s">
        <v>1761</v>
      </c>
      <c r="B900" s="8" t="s">
        <v>667</v>
      </c>
      <c r="C900" s="2">
        <f t="shared" si="268"/>
        <v>1800480</v>
      </c>
      <c r="D900" s="3">
        <f t="shared" si="262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4">
        <v>0</v>
      </c>
      <c r="L900" s="3">
        <v>0</v>
      </c>
      <c r="M900" s="3">
        <v>272.8</v>
      </c>
      <c r="N900" s="3">
        <f t="shared" si="270"/>
        <v>1800480</v>
      </c>
      <c r="O900" s="5">
        <v>0</v>
      </c>
      <c r="P900" s="5">
        <v>0</v>
      </c>
      <c r="Q900" s="5">
        <v>0</v>
      </c>
      <c r="R900" s="3">
        <f t="shared" si="263"/>
        <v>0</v>
      </c>
      <c r="S900" s="5">
        <v>0</v>
      </c>
      <c r="T900" s="5">
        <v>0</v>
      </c>
      <c r="U900" s="5">
        <v>0</v>
      </c>
      <c r="V900" s="6">
        <f t="shared" si="264"/>
        <v>6600</v>
      </c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7"/>
      <c r="DZ900" s="7"/>
      <c r="EA900" s="7"/>
      <c r="EB900" s="7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  <c r="GI900" s="7"/>
      <c r="GJ900" s="7"/>
      <c r="GK900" s="7"/>
      <c r="GL900" s="7"/>
      <c r="GM900" s="7"/>
      <c r="GN900" s="7"/>
      <c r="GO900" s="7"/>
      <c r="GP900" s="7"/>
      <c r="GQ900" s="7"/>
      <c r="GR900" s="7"/>
      <c r="GS900" s="7"/>
      <c r="GT900" s="7"/>
      <c r="GU900" s="7"/>
      <c r="GV900" s="7"/>
      <c r="GW900" s="7"/>
      <c r="GX900" s="7"/>
      <c r="GY900" s="7"/>
      <c r="GZ900" s="7"/>
      <c r="HA900" s="7"/>
      <c r="HB900" s="7"/>
      <c r="HC900" s="7"/>
      <c r="HD900" s="7"/>
      <c r="HE900" s="7"/>
      <c r="HF900" s="7"/>
      <c r="HG900" s="7"/>
      <c r="HH900" s="7"/>
      <c r="HI900" s="7"/>
      <c r="HJ900" s="7"/>
      <c r="HK900" s="7"/>
      <c r="HL900" s="7"/>
      <c r="HM900" s="7"/>
      <c r="HN900" s="7"/>
      <c r="HO900" s="7"/>
      <c r="HP900" s="7"/>
      <c r="HQ900" s="7"/>
      <c r="HR900" s="7"/>
      <c r="HS900" s="7"/>
      <c r="HT900" s="7"/>
      <c r="HU900" s="7"/>
      <c r="HV900" s="7"/>
      <c r="HW900" s="7"/>
      <c r="HX900" s="7"/>
      <c r="HY900" s="7"/>
      <c r="HZ900" s="7"/>
      <c r="IA900" s="7"/>
      <c r="IB900" s="7"/>
      <c r="IC900" s="7"/>
      <c r="ID900" s="7"/>
      <c r="IE900" s="7"/>
      <c r="IF900" s="7"/>
      <c r="IG900" s="7"/>
      <c r="IH900" s="7"/>
      <c r="II900" s="7"/>
      <c r="IJ900" s="7"/>
      <c r="IK900" s="7"/>
      <c r="IL900" s="7"/>
      <c r="IM900" s="7"/>
      <c r="IN900" s="7"/>
      <c r="IO900" s="7"/>
      <c r="IP900" s="7"/>
      <c r="IQ900" s="7"/>
      <c r="IR900" s="7"/>
      <c r="IS900" s="7"/>
      <c r="IT900" s="7"/>
      <c r="IU900" s="7"/>
      <c r="IV900" s="7"/>
      <c r="IW900" s="7"/>
      <c r="IX900" s="7"/>
    </row>
    <row r="901" spans="1:258" ht="25.15" customHeight="1" x14ac:dyDescent="0.25">
      <c r="A901" s="53" t="s">
        <v>1762</v>
      </c>
      <c r="B901" s="8" t="s">
        <v>669</v>
      </c>
      <c r="C901" s="2">
        <f t="shared" si="268"/>
        <v>1779360.0000000002</v>
      </c>
      <c r="D901" s="3">
        <f t="shared" si="262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4">
        <v>0</v>
      </c>
      <c r="L901" s="3">
        <v>0</v>
      </c>
      <c r="M901" s="5">
        <v>269.60000000000002</v>
      </c>
      <c r="N901" s="3">
        <f t="shared" si="270"/>
        <v>1779360.0000000002</v>
      </c>
      <c r="O901" s="3">
        <v>0</v>
      </c>
      <c r="P901" s="3">
        <v>0</v>
      </c>
      <c r="Q901" s="3">
        <v>0</v>
      </c>
      <c r="R901" s="3">
        <f t="shared" si="263"/>
        <v>0</v>
      </c>
      <c r="S901" s="3">
        <v>0</v>
      </c>
      <c r="T901" s="5">
        <v>0</v>
      </c>
      <c r="U901" s="3">
        <v>0</v>
      </c>
      <c r="V901" s="6">
        <f t="shared" si="264"/>
        <v>6600</v>
      </c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  <c r="EE901" s="6"/>
      <c r="EF901" s="6"/>
      <c r="EG901" s="6"/>
      <c r="EH901" s="6"/>
      <c r="EI901" s="6"/>
      <c r="EJ901" s="6"/>
      <c r="EK901" s="6"/>
      <c r="EL901" s="6"/>
      <c r="EM901" s="6"/>
      <c r="EN901" s="6"/>
      <c r="EO901" s="6"/>
      <c r="EP901" s="6"/>
      <c r="EQ901" s="6"/>
      <c r="ER901" s="6"/>
      <c r="ES901" s="6"/>
      <c r="ET901" s="6"/>
      <c r="EU901" s="6"/>
      <c r="EV901" s="6"/>
      <c r="EW901" s="6"/>
      <c r="EX901" s="6"/>
      <c r="EY901" s="6"/>
      <c r="EZ901" s="6"/>
      <c r="FA901" s="6"/>
      <c r="FB901" s="6"/>
      <c r="FC901" s="6"/>
      <c r="FD901" s="6"/>
      <c r="FE901" s="6"/>
      <c r="FF901" s="6"/>
      <c r="FG901" s="6"/>
      <c r="FH901" s="6"/>
      <c r="FI901" s="6"/>
      <c r="FJ901" s="6"/>
      <c r="FK901" s="6"/>
      <c r="FL901" s="6"/>
      <c r="FM901" s="6"/>
      <c r="FN901" s="6"/>
      <c r="FO901" s="6"/>
      <c r="FP901" s="6"/>
      <c r="FQ901" s="6"/>
      <c r="FR901" s="6"/>
      <c r="FS901" s="6"/>
      <c r="FT901" s="6"/>
      <c r="FU901" s="6"/>
      <c r="FV901" s="6"/>
      <c r="FW901" s="6"/>
      <c r="FX901" s="6"/>
      <c r="FY901" s="6"/>
      <c r="FZ901" s="6"/>
      <c r="GA901" s="6"/>
      <c r="GB901" s="6"/>
      <c r="GC901" s="6"/>
      <c r="GD901" s="6"/>
      <c r="GE901" s="6"/>
      <c r="GF901" s="6"/>
      <c r="GG901" s="6"/>
      <c r="GH901" s="6"/>
      <c r="GI901" s="6"/>
      <c r="GJ901" s="6"/>
      <c r="GK901" s="6"/>
      <c r="GL901" s="6"/>
      <c r="GM901" s="6"/>
      <c r="GN901" s="6"/>
      <c r="GO901" s="6"/>
      <c r="GP901" s="6"/>
      <c r="GQ901" s="6"/>
      <c r="GR901" s="6"/>
      <c r="GS901" s="6"/>
      <c r="GT901" s="6"/>
      <c r="GU901" s="6"/>
      <c r="GV901" s="6"/>
      <c r="GW901" s="6"/>
      <c r="GX901" s="6"/>
      <c r="GY901" s="6"/>
      <c r="GZ901" s="6"/>
      <c r="HA901" s="6"/>
      <c r="HB901" s="6"/>
      <c r="HC901" s="6"/>
      <c r="HD901" s="6"/>
      <c r="HE901" s="6"/>
      <c r="HF901" s="6"/>
      <c r="HG901" s="6"/>
      <c r="HH901" s="6"/>
      <c r="HI901" s="6"/>
      <c r="HJ901" s="6"/>
      <c r="HK901" s="6"/>
      <c r="HL901" s="6"/>
      <c r="HM901" s="6"/>
      <c r="HN901" s="6"/>
      <c r="HO901" s="6"/>
      <c r="HP901" s="6"/>
      <c r="HQ901" s="6"/>
      <c r="HR901" s="6"/>
      <c r="HS901" s="6"/>
      <c r="HT901" s="6"/>
      <c r="HU901" s="6"/>
      <c r="HV901" s="6"/>
      <c r="HW901" s="6"/>
      <c r="HX901" s="6"/>
      <c r="HY901" s="6"/>
      <c r="HZ901" s="6"/>
      <c r="IA901" s="6"/>
      <c r="IB901" s="6"/>
      <c r="IC901" s="6"/>
      <c r="ID901" s="6"/>
      <c r="IE901" s="6"/>
      <c r="IF901" s="6"/>
      <c r="IG901" s="6"/>
      <c r="IH901" s="6"/>
      <c r="II901" s="6"/>
      <c r="IJ901" s="6"/>
      <c r="IK901" s="6"/>
      <c r="IL901" s="6"/>
      <c r="IM901" s="6"/>
      <c r="IN901" s="6"/>
      <c r="IO901" s="6"/>
      <c r="IP901" s="6"/>
      <c r="IQ901" s="6"/>
      <c r="IR901" s="6"/>
      <c r="IS901" s="6"/>
      <c r="IT901" s="6"/>
      <c r="IU901" s="6"/>
      <c r="IV901" s="6"/>
      <c r="IW901" s="6"/>
      <c r="IX901" s="6"/>
    </row>
    <row r="902" spans="1:258" ht="25.15" customHeight="1" x14ac:dyDescent="0.25">
      <c r="A902" s="53" t="s">
        <v>1763</v>
      </c>
      <c r="B902" s="8" t="s">
        <v>760</v>
      </c>
      <c r="C902" s="2">
        <f t="shared" si="268"/>
        <v>1861200</v>
      </c>
      <c r="D902" s="3">
        <f t="shared" si="262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4">
        <v>0</v>
      </c>
      <c r="L902" s="3">
        <v>0</v>
      </c>
      <c r="M902" s="5">
        <v>282</v>
      </c>
      <c r="N902" s="3">
        <f t="shared" si="270"/>
        <v>1861200</v>
      </c>
      <c r="O902" s="3">
        <v>0</v>
      </c>
      <c r="P902" s="3">
        <v>0</v>
      </c>
      <c r="Q902" s="3">
        <v>0</v>
      </c>
      <c r="R902" s="3">
        <f t="shared" si="263"/>
        <v>0</v>
      </c>
      <c r="S902" s="3">
        <v>0</v>
      </c>
      <c r="T902" s="5">
        <v>0</v>
      </c>
      <c r="U902" s="3">
        <v>0</v>
      </c>
      <c r="V902" s="6">
        <f t="shared" si="264"/>
        <v>6600</v>
      </c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  <c r="BL902" s="26"/>
      <c r="BM902" s="26"/>
      <c r="BN902" s="26"/>
      <c r="BO902" s="26"/>
      <c r="BP902" s="26"/>
      <c r="BQ902" s="26"/>
      <c r="BR902" s="26"/>
      <c r="BS902" s="26"/>
      <c r="BT902" s="26"/>
      <c r="BU902" s="26"/>
      <c r="BV902" s="26"/>
      <c r="BW902" s="26"/>
      <c r="BX902" s="26"/>
      <c r="BY902" s="26"/>
      <c r="BZ902" s="26"/>
      <c r="CA902" s="26"/>
      <c r="CB902" s="26"/>
      <c r="CC902" s="26"/>
      <c r="CD902" s="26"/>
      <c r="CE902" s="26"/>
      <c r="CF902" s="26"/>
      <c r="CG902" s="26"/>
      <c r="CH902" s="26"/>
      <c r="CI902" s="26"/>
      <c r="CJ902" s="26"/>
      <c r="CK902" s="26"/>
      <c r="CL902" s="26"/>
      <c r="CM902" s="26"/>
      <c r="CN902" s="26"/>
      <c r="CO902" s="26"/>
      <c r="CP902" s="26"/>
      <c r="CQ902" s="26"/>
      <c r="CR902" s="26"/>
      <c r="CS902" s="26"/>
      <c r="CT902" s="26"/>
      <c r="CU902" s="26"/>
      <c r="CV902" s="26"/>
      <c r="CW902" s="26"/>
      <c r="CX902" s="26"/>
      <c r="CY902" s="26"/>
      <c r="CZ902" s="26"/>
      <c r="DA902" s="26"/>
      <c r="DB902" s="26"/>
      <c r="DC902" s="26"/>
      <c r="DD902" s="26"/>
      <c r="DE902" s="26"/>
      <c r="DF902" s="26"/>
      <c r="DG902" s="26"/>
      <c r="DH902" s="26"/>
      <c r="DI902" s="26"/>
      <c r="DJ902" s="26"/>
      <c r="DK902" s="26"/>
      <c r="DL902" s="26"/>
      <c r="DM902" s="26"/>
      <c r="DN902" s="26"/>
      <c r="DO902" s="26"/>
      <c r="DP902" s="26"/>
      <c r="DQ902" s="26"/>
      <c r="DR902" s="26"/>
      <c r="DS902" s="26"/>
      <c r="DT902" s="26"/>
      <c r="DU902" s="26"/>
      <c r="DV902" s="26"/>
      <c r="DW902" s="26"/>
      <c r="DX902" s="26"/>
      <c r="DY902" s="26"/>
      <c r="DZ902" s="26"/>
      <c r="EA902" s="26"/>
      <c r="EB902" s="26"/>
      <c r="EC902" s="26"/>
      <c r="ED902" s="26"/>
      <c r="EE902" s="26"/>
      <c r="EF902" s="26"/>
      <c r="EG902" s="26"/>
      <c r="EH902" s="26"/>
      <c r="EI902" s="26"/>
      <c r="EJ902" s="26"/>
      <c r="EK902" s="26"/>
      <c r="EL902" s="26"/>
      <c r="EM902" s="26"/>
      <c r="EN902" s="26"/>
      <c r="EO902" s="26"/>
      <c r="EP902" s="26"/>
      <c r="EQ902" s="26"/>
      <c r="ER902" s="26"/>
      <c r="ES902" s="26"/>
      <c r="ET902" s="26"/>
      <c r="EU902" s="26"/>
      <c r="EV902" s="26"/>
      <c r="EW902" s="26"/>
      <c r="EX902" s="26"/>
      <c r="EY902" s="26"/>
      <c r="EZ902" s="26"/>
      <c r="FA902" s="26"/>
      <c r="FB902" s="26"/>
      <c r="FC902" s="26"/>
      <c r="FD902" s="26"/>
      <c r="FE902" s="26"/>
      <c r="FF902" s="26"/>
      <c r="FG902" s="26"/>
      <c r="FH902" s="26"/>
      <c r="FI902" s="26"/>
      <c r="FJ902" s="26"/>
      <c r="FK902" s="26"/>
      <c r="FL902" s="26"/>
      <c r="FM902" s="26"/>
      <c r="FN902" s="26"/>
      <c r="FO902" s="26"/>
      <c r="FP902" s="26"/>
      <c r="FQ902" s="26"/>
      <c r="FR902" s="26"/>
      <c r="FS902" s="26"/>
      <c r="FT902" s="26"/>
      <c r="FU902" s="26"/>
      <c r="FV902" s="26"/>
      <c r="FW902" s="26"/>
      <c r="FX902" s="26"/>
      <c r="FY902" s="26"/>
      <c r="FZ902" s="26"/>
      <c r="GA902" s="26"/>
      <c r="GB902" s="26"/>
      <c r="GC902" s="26"/>
      <c r="GD902" s="26"/>
      <c r="GE902" s="26"/>
      <c r="GF902" s="26"/>
      <c r="GG902" s="26"/>
      <c r="GH902" s="26"/>
      <c r="GI902" s="26"/>
      <c r="GJ902" s="26"/>
      <c r="GK902" s="26"/>
      <c r="GL902" s="26"/>
      <c r="GM902" s="26"/>
      <c r="GN902" s="26"/>
      <c r="GO902" s="26"/>
      <c r="GP902" s="26"/>
      <c r="GQ902" s="26"/>
      <c r="GR902" s="26"/>
      <c r="GS902" s="26"/>
      <c r="GT902" s="26"/>
      <c r="GU902" s="26"/>
      <c r="GV902" s="26"/>
      <c r="GW902" s="26"/>
      <c r="GX902" s="26"/>
      <c r="GY902" s="26"/>
      <c r="GZ902" s="26"/>
      <c r="HA902" s="26"/>
      <c r="HB902" s="26"/>
      <c r="HC902" s="26"/>
      <c r="HD902" s="26"/>
      <c r="HE902" s="26"/>
      <c r="HF902" s="26"/>
      <c r="HG902" s="26"/>
      <c r="HH902" s="26"/>
      <c r="HI902" s="26"/>
      <c r="HJ902" s="26"/>
      <c r="HK902" s="26"/>
      <c r="HL902" s="26"/>
      <c r="HM902" s="26"/>
      <c r="HN902" s="26"/>
      <c r="HO902" s="26"/>
      <c r="HP902" s="26"/>
      <c r="HQ902" s="26"/>
      <c r="HR902" s="26"/>
      <c r="HS902" s="26"/>
      <c r="HT902" s="26"/>
      <c r="HU902" s="26"/>
      <c r="HV902" s="26"/>
      <c r="HW902" s="26"/>
      <c r="HX902" s="26"/>
      <c r="HY902" s="26"/>
      <c r="HZ902" s="26"/>
      <c r="IA902" s="26"/>
      <c r="IB902" s="26"/>
      <c r="IC902" s="26"/>
      <c r="ID902" s="26"/>
      <c r="IE902" s="26"/>
      <c r="IF902" s="26"/>
      <c r="IG902" s="26"/>
      <c r="IH902" s="26"/>
      <c r="II902" s="26"/>
      <c r="IJ902" s="26"/>
      <c r="IK902" s="26"/>
      <c r="IL902" s="26"/>
      <c r="IM902" s="26"/>
      <c r="IN902" s="26"/>
      <c r="IO902" s="26"/>
      <c r="IP902" s="26"/>
      <c r="IQ902" s="26"/>
      <c r="IR902" s="26"/>
      <c r="IS902" s="26"/>
      <c r="IT902" s="26"/>
      <c r="IU902" s="26"/>
      <c r="IV902" s="26"/>
      <c r="IW902" s="26"/>
      <c r="IX902" s="26"/>
    </row>
    <row r="903" spans="1:258" ht="25.15" customHeight="1" x14ac:dyDescent="0.25">
      <c r="A903" s="53" t="s">
        <v>1764</v>
      </c>
      <c r="B903" s="23" t="s">
        <v>578</v>
      </c>
      <c r="C903" s="2">
        <f>D903+L903+N903+P903+R903+S903+T903+U903</f>
        <v>2336500</v>
      </c>
      <c r="D903" s="3">
        <f>SUM(E903:J903)</f>
        <v>2236500</v>
      </c>
      <c r="E903" s="3">
        <f>700*745.5</f>
        <v>521850</v>
      </c>
      <c r="F903" s="3">
        <f>1300*745.5</f>
        <v>969150</v>
      </c>
      <c r="G903" s="3">
        <f>300*745.5</f>
        <v>223650</v>
      </c>
      <c r="H903" s="3">
        <f>400*745.5</f>
        <v>298200</v>
      </c>
      <c r="I903" s="3">
        <f>300*745.5</f>
        <v>223650</v>
      </c>
      <c r="J903" s="3">
        <f>350*0</f>
        <v>0</v>
      </c>
      <c r="K903" s="11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3">
        <f t="shared" si="263"/>
        <v>0</v>
      </c>
      <c r="S903" s="5">
        <v>0</v>
      </c>
      <c r="T903" s="5">
        <v>0</v>
      </c>
      <c r="U903" s="5">
        <v>100000</v>
      </c>
      <c r="V903" s="6" t="e">
        <f>N903/M903</f>
        <v>#DIV/0!</v>
      </c>
      <c r="W903" s="7" t="s">
        <v>1009</v>
      </c>
    </row>
    <row r="904" spans="1:258" ht="25.15" customHeight="1" x14ac:dyDescent="0.25">
      <c r="A904" s="53" t="s">
        <v>1765</v>
      </c>
      <c r="B904" s="23" t="s">
        <v>576</v>
      </c>
      <c r="C904" s="2">
        <f>D904+L904+N904+P904+R904+S904+T904+U904</f>
        <v>8251730.7400000002</v>
      </c>
      <c r="D904" s="3">
        <f>SUM(E904:J904)</f>
        <v>8026200</v>
      </c>
      <c r="E904" s="3">
        <f>700*3087</f>
        <v>2160900</v>
      </c>
      <c r="F904" s="3">
        <f>1300*3087</f>
        <v>4013100</v>
      </c>
      <c r="G904" s="3">
        <f>300*3087</f>
        <v>926100</v>
      </c>
      <c r="H904" s="3">
        <v>0</v>
      </c>
      <c r="I904" s="3">
        <f>300*3087</f>
        <v>926100</v>
      </c>
      <c r="J904" s="3">
        <f>350*0</f>
        <v>0</v>
      </c>
      <c r="K904" s="11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3">
        <f>Q904*3000</f>
        <v>0</v>
      </c>
      <c r="S904" s="5">
        <v>0</v>
      </c>
      <c r="T904" s="5">
        <v>0</v>
      </c>
      <c r="U904" s="5">
        <v>225530.74</v>
      </c>
      <c r="V904" s="6" t="e">
        <f>N904/M904</f>
        <v>#DIV/0!</v>
      </c>
    </row>
    <row r="905" spans="1:258" ht="25.15" customHeight="1" x14ac:dyDescent="0.25">
      <c r="A905" s="53" t="s">
        <v>1766</v>
      </c>
      <c r="B905" s="8" t="s">
        <v>577</v>
      </c>
      <c r="C905" s="2">
        <f>D905+L905+N905+P905+R905+S905+T905+U905</f>
        <v>3431030.7600000007</v>
      </c>
      <c r="D905" s="3">
        <f>SUM(E905:J905)</f>
        <v>3261440.0000000005</v>
      </c>
      <c r="E905" s="3">
        <f>700*1254.4</f>
        <v>878080.00000000012</v>
      </c>
      <c r="F905" s="3">
        <f>1300*1254.4</f>
        <v>1630720.0000000002</v>
      </c>
      <c r="G905" s="3">
        <f>300*1254.4</f>
        <v>376320</v>
      </c>
      <c r="H905" s="3">
        <v>0</v>
      </c>
      <c r="I905" s="3">
        <f>300*1254.4</f>
        <v>376320</v>
      </c>
      <c r="J905" s="3">
        <f>350*0</f>
        <v>0</v>
      </c>
      <c r="K905" s="11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3">
        <f>Q905*3000</f>
        <v>0</v>
      </c>
      <c r="S905" s="5">
        <v>0</v>
      </c>
      <c r="T905" s="5">
        <v>0</v>
      </c>
      <c r="U905" s="5">
        <v>169590.76</v>
      </c>
      <c r="V905" s="6" t="e">
        <f>N905/M905</f>
        <v>#DIV/0!</v>
      </c>
    </row>
    <row r="906" spans="1:258" ht="25.15" customHeight="1" x14ac:dyDescent="0.25">
      <c r="A906" s="53" t="s">
        <v>1767</v>
      </c>
      <c r="B906" s="8" t="s">
        <v>381</v>
      </c>
      <c r="C906" s="2">
        <f>D906+L906+N906+P906+R906+S906+T906+U906</f>
        <v>10458306.5</v>
      </c>
      <c r="D906" s="3">
        <f>SUM(E906:J906)</f>
        <v>10258306.5</v>
      </c>
      <c r="E906" s="3">
        <f>350*5260.67</f>
        <v>1841234.5</v>
      </c>
      <c r="F906" s="3">
        <f>1050*5260.67</f>
        <v>5523703.5</v>
      </c>
      <c r="G906" s="3">
        <f>300*5260.67</f>
        <v>1578201</v>
      </c>
      <c r="H906" s="3">
        <v>0</v>
      </c>
      <c r="I906" s="3">
        <f>250*5260.67</f>
        <v>1315167.5</v>
      </c>
      <c r="J906" s="3">
        <f>350*0</f>
        <v>0</v>
      </c>
      <c r="K906" s="4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200000</v>
      </c>
      <c r="V906" s="6" t="e">
        <f>N906/M906</f>
        <v>#DIV/0!</v>
      </c>
    </row>
    <row r="907" spans="1:258" ht="25.15" customHeight="1" x14ac:dyDescent="0.25">
      <c r="A907" s="53" t="s">
        <v>1768</v>
      </c>
      <c r="B907" s="8" t="s">
        <v>670</v>
      </c>
      <c r="C907" s="2">
        <f t="shared" si="268"/>
        <v>8651449.9700000007</v>
      </c>
      <c r="D907" s="3">
        <f t="shared" si="262"/>
        <v>2047200</v>
      </c>
      <c r="E907" s="3">
        <f>700*682.4</f>
        <v>477680</v>
      </c>
      <c r="F907" s="3">
        <f>1300*682.4</f>
        <v>887120</v>
      </c>
      <c r="G907" s="3">
        <f>300*682.4</f>
        <v>204720</v>
      </c>
      <c r="H907" s="3">
        <f>400*682.4</f>
        <v>272960</v>
      </c>
      <c r="I907" s="3">
        <f>300*682.4</f>
        <v>204720</v>
      </c>
      <c r="J907" s="3">
        <v>0</v>
      </c>
      <c r="K907" s="4">
        <v>0</v>
      </c>
      <c r="L907" s="3">
        <v>0</v>
      </c>
      <c r="M907" s="3">
        <v>540.70000000000005</v>
      </c>
      <c r="N907" s="3">
        <f t="shared" ref="N907:N917" si="271">M907*6600</f>
        <v>3568620.0000000005</v>
      </c>
      <c r="O907" s="3">
        <v>0</v>
      </c>
      <c r="P907" s="3">
        <v>0</v>
      </c>
      <c r="Q907" s="3">
        <v>910.8</v>
      </c>
      <c r="R907" s="3">
        <f t="shared" si="263"/>
        <v>2914560</v>
      </c>
      <c r="S907" s="3">
        <v>0</v>
      </c>
      <c r="T907" s="5">
        <v>0</v>
      </c>
      <c r="U907" s="3">
        <v>121069.97</v>
      </c>
      <c r="V907" s="6">
        <f t="shared" si="264"/>
        <v>6600</v>
      </c>
    </row>
    <row r="908" spans="1:258" ht="25.15" customHeight="1" x14ac:dyDescent="0.25">
      <c r="A908" s="53" t="s">
        <v>1769</v>
      </c>
      <c r="B908" s="8" t="s">
        <v>671</v>
      </c>
      <c r="C908" s="2">
        <f t="shared" si="268"/>
        <v>300000</v>
      </c>
      <c r="D908" s="3">
        <f t="shared" si="262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5">
        <v>0</v>
      </c>
      <c r="N908" s="3">
        <f t="shared" si="271"/>
        <v>0</v>
      </c>
      <c r="O908" s="3">
        <v>0</v>
      </c>
      <c r="P908" s="3">
        <v>0</v>
      </c>
      <c r="Q908" s="3">
        <v>0</v>
      </c>
      <c r="R908" s="3">
        <f t="shared" si="263"/>
        <v>0</v>
      </c>
      <c r="S908" s="3">
        <v>0</v>
      </c>
      <c r="T908" s="5">
        <v>0</v>
      </c>
      <c r="U908" s="3">
        <v>300000</v>
      </c>
      <c r="V908" s="6" t="e">
        <f t="shared" si="264"/>
        <v>#DIV/0!</v>
      </c>
    </row>
    <row r="909" spans="1:258" ht="25.9" customHeight="1" x14ac:dyDescent="0.25">
      <c r="A909" s="53" t="s">
        <v>1770</v>
      </c>
      <c r="B909" s="23" t="s">
        <v>1223</v>
      </c>
      <c r="C909" s="2">
        <f t="shared" ref="C909" si="272">D909+L909+N909+P909+R909+S909+T909+U909</f>
        <v>300000</v>
      </c>
      <c r="D909" s="3">
        <f>SUM(E909:J909)</f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300000</v>
      </c>
      <c r="V909" s="6" t="e">
        <f>N909/M909</f>
        <v>#DIV/0!</v>
      </c>
    </row>
    <row r="910" spans="1:258" ht="25.15" customHeight="1" x14ac:dyDescent="0.25">
      <c r="A910" s="53" t="s">
        <v>1771</v>
      </c>
      <c r="B910" s="23" t="s">
        <v>501</v>
      </c>
      <c r="C910" s="2">
        <f t="shared" si="268"/>
        <v>3332340</v>
      </c>
      <c r="D910" s="3">
        <f>SUM(E910:J910)</f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11">
        <v>0</v>
      </c>
      <c r="L910" s="5">
        <v>0</v>
      </c>
      <c r="M910" s="5">
        <v>504.9</v>
      </c>
      <c r="N910" s="3">
        <f t="shared" si="271"/>
        <v>3332340</v>
      </c>
      <c r="O910" s="5">
        <v>0</v>
      </c>
      <c r="P910" s="5">
        <v>0</v>
      </c>
      <c r="Q910" s="5">
        <v>0</v>
      </c>
      <c r="R910" s="3">
        <f t="shared" si="263"/>
        <v>0</v>
      </c>
      <c r="S910" s="5">
        <v>0</v>
      </c>
      <c r="T910" s="5">
        <v>0</v>
      </c>
      <c r="U910" s="5">
        <v>0</v>
      </c>
      <c r="V910" s="6">
        <f t="shared" si="264"/>
        <v>6600</v>
      </c>
    </row>
    <row r="911" spans="1:258" ht="25.15" customHeight="1" x14ac:dyDescent="0.25">
      <c r="A911" s="53" t="s">
        <v>1772</v>
      </c>
      <c r="B911" s="23" t="s">
        <v>672</v>
      </c>
      <c r="C911" s="2">
        <f t="shared" si="268"/>
        <v>1893539.9999999998</v>
      </c>
      <c r="D911" s="3">
        <f t="shared" si="262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286.89999999999998</v>
      </c>
      <c r="N911" s="3">
        <f t="shared" si="271"/>
        <v>1893539.9999999998</v>
      </c>
      <c r="O911" s="3">
        <v>0</v>
      </c>
      <c r="P911" s="3">
        <v>0</v>
      </c>
      <c r="Q911" s="3">
        <v>0</v>
      </c>
      <c r="R911" s="3">
        <f t="shared" si="263"/>
        <v>0</v>
      </c>
      <c r="S911" s="3">
        <v>0</v>
      </c>
      <c r="T911" s="5">
        <v>0</v>
      </c>
      <c r="U911" s="3">
        <v>0</v>
      </c>
      <c r="V911" s="6">
        <f t="shared" si="264"/>
        <v>6600</v>
      </c>
    </row>
    <row r="912" spans="1:258" ht="25.15" customHeight="1" x14ac:dyDescent="0.25">
      <c r="A912" s="53" t="s">
        <v>1773</v>
      </c>
      <c r="B912" s="8" t="s">
        <v>673</v>
      </c>
      <c r="C912" s="2">
        <f t="shared" si="268"/>
        <v>3684779.9999999995</v>
      </c>
      <c r="D912" s="3">
        <f t="shared" si="262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5">
        <v>558.29999999999995</v>
      </c>
      <c r="N912" s="3">
        <f t="shared" si="271"/>
        <v>3684779.9999999995</v>
      </c>
      <c r="O912" s="3">
        <v>0</v>
      </c>
      <c r="P912" s="3">
        <v>0</v>
      </c>
      <c r="Q912" s="3">
        <v>0</v>
      </c>
      <c r="R912" s="3">
        <f t="shared" si="263"/>
        <v>0</v>
      </c>
      <c r="S912" s="3">
        <v>0</v>
      </c>
      <c r="T912" s="5">
        <v>0</v>
      </c>
      <c r="U912" s="3">
        <v>0</v>
      </c>
      <c r="V912" s="6">
        <f t="shared" si="264"/>
        <v>6600</v>
      </c>
    </row>
    <row r="913" spans="1:258" ht="25.15" customHeight="1" x14ac:dyDescent="0.25">
      <c r="A913" s="53" t="s">
        <v>1774</v>
      </c>
      <c r="B913" s="8" t="s">
        <v>674</v>
      </c>
      <c r="C913" s="2">
        <f t="shared" si="268"/>
        <v>1953600</v>
      </c>
      <c r="D913" s="3">
        <f t="shared" si="262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11">
        <v>0</v>
      </c>
      <c r="L913" s="3">
        <v>0</v>
      </c>
      <c r="M913" s="3">
        <v>296</v>
      </c>
      <c r="N913" s="3">
        <f t="shared" si="271"/>
        <v>1953600</v>
      </c>
      <c r="O913" s="3">
        <v>0</v>
      </c>
      <c r="P913" s="3">
        <v>0</v>
      </c>
      <c r="Q913" s="3">
        <v>0</v>
      </c>
      <c r="R913" s="3">
        <f t="shared" si="263"/>
        <v>0</v>
      </c>
      <c r="S913" s="3">
        <v>0</v>
      </c>
      <c r="T913" s="5">
        <v>0</v>
      </c>
      <c r="U913" s="3">
        <v>0</v>
      </c>
      <c r="V913" s="6">
        <f t="shared" si="264"/>
        <v>6600</v>
      </c>
    </row>
    <row r="914" spans="1:258" s="17" customFormat="1" ht="25.15" customHeight="1" x14ac:dyDescent="0.25">
      <c r="A914" s="53" t="s">
        <v>1775</v>
      </c>
      <c r="B914" s="8" t="s">
        <v>675</v>
      </c>
      <c r="C914" s="2">
        <f t="shared" si="268"/>
        <v>2349600</v>
      </c>
      <c r="D914" s="3">
        <f t="shared" si="262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11">
        <v>0</v>
      </c>
      <c r="L914" s="3">
        <v>0</v>
      </c>
      <c r="M914" s="3">
        <v>356</v>
      </c>
      <c r="N914" s="3">
        <f t="shared" si="271"/>
        <v>2349600</v>
      </c>
      <c r="O914" s="3">
        <v>0</v>
      </c>
      <c r="P914" s="3">
        <v>0</v>
      </c>
      <c r="Q914" s="3">
        <v>0</v>
      </c>
      <c r="R914" s="3">
        <f t="shared" si="263"/>
        <v>0</v>
      </c>
      <c r="S914" s="3">
        <v>0</v>
      </c>
      <c r="T914" s="5">
        <v>0</v>
      </c>
      <c r="U914" s="3">
        <v>0</v>
      </c>
      <c r="V914" s="6">
        <f t="shared" si="264"/>
        <v>6600</v>
      </c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  <c r="GJ914" s="7"/>
      <c r="GK914" s="7"/>
      <c r="GL914" s="7"/>
      <c r="GM914" s="7"/>
      <c r="GN914" s="7"/>
      <c r="GO914" s="7"/>
      <c r="GP914" s="7"/>
      <c r="GQ914" s="7"/>
      <c r="GR914" s="7"/>
      <c r="GS914" s="7"/>
      <c r="GT914" s="7"/>
      <c r="GU914" s="7"/>
      <c r="GV914" s="7"/>
      <c r="GW914" s="7"/>
      <c r="GX914" s="7"/>
      <c r="GY914" s="7"/>
      <c r="GZ914" s="7"/>
      <c r="HA914" s="7"/>
      <c r="HB914" s="7"/>
      <c r="HC914" s="7"/>
      <c r="HD914" s="7"/>
      <c r="HE914" s="7"/>
      <c r="HF914" s="7"/>
      <c r="HG914" s="7"/>
      <c r="HH914" s="7"/>
      <c r="HI914" s="7"/>
      <c r="HJ914" s="7"/>
      <c r="HK914" s="7"/>
      <c r="HL914" s="7"/>
      <c r="HM914" s="7"/>
      <c r="HN914" s="7"/>
      <c r="HO914" s="7"/>
      <c r="HP914" s="7"/>
      <c r="HQ914" s="7"/>
      <c r="HR914" s="7"/>
      <c r="HS914" s="7"/>
      <c r="HT914" s="7"/>
      <c r="HU914" s="7"/>
      <c r="HV914" s="7"/>
      <c r="HW914" s="7"/>
      <c r="HX914" s="7"/>
      <c r="HY914" s="7"/>
      <c r="HZ914" s="7"/>
      <c r="IA914" s="7"/>
      <c r="IB914" s="7"/>
      <c r="IC914" s="7"/>
      <c r="ID914" s="7"/>
      <c r="IE914" s="7"/>
      <c r="IF914" s="7"/>
      <c r="IG914" s="7"/>
      <c r="IH914" s="7"/>
      <c r="II914" s="7"/>
      <c r="IJ914" s="7"/>
      <c r="IK914" s="7"/>
      <c r="IL914" s="7"/>
      <c r="IM914" s="7"/>
      <c r="IN914" s="7"/>
      <c r="IO914" s="7"/>
      <c r="IP914" s="7"/>
      <c r="IQ914" s="7"/>
      <c r="IR914" s="7"/>
      <c r="IS914" s="7"/>
      <c r="IT914" s="7"/>
      <c r="IU914" s="7"/>
      <c r="IV914" s="7"/>
      <c r="IW914" s="7"/>
      <c r="IX914" s="7"/>
    </row>
    <row r="915" spans="1:258" ht="25.15" customHeight="1" x14ac:dyDescent="0.25">
      <c r="A915" s="53" t="s">
        <v>1776</v>
      </c>
      <c r="B915" s="8" t="s">
        <v>761</v>
      </c>
      <c r="C915" s="2">
        <f t="shared" si="268"/>
        <v>2204400</v>
      </c>
      <c r="D915" s="3">
        <f t="shared" si="262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11">
        <v>0</v>
      </c>
      <c r="L915" s="3">
        <v>0</v>
      </c>
      <c r="M915" s="3">
        <v>334</v>
      </c>
      <c r="N915" s="3">
        <f t="shared" si="271"/>
        <v>2204400</v>
      </c>
      <c r="O915" s="3">
        <v>0</v>
      </c>
      <c r="P915" s="3">
        <v>0</v>
      </c>
      <c r="Q915" s="3">
        <v>0</v>
      </c>
      <c r="R915" s="3">
        <f t="shared" si="263"/>
        <v>0</v>
      </c>
      <c r="S915" s="3">
        <v>0</v>
      </c>
      <c r="T915" s="5">
        <v>0</v>
      </c>
      <c r="U915" s="3">
        <v>0</v>
      </c>
      <c r="V915" s="6">
        <f t="shared" si="264"/>
        <v>6600</v>
      </c>
    </row>
    <row r="916" spans="1:258" ht="25.15" customHeight="1" x14ac:dyDescent="0.25">
      <c r="A916" s="53" t="s">
        <v>1777</v>
      </c>
      <c r="B916" s="8" t="s">
        <v>579</v>
      </c>
      <c r="C916" s="2">
        <f t="shared" si="268"/>
        <v>3379200</v>
      </c>
      <c r="D916" s="3">
        <f>SUM(E916:J916)</f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11">
        <v>0</v>
      </c>
      <c r="L916" s="5">
        <v>0</v>
      </c>
      <c r="M916" s="5">
        <v>512</v>
      </c>
      <c r="N916" s="3">
        <f t="shared" si="271"/>
        <v>3379200</v>
      </c>
      <c r="O916" s="5">
        <v>0</v>
      </c>
      <c r="P916" s="5">
        <v>0</v>
      </c>
      <c r="Q916" s="5">
        <v>0</v>
      </c>
      <c r="R916" s="3">
        <f t="shared" si="263"/>
        <v>0</v>
      </c>
      <c r="S916" s="5">
        <v>0</v>
      </c>
      <c r="T916" s="5">
        <v>0</v>
      </c>
      <c r="U916" s="5">
        <v>0</v>
      </c>
      <c r="V916" s="6">
        <f t="shared" si="264"/>
        <v>6600</v>
      </c>
    </row>
    <row r="917" spans="1:258" ht="25.15" customHeight="1" x14ac:dyDescent="0.25">
      <c r="A917" s="53" t="s">
        <v>1778</v>
      </c>
      <c r="B917" s="8" t="s">
        <v>502</v>
      </c>
      <c r="C917" s="2">
        <f t="shared" si="268"/>
        <v>1782000</v>
      </c>
      <c r="D917" s="3">
        <f>SUM(E917:J917)</f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11">
        <v>0</v>
      </c>
      <c r="L917" s="5">
        <v>0</v>
      </c>
      <c r="M917" s="5">
        <v>270</v>
      </c>
      <c r="N917" s="3">
        <f t="shared" si="271"/>
        <v>1782000</v>
      </c>
      <c r="O917" s="5">
        <v>0</v>
      </c>
      <c r="P917" s="5">
        <v>0</v>
      </c>
      <c r="Q917" s="5">
        <v>0</v>
      </c>
      <c r="R917" s="3">
        <f t="shared" si="263"/>
        <v>0</v>
      </c>
      <c r="S917" s="5">
        <v>0</v>
      </c>
      <c r="T917" s="5">
        <v>0</v>
      </c>
      <c r="U917" s="5">
        <v>0</v>
      </c>
      <c r="V917" s="6">
        <f t="shared" si="264"/>
        <v>6600</v>
      </c>
    </row>
    <row r="918" spans="1:258" s="26" customFormat="1" ht="24.6" customHeight="1" x14ac:dyDescent="0.25">
      <c r="A918" s="53" t="s">
        <v>1779</v>
      </c>
      <c r="B918" s="23" t="s">
        <v>762</v>
      </c>
      <c r="C918" s="2">
        <f t="shared" si="268"/>
        <v>5538470</v>
      </c>
      <c r="D918" s="3">
        <f t="shared" si="262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11">
        <v>0</v>
      </c>
      <c r="L918" s="3">
        <v>0</v>
      </c>
      <c r="M918" s="3">
        <v>1244.5999999999999</v>
      </c>
      <c r="N918" s="3">
        <f>M918*4450</f>
        <v>5538470</v>
      </c>
      <c r="O918" s="3">
        <v>0</v>
      </c>
      <c r="P918" s="3">
        <v>0</v>
      </c>
      <c r="Q918" s="3">
        <v>0</v>
      </c>
      <c r="R918" s="3">
        <f t="shared" si="263"/>
        <v>0</v>
      </c>
      <c r="S918" s="3">
        <v>0</v>
      </c>
      <c r="T918" s="5">
        <v>0</v>
      </c>
      <c r="U918" s="3">
        <v>0</v>
      </c>
      <c r="V918" s="6">
        <f t="shared" si="264"/>
        <v>4450</v>
      </c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  <c r="GJ918" s="7"/>
      <c r="GK918" s="7"/>
      <c r="GL918" s="7"/>
      <c r="GM918" s="7"/>
      <c r="GN918" s="7"/>
      <c r="GO918" s="7"/>
      <c r="GP918" s="7"/>
      <c r="GQ918" s="7"/>
      <c r="GR918" s="7"/>
      <c r="GS918" s="7"/>
      <c r="GT918" s="7"/>
      <c r="GU918" s="7"/>
      <c r="GV918" s="7"/>
      <c r="GW918" s="7"/>
      <c r="GX918" s="7"/>
      <c r="GY918" s="7"/>
      <c r="GZ918" s="7"/>
      <c r="HA918" s="7"/>
      <c r="HB918" s="7"/>
      <c r="HC918" s="7"/>
      <c r="HD918" s="7"/>
      <c r="HE918" s="7"/>
      <c r="HF918" s="7"/>
      <c r="HG918" s="7"/>
      <c r="HH918" s="7"/>
      <c r="HI918" s="7"/>
      <c r="HJ918" s="7"/>
      <c r="HK918" s="7"/>
      <c r="HL918" s="7"/>
      <c r="HM918" s="7"/>
      <c r="HN918" s="7"/>
      <c r="HO918" s="7"/>
      <c r="HP918" s="7"/>
      <c r="HQ918" s="7"/>
      <c r="HR918" s="7"/>
      <c r="HS918" s="7"/>
      <c r="HT918" s="7"/>
      <c r="HU918" s="7"/>
      <c r="HV918" s="7"/>
      <c r="HW918" s="7"/>
      <c r="HX918" s="7"/>
      <c r="HY918" s="7"/>
      <c r="HZ918" s="7"/>
      <c r="IA918" s="7"/>
      <c r="IB918" s="7"/>
      <c r="IC918" s="7"/>
      <c r="ID918" s="7"/>
      <c r="IE918" s="7"/>
      <c r="IF918" s="7"/>
      <c r="IG918" s="7"/>
      <c r="IH918" s="7"/>
      <c r="II918" s="7"/>
      <c r="IJ918" s="7"/>
      <c r="IK918" s="7"/>
      <c r="IL918" s="7"/>
      <c r="IM918" s="7"/>
      <c r="IN918" s="7"/>
      <c r="IO918" s="7"/>
      <c r="IP918" s="7"/>
      <c r="IQ918" s="7"/>
      <c r="IR918" s="7"/>
      <c r="IS918" s="7"/>
      <c r="IT918" s="7"/>
      <c r="IU918" s="7"/>
      <c r="IV918" s="7"/>
      <c r="IW918" s="7"/>
      <c r="IX918" s="7"/>
    </row>
    <row r="919" spans="1:258" s="26" customFormat="1" ht="24.6" customHeight="1" x14ac:dyDescent="0.25">
      <c r="A919" s="53" t="s">
        <v>1780</v>
      </c>
      <c r="B919" s="23" t="s">
        <v>808</v>
      </c>
      <c r="C919" s="2">
        <f t="shared" si="268"/>
        <v>39159400</v>
      </c>
      <c r="D919" s="3">
        <f t="shared" si="262"/>
        <v>17023500</v>
      </c>
      <c r="E919" s="3">
        <f>700*5674.5</f>
        <v>3972150</v>
      </c>
      <c r="F919" s="3">
        <f>1300*5674.5</f>
        <v>7376850</v>
      </c>
      <c r="G919" s="3">
        <f>300*5674.5</f>
        <v>1702350</v>
      </c>
      <c r="H919" s="3">
        <f>400*5674.5</f>
        <v>2269800</v>
      </c>
      <c r="I919" s="3">
        <f>300*5674.5</f>
        <v>1702350</v>
      </c>
      <c r="J919" s="3">
        <v>0</v>
      </c>
      <c r="K919" s="4">
        <v>0</v>
      </c>
      <c r="L919" s="3">
        <v>0</v>
      </c>
      <c r="M919" s="5">
        <v>1409.5</v>
      </c>
      <c r="N919" s="3">
        <f t="shared" ref="N919:N937" si="273">M919*6600</f>
        <v>9302700</v>
      </c>
      <c r="O919" s="3">
        <v>0</v>
      </c>
      <c r="P919" s="3">
        <v>0</v>
      </c>
      <c r="Q919" s="3">
        <v>3963.5</v>
      </c>
      <c r="R919" s="3">
        <f t="shared" si="263"/>
        <v>12683200</v>
      </c>
      <c r="S919" s="3">
        <v>0</v>
      </c>
      <c r="T919" s="5">
        <v>0</v>
      </c>
      <c r="U919" s="3">
        <v>150000</v>
      </c>
      <c r="V919" s="6">
        <f t="shared" si="264"/>
        <v>6600</v>
      </c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7"/>
      <c r="DZ919" s="7"/>
      <c r="EA919" s="7"/>
      <c r="EB919" s="7"/>
      <c r="EC919" s="7"/>
      <c r="ED919" s="7"/>
      <c r="EE919" s="7"/>
      <c r="EF919" s="7"/>
      <c r="EG919" s="7"/>
      <c r="EH919" s="7"/>
      <c r="EI919" s="7"/>
      <c r="EJ919" s="7"/>
      <c r="EK919" s="7"/>
      <c r="EL919" s="7"/>
      <c r="EM919" s="7"/>
      <c r="EN919" s="7"/>
      <c r="EO919" s="7"/>
      <c r="EP919" s="7"/>
      <c r="EQ919" s="7"/>
      <c r="ER919" s="7"/>
      <c r="ES919" s="7"/>
      <c r="ET919" s="7"/>
      <c r="EU919" s="7"/>
      <c r="EV919" s="7"/>
      <c r="EW919" s="7"/>
      <c r="EX919" s="7"/>
      <c r="EY919" s="7"/>
      <c r="EZ919" s="7"/>
      <c r="FA919" s="7"/>
      <c r="FB919" s="7"/>
      <c r="FC919" s="7"/>
      <c r="FD919" s="7"/>
      <c r="FE919" s="7"/>
      <c r="FF919" s="7"/>
      <c r="FG919" s="7"/>
      <c r="FH919" s="7"/>
      <c r="FI919" s="7"/>
      <c r="FJ919" s="7"/>
      <c r="FK919" s="7"/>
      <c r="FL919" s="7"/>
      <c r="FM919" s="7"/>
      <c r="FN919" s="7"/>
      <c r="FO919" s="7"/>
      <c r="FP919" s="7"/>
      <c r="FQ919" s="7"/>
      <c r="FR919" s="7"/>
      <c r="FS919" s="7"/>
      <c r="FT919" s="7"/>
      <c r="FU919" s="7"/>
      <c r="FV919" s="7"/>
      <c r="FW919" s="7"/>
      <c r="FX919" s="7"/>
      <c r="FY919" s="7"/>
      <c r="FZ919" s="7"/>
      <c r="GA919" s="7"/>
      <c r="GB919" s="7"/>
      <c r="GC919" s="7"/>
      <c r="GD919" s="7"/>
      <c r="GE919" s="7"/>
      <c r="GF919" s="7"/>
      <c r="GG919" s="7"/>
      <c r="GH919" s="7"/>
      <c r="GI919" s="7"/>
      <c r="GJ919" s="7"/>
      <c r="GK919" s="7"/>
      <c r="GL919" s="7"/>
      <c r="GM919" s="7"/>
      <c r="GN919" s="7"/>
      <c r="GO919" s="7"/>
      <c r="GP919" s="7"/>
      <c r="GQ919" s="7"/>
      <c r="GR919" s="7"/>
      <c r="GS919" s="7"/>
      <c r="GT919" s="7"/>
      <c r="GU919" s="7"/>
      <c r="GV919" s="7"/>
      <c r="GW919" s="7"/>
      <c r="GX919" s="7"/>
      <c r="GY919" s="7"/>
      <c r="GZ919" s="7"/>
      <c r="HA919" s="7"/>
      <c r="HB919" s="7"/>
      <c r="HC919" s="7"/>
      <c r="HD919" s="7"/>
      <c r="HE919" s="7"/>
      <c r="HF919" s="7"/>
      <c r="HG919" s="7"/>
      <c r="HH919" s="7"/>
      <c r="HI919" s="7"/>
      <c r="HJ919" s="7"/>
      <c r="HK919" s="7"/>
      <c r="HL919" s="7"/>
      <c r="HM919" s="7"/>
      <c r="HN919" s="7"/>
      <c r="HO919" s="7"/>
      <c r="HP919" s="7"/>
      <c r="HQ919" s="7"/>
      <c r="HR919" s="7"/>
      <c r="HS919" s="7"/>
      <c r="HT919" s="7"/>
      <c r="HU919" s="7"/>
      <c r="HV919" s="7"/>
      <c r="HW919" s="7"/>
      <c r="HX919" s="7"/>
      <c r="HY919" s="7"/>
      <c r="HZ919" s="7"/>
      <c r="IA919" s="7"/>
      <c r="IB919" s="7"/>
      <c r="IC919" s="7"/>
      <c r="ID919" s="7"/>
      <c r="IE919" s="7"/>
      <c r="IF919" s="7"/>
      <c r="IG919" s="7"/>
      <c r="IH919" s="7"/>
      <c r="II919" s="7"/>
      <c r="IJ919" s="7"/>
      <c r="IK919" s="7"/>
      <c r="IL919" s="7"/>
      <c r="IM919" s="7"/>
      <c r="IN919" s="7"/>
      <c r="IO919" s="7"/>
      <c r="IP919" s="7"/>
      <c r="IQ919" s="7"/>
      <c r="IR919" s="7"/>
      <c r="IS919" s="7"/>
      <c r="IT919" s="7"/>
      <c r="IU919" s="7"/>
      <c r="IV919" s="7"/>
      <c r="IW919" s="7"/>
      <c r="IX919" s="7"/>
    </row>
    <row r="920" spans="1:258" ht="25.15" customHeight="1" x14ac:dyDescent="0.25">
      <c r="A920" s="53" t="s">
        <v>1781</v>
      </c>
      <c r="B920" s="8" t="s">
        <v>454</v>
      </c>
      <c r="C920" s="2">
        <f>D920+L920+N920+P920+R920+S920+T920+U920</f>
        <v>2521200</v>
      </c>
      <c r="D920" s="3">
        <f>SUM(E920:J920)</f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382</v>
      </c>
      <c r="N920" s="3">
        <f>M920*6600</f>
        <v>2521200</v>
      </c>
      <c r="O920" s="3">
        <v>0</v>
      </c>
      <c r="P920" s="3">
        <v>0</v>
      </c>
      <c r="Q920" s="3">
        <v>0</v>
      </c>
      <c r="R920" s="3">
        <f>Q920*3000</f>
        <v>0</v>
      </c>
      <c r="S920" s="3">
        <v>0</v>
      </c>
      <c r="T920" s="5">
        <v>0</v>
      </c>
      <c r="U920" s="3">
        <v>0</v>
      </c>
      <c r="V920" s="6">
        <f>N920/M920</f>
        <v>6600</v>
      </c>
    </row>
    <row r="921" spans="1:258" ht="25.15" customHeight="1" x14ac:dyDescent="0.25">
      <c r="A921" s="53" t="s">
        <v>1782</v>
      </c>
      <c r="B921" s="8" t="s">
        <v>677</v>
      </c>
      <c r="C921" s="2">
        <f t="shared" si="268"/>
        <v>1914000</v>
      </c>
      <c r="D921" s="3">
        <f t="shared" si="262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290</v>
      </c>
      <c r="N921" s="3">
        <f t="shared" si="273"/>
        <v>1914000</v>
      </c>
      <c r="O921" s="3">
        <v>0</v>
      </c>
      <c r="P921" s="3">
        <v>0</v>
      </c>
      <c r="Q921" s="3">
        <v>0</v>
      </c>
      <c r="R921" s="3">
        <f t="shared" si="263"/>
        <v>0</v>
      </c>
      <c r="S921" s="3">
        <v>0</v>
      </c>
      <c r="T921" s="5">
        <v>0</v>
      </c>
      <c r="U921" s="3">
        <v>0</v>
      </c>
      <c r="V921" s="6">
        <f t="shared" si="264"/>
        <v>6600</v>
      </c>
    </row>
    <row r="922" spans="1:258" ht="25.15" customHeight="1" x14ac:dyDescent="0.25">
      <c r="A922" s="53" t="s">
        <v>1783</v>
      </c>
      <c r="B922" s="8" t="s">
        <v>678</v>
      </c>
      <c r="C922" s="2">
        <f t="shared" si="268"/>
        <v>1933800</v>
      </c>
      <c r="D922" s="3">
        <f t="shared" si="262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3">
        <v>293</v>
      </c>
      <c r="N922" s="3">
        <f t="shared" si="273"/>
        <v>1933800</v>
      </c>
      <c r="O922" s="3">
        <v>0</v>
      </c>
      <c r="P922" s="3">
        <v>0</v>
      </c>
      <c r="Q922" s="3">
        <v>0</v>
      </c>
      <c r="R922" s="3">
        <f t="shared" si="263"/>
        <v>0</v>
      </c>
      <c r="S922" s="3">
        <v>0</v>
      </c>
      <c r="T922" s="5">
        <v>0</v>
      </c>
      <c r="U922" s="3">
        <v>0</v>
      </c>
      <c r="V922" s="6">
        <f t="shared" si="264"/>
        <v>6600</v>
      </c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  <c r="IX922" s="17"/>
    </row>
    <row r="923" spans="1:258" s="17" customFormat="1" ht="25.15" customHeight="1" x14ac:dyDescent="0.25">
      <c r="A923" s="53" t="s">
        <v>1784</v>
      </c>
      <c r="B923" s="8" t="s">
        <v>679</v>
      </c>
      <c r="C923" s="2">
        <f t="shared" si="268"/>
        <v>1933800</v>
      </c>
      <c r="D923" s="3">
        <f t="shared" si="262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">
        <v>293</v>
      </c>
      <c r="N923" s="3">
        <f t="shared" si="273"/>
        <v>1933800</v>
      </c>
      <c r="O923" s="3">
        <v>0</v>
      </c>
      <c r="P923" s="3">
        <v>0</v>
      </c>
      <c r="Q923" s="3">
        <v>0</v>
      </c>
      <c r="R923" s="3">
        <f t="shared" si="263"/>
        <v>0</v>
      </c>
      <c r="S923" s="3">
        <v>0</v>
      </c>
      <c r="T923" s="5">
        <v>0</v>
      </c>
      <c r="U923" s="3">
        <v>0</v>
      </c>
      <c r="V923" s="6">
        <f t="shared" si="264"/>
        <v>6600</v>
      </c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7"/>
      <c r="DZ923" s="7"/>
      <c r="EA923" s="7"/>
      <c r="EB923" s="7"/>
      <c r="EC923" s="7"/>
      <c r="ED923" s="7"/>
      <c r="EE923" s="7"/>
      <c r="EF923" s="7"/>
      <c r="EG923" s="7"/>
      <c r="EH923" s="7"/>
      <c r="EI923" s="7"/>
      <c r="EJ923" s="7"/>
      <c r="EK923" s="7"/>
      <c r="EL923" s="7"/>
      <c r="EM923" s="7"/>
      <c r="EN923" s="7"/>
      <c r="EO923" s="7"/>
      <c r="EP923" s="7"/>
      <c r="EQ923" s="7"/>
      <c r="ER923" s="7"/>
      <c r="ES923" s="7"/>
      <c r="ET923" s="7"/>
      <c r="EU923" s="7"/>
      <c r="EV923" s="7"/>
      <c r="EW923" s="7"/>
      <c r="EX923" s="7"/>
      <c r="EY923" s="7"/>
      <c r="EZ923" s="7"/>
      <c r="FA923" s="7"/>
      <c r="FB923" s="7"/>
      <c r="FC923" s="7"/>
      <c r="FD923" s="7"/>
      <c r="FE923" s="7"/>
      <c r="FF923" s="7"/>
      <c r="FG923" s="7"/>
      <c r="FH923" s="7"/>
      <c r="FI923" s="7"/>
      <c r="FJ923" s="7"/>
      <c r="FK923" s="7"/>
      <c r="FL923" s="7"/>
      <c r="FM923" s="7"/>
      <c r="FN923" s="7"/>
      <c r="FO923" s="7"/>
      <c r="FP923" s="7"/>
      <c r="FQ923" s="7"/>
      <c r="FR923" s="7"/>
      <c r="FS923" s="7"/>
      <c r="FT923" s="7"/>
      <c r="FU923" s="7"/>
      <c r="FV923" s="7"/>
      <c r="FW923" s="7"/>
      <c r="FX923" s="7"/>
      <c r="FY923" s="7"/>
      <c r="FZ923" s="7"/>
      <c r="GA923" s="7"/>
      <c r="GB923" s="7"/>
      <c r="GC923" s="7"/>
      <c r="GD923" s="7"/>
      <c r="GE923" s="7"/>
      <c r="GF923" s="7"/>
      <c r="GG923" s="7"/>
      <c r="GH923" s="7"/>
      <c r="GI923" s="7"/>
      <c r="GJ923" s="7"/>
      <c r="GK923" s="7"/>
      <c r="GL923" s="7"/>
      <c r="GM923" s="7"/>
      <c r="GN923" s="7"/>
      <c r="GO923" s="7"/>
      <c r="GP923" s="7"/>
      <c r="GQ923" s="7"/>
      <c r="GR923" s="7"/>
      <c r="GS923" s="7"/>
      <c r="GT923" s="7"/>
      <c r="GU923" s="7"/>
      <c r="GV923" s="7"/>
      <c r="GW923" s="7"/>
      <c r="GX923" s="7"/>
      <c r="GY923" s="7"/>
      <c r="GZ923" s="7"/>
      <c r="HA923" s="7"/>
      <c r="HB923" s="7"/>
      <c r="HC923" s="7"/>
      <c r="HD923" s="7"/>
      <c r="HE923" s="7"/>
      <c r="HF923" s="7"/>
      <c r="HG923" s="7"/>
      <c r="HH923" s="7"/>
      <c r="HI923" s="7"/>
      <c r="HJ923" s="7"/>
      <c r="HK923" s="7"/>
      <c r="HL923" s="7"/>
      <c r="HM923" s="7"/>
      <c r="HN923" s="7"/>
      <c r="HO923" s="7"/>
      <c r="HP923" s="7"/>
      <c r="HQ923" s="7"/>
      <c r="HR923" s="7"/>
      <c r="HS923" s="7"/>
      <c r="HT923" s="7"/>
      <c r="HU923" s="7"/>
      <c r="HV923" s="7"/>
      <c r="HW923" s="7"/>
      <c r="HX923" s="7"/>
      <c r="HY923" s="7"/>
      <c r="HZ923" s="7"/>
      <c r="IA923" s="7"/>
      <c r="IB923" s="7"/>
      <c r="IC923" s="7"/>
      <c r="ID923" s="7"/>
      <c r="IE923" s="7"/>
      <c r="IF923" s="7"/>
      <c r="IG923" s="7"/>
      <c r="IH923" s="7"/>
      <c r="II923" s="7"/>
      <c r="IJ923" s="7"/>
      <c r="IK923" s="7"/>
      <c r="IL923" s="7"/>
      <c r="IM923" s="7"/>
      <c r="IN923" s="7"/>
      <c r="IO923" s="7"/>
      <c r="IP923" s="7"/>
      <c r="IQ923" s="7"/>
      <c r="IR923" s="7"/>
      <c r="IS923" s="7"/>
      <c r="IT923" s="7"/>
      <c r="IU923" s="7"/>
      <c r="IV923" s="7"/>
      <c r="IW923" s="7"/>
      <c r="IX923" s="7"/>
    </row>
    <row r="924" spans="1:258" ht="25.15" customHeight="1" x14ac:dyDescent="0.25">
      <c r="A924" s="53" t="s">
        <v>1785</v>
      </c>
      <c r="B924" s="8" t="s">
        <v>680</v>
      </c>
      <c r="C924" s="2">
        <f t="shared" si="268"/>
        <v>1940400</v>
      </c>
      <c r="D924" s="3">
        <f t="shared" si="262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294</v>
      </c>
      <c r="N924" s="3">
        <f t="shared" si="273"/>
        <v>1940400</v>
      </c>
      <c r="O924" s="3">
        <v>0</v>
      </c>
      <c r="P924" s="3">
        <v>0</v>
      </c>
      <c r="Q924" s="3">
        <v>0</v>
      </c>
      <c r="R924" s="3">
        <f t="shared" si="263"/>
        <v>0</v>
      </c>
      <c r="S924" s="3">
        <v>0</v>
      </c>
      <c r="T924" s="5">
        <v>0</v>
      </c>
      <c r="U924" s="3">
        <v>0</v>
      </c>
      <c r="V924" s="6">
        <f t="shared" si="264"/>
        <v>6600</v>
      </c>
    </row>
    <row r="925" spans="1:258" ht="25.15" customHeight="1" x14ac:dyDescent="0.25">
      <c r="A925" s="53" t="s">
        <v>1786</v>
      </c>
      <c r="B925" s="8" t="s">
        <v>681</v>
      </c>
      <c r="C925" s="2">
        <f t="shared" si="268"/>
        <v>1920600</v>
      </c>
      <c r="D925" s="3">
        <f t="shared" si="262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291</v>
      </c>
      <c r="N925" s="3">
        <f t="shared" si="273"/>
        <v>1920600</v>
      </c>
      <c r="O925" s="3">
        <v>0</v>
      </c>
      <c r="P925" s="3">
        <v>0</v>
      </c>
      <c r="Q925" s="3">
        <v>0</v>
      </c>
      <c r="R925" s="3">
        <f t="shared" si="263"/>
        <v>0</v>
      </c>
      <c r="S925" s="3">
        <v>0</v>
      </c>
      <c r="T925" s="5">
        <v>0</v>
      </c>
      <c r="U925" s="3">
        <v>0</v>
      </c>
      <c r="V925" s="6">
        <f t="shared" si="264"/>
        <v>6600</v>
      </c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  <c r="BO925" s="26"/>
      <c r="BP925" s="26"/>
      <c r="BQ925" s="26"/>
      <c r="BR925" s="26"/>
      <c r="BS925" s="26"/>
      <c r="BT925" s="26"/>
      <c r="BU925" s="26"/>
      <c r="BV925" s="26"/>
      <c r="BW925" s="26"/>
      <c r="BX925" s="26"/>
      <c r="BY925" s="26"/>
      <c r="BZ925" s="26"/>
      <c r="CA925" s="26"/>
      <c r="CB925" s="26"/>
      <c r="CC925" s="26"/>
      <c r="CD925" s="26"/>
      <c r="CE925" s="26"/>
      <c r="CF925" s="26"/>
      <c r="CG925" s="26"/>
      <c r="CH925" s="26"/>
      <c r="CI925" s="26"/>
      <c r="CJ925" s="26"/>
      <c r="CK925" s="26"/>
      <c r="CL925" s="26"/>
      <c r="CM925" s="26"/>
      <c r="CN925" s="26"/>
      <c r="CO925" s="26"/>
      <c r="CP925" s="26"/>
      <c r="CQ925" s="26"/>
      <c r="CR925" s="26"/>
      <c r="CS925" s="26"/>
      <c r="CT925" s="26"/>
      <c r="CU925" s="26"/>
      <c r="CV925" s="26"/>
      <c r="CW925" s="26"/>
      <c r="CX925" s="26"/>
      <c r="CY925" s="26"/>
      <c r="CZ925" s="26"/>
      <c r="DA925" s="26"/>
      <c r="DB925" s="26"/>
      <c r="DC925" s="26"/>
      <c r="DD925" s="26"/>
      <c r="DE925" s="26"/>
      <c r="DF925" s="26"/>
      <c r="DG925" s="26"/>
      <c r="DH925" s="26"/>
      <c r="DI925" s="26"/>
      <c r="DJ925" s="26"/>
      <c r="DK925" s="26"/>
      <c r="DL925" s="26"/>
      <c r="DM925" s="26"/>
      <c r="DN925" s="26"/>
      <c r="DO925" s="26"/>
      <c r="DP925" s="26"/>
      <c r="DQ925" s="26"/>
      <c r="DR925" s="26"/>
      <c r="DS925" s="26"/>
      <c r="DT925" s="26"/>
      <c r="DU925" s="26"/>
      <c r="DV925" s="26"/>
      <c r="DW925" s="26"/>
      <c r="DX925" s="26"/>
      <c r="DY925" s="26"/>
      <c r="DZ925" s="26"/>
      <c r="EA925" s="26"/>
      <c r="EB925" s="26"/>
      <c r="EC925" s="26"/>
      <c r="ED925" s="26"/>
      <c r="EE925" s="26"/>
      <c r="EF925" s="26"/>
      <c r="EG925" s="26"/>
      <c r="EH925" s="26"/>
      <c r="EI925" s="26"/>
      <c r="EJ925" s="26"/>
      <c r="EK925" s="26"/>
      <c r="EL925" s="26"/>
      <c r="EM925" s="26"/>
      <c r="EN925" s="26"/>
      <c r="EO925" s="26"/>
      <c r="EP925" s="26"/>
      <c r="EQ925" s="26"/>
      <c r="ER925" s="26"/>
      <c r="ES925" s="26"/>
      <c r="ET925" s="26"/>
      <c r="EU925" s="26"/>
      <c r="EV925" s="26"/>
      <c r="EW925" s="26"/>
      <c r="EX925" s="26"/>
      <c r="EY925" s="26"/>
      <c r="EZ925" s="26"/>
      <c r="FA925" s="26"/>
      <c r="FB925" s="26"/>
      <c r="FC925" s="26"/>
      <c r="FD925" s="26"/>
      <c r="FE925" s="26"/>
      <c r="FF925" s="26"/>
      <c r="FG925" s="26"/>
      <c r="FH925" s="26"/>
      <c r="FI925" s="26"/>
      <c r="FJ925" s="26"/>
      <c r="FK925" s="26"/>
      <c r="FL925" s="26"/>
      <c r="FM925" s="26"/>
      <c r="FN925" s="26"/>
      <c r="FO925" s="26"/>
      <c r="FP925" s="26"/>
      <c r="FQ925" s="26"/>
      <c r="FR925" s="26"/>
      <c r="FS925" s="26"/>
      <c r="FT925" s="26"/>
      <c r="FU925" s="26"/>
      <c r="FV925" s="26"/>
      <c r="FW925" s="26"/>
      <c r="FX925" s="26"/>
      <c r="FY925" s="26"/>
      <c r="FZ925" s="26"/>
      <c r="GA925" s="26"/>
      <c r="GB925" s="26"/>
      <c r="GC925" s="26"/>
      <c r="GD925" s="26"/>
      <c r="GE925" s="26"/>
      <c r="GF925" s="26"/>
      <c r="GG925" s="26"/>
      <c r="GH925" s="26"/>
      <c r="GI925" s="26"/>
      <c r="GJ925" s="26"/>
      <c r="GK925" s="26"/>
      <c r="GL925" s="26"/>
      <c r="GM925" s="26"/>
      <c r="GN925" s="26"/>
      <c r="GO925" s="26"/>
      <c r="GP925" s="26"/>
      <c r="GQ925" s="26"/>
      <c r="GR925" s="26"/>
      <c r="GS925" s="26"/>
      <c r="GT925" s="26"/>
      <c r="GU925" s="26"/>
      <c r="GV925" s="26"/>
      <c r="GW925" s="26"/>
      <c r="GX925" s="26"/>
      <c r="GY925" s="26"/>
      <c r="GZ925" s="26"/>
      <c r="HA925" s="26"/>
      <c r="HB925" s="26"/>
      <c r="HC925" s="26"/>
      <c r="HD925" s="26"/>
      <c r="HE925" s="26"/>
      <c r="HF925" s="26"/>
      <c r="HG925" s="26"/>
      <c r="HH925" s="26"/>
      <c r="HI925" s="26"/>
      <c r="HJ925" s="26"/>
      <c r="HK925" s="26"/>
      <c r="HL925" s="26"/>
      <c r="HM925" s="26"/>
      <c r="HN925" s="26"/>
      <c r="HO925" s="26"/>
      <c r="HP925" s="26"/>
      <c r="HQ925" s="26"/>
      <c r="HR925" s="26"/>
      <c r="HS925" s="26"/>
      <c r="HT925" s="26"/>
      <c r="HU925" s="26"/>
      <c r="HV925" s="26"/>
      <c r="HW925" s="26"/>
      <c r="HX925" s="26"/>
      <c r="HY925" s="26"/>
      <c r="HZ925" s="26"/>
      <c r="IA925" s="26"/>
      <c r="IB925" s="26"/>
      <c r="IC925" s="26"/>
      <c r="ID925" s="26"/>
      <c r="IE925" s="26"/>
      <c r="IF925" s="26"/>
      <c r="IG925" s="26"/>
      <c r="IH925" s="26"/>
      <c r="II925" s="26"/>
      <c r="IJ925" s="26"/>
      <c r="IK925" s="26"/>
      <c r="IL925" s="26"/>
      <c r="IM925" s="26"/>
      <c r="IN925" s="26"/>
      <c r="IO925" s="26"/>
      <c r="IP925" s="26"/>
      <c r="IQ925" s="26"/>
      <c r="IR925" s="26"/>
      <c r="IS925" s="26"/>
      <c r="IT925" s="26"/>
      <c r="IU925" s="26"/>
      <c r="IV925" s="26"/>
      <c r="IW925" s="26"/>
      <c r="IX925" s="26"/>
    </row>
    <row r="926" spans="1:258" ht="25.15" customHeight="1" x14ac:dyDescent="0.25">
      <c r="A926" s="53" t="s">
        <v>1787</v>
      </c>
      <c r="B926" s="8" t="s">
        <v>682</v>
      </c>
      <c r="C926" s="2">
        <f t="shared" si="268"/>
        <v>1907400</v>
      </c>
      <c r="D926" s="3">
        <f t="shared" si="262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289</v>
      </c>
      <c r="N926" s="3">
        <f t="shared" si="273"/>
        <v>1907400</v>
      </c>
      <c r="O926" s="3">
        <v>0</v>
      </c>
      <c r="P926" s="3">
        <v>0</v>
      </c>
      <c r="Q926" s="3">
        <v>0</v>
      </c>
      <c r="R926" s="3">
        <f t="shared" si="263"/>
        <v>0</v>
      </c>
      <c r="S926" s="3">
        <v>0</v>
      </c>
      <c r="T926" s="5">
        <v>0</v>
      </c>
      <c r="U926" s="3">
        <v>0</v>
      </c>
      <c r="V926" s="6">
        <f t="shared" si="264"/>
        <v>6600</v>
      </c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  <c r="BM926" s="26"/>
      <c r="BN926" s="26"/>
      <c r="BO926" s="26"/>
      <c r="BP926" s="26"/>
      <c r="BQ926" s="26"/>
      <c r="BR926" s="26"/>
      <c r="BS926" s="26"/>
      <c r="BT926" s="26"/>
      <c r="BU926" s="26"/>
      <c r="BV926" s="26"/>
      <c r="BW926" s="26"/>
      <c r="BX926" s="26"/>
      <c r="BY926" s="26"/>
      <c r="BZ926" s="26"/>
      <c r="CA926" s="26"/>
      <c r="CB926" s="26"/>
      <c r="CC926" s="26"/>
      <c r="CD926" s="26"/>
      <c r="CE926" s="26"/>
      <c r="CF926" s="26"/>
      <c r="CG926" s="26"/>
      <c r="CH926" s="26"/>
      <c r="CI926" s="26"/>
      <c r="CJ926" s="26"/>
      <c r="CK926" s="26"/>
      <c r="CL926" s="26"/>
      <c r="CM926" s="26"/>
      <c r="CN926" s="26"/>
      <c r="CO926" s="26"/>
      <c r="CP926" s="26"/>
      <c r="CQ926" s="26"/>
      <c r="CR926" s="26"/>
      <c r="CS926" s="26"/>
      <c r="CT926" s="26"/>
      <c r="CU926" s="26"/>
      <c r="CV926" s="26"/>
      <c r="CW926" s="26"/>
      <c r="CX926" s="26"/>
      <c r="CY926" s="26"/>
      <c r="CZ926" s="26"/>
      <c r="DA926" s="26"/>
      <c r="DB926" s="26"/>
      <c r="DC926" s="26"/>
      <c r="DD926" s="26"/>
      <c r="DE926" s="26"/>
      <c r="DF926" s="26"/>
      <c r="DG926" s="26"/>
      <c r="DH926" s="26"/>
      <c r="DI926" s="26"/>
      <c r="DJ926" s="26"/>
      <c r="DK926" s="26"/>
      <c r="DL926" s="26"/>
      <c r="DM926" s="26"/>
      <c r="DN926" s="26"/>
      <c r="DO926" s="26"/>
      <c r="DP926" s="26"/>
      <c r="DQ926" s="26"/>
      <c r="DR926" s="26"/>
      <c r="DS926" s="26"/>
      <c r="DT926" s="26"/>
      <c r="DU926" s="26"/>
      <c r="DV926" s="26"/>
      <c r="DW926" s="26"/>
      <c r="DX926" s="26"/>
      <c r="DY926" s="26"/>
      <c r="DZ926" s="26"/>
      <c r="EA926" s="26"/>
      <c r="EB926" s="26"/>
      <c r="EC926" s="26"/>
      <c r="ED926" s="26"/>
      <c r="EE926" s="26"/>
      <c r="EF926" s="26"/>
      <c r="EG926" s="26"/>
      <c r="EH926" s="26"/>
      <c r="EI926" s="26"/>
      <c r="EJ926" s="26"/>
      <c r="EK926" s="26"/>
      <c r="EL926" s="26"/>
      <c r="EM926" s="26"/>
      <c r="EN926" s="26"/>
      <c r="EO926" s="26"/>
      <c r="EP926" s="26"/>
      <c r="EQ926" s="26"/>
      <c r="ER926" s="26"/>
      <c r="ES926" s="26"/>
      <c r="ET926" s="26"/>
      <c r="EU926" s="26"/>
      <c r="EV926" s="26"/>
      <c r="EW926" s="26"/>
      <c r="EX926" s="26"/>
      <c r="EY926" s="26"/>
      <c r="EZ926" s="26"/>
      <c r="FA926" s="26"/>
      <c r="FB926" s="26"/>
      <c r="FC926" s="26"/>
      <c r="FD926" s="26"/>
      <c r="FE926" s="26"/>
      <c r="FF926" s="26"/>
      <c r="FG926" s="26"/>
      <c r="FH926" s="26"/>
      <c r="FI926" s="26"/>
      <c r="FJ926" s="26"/>
      <c r="FK926" s="26"/>
      <c r="FL926" s="26"/>
      <c r="FM926" s="26"/>
      <c r="FN926" s="26"/>
      <c r="FO926" s="26"/>
      <c r="FP926" s="26"/>
      <c r="FQ926" s="26"/>
      <c r="FR926" s="26"/>
      <c r="FS926" s="26"/>
      <c r="FT926" s="26"/>
      <c r="FU926" s="26"/>
      <c r="FV926" s="26"/>
      <c r="FW926" s="26"/>
      <c r="FX926" s="26"/>
      <c r="FY926" s="26"/>
      <c r="FZ926" s="26"/>
      <c r="GA926" s="26"/>
      <c r="GB926" s="26"/>
      <c r="GC926" s="26"/>
      <c r="GD926" s="26"/>
      <c r="GE926" s="26"/>
      <c r="GF926" s="26"/>
      <c r="GG926" s="26"/>
      <c r="GH926" s="26"/>
      <c r="GI926" s="26"/>
      <c r="GJ926" s="26"/>
      <c r="GK926" s="26"/>
      <c r="GL926" s="26"/>
      <c r="GM926" s="26"/>
      <c r="GN926" s="26"/>
      <c r="GO926" s="26"/>
      <c r="GP926" s="26"/>
      <c r="GQ926" s="26"/>
      <c r="GR926" s="26"/>
      <c r="GS926" s="26"/>
      <c r="GT926" s="26"/>
      <c r="GU926" s="26"/>
      <c r="GV926" s="26"/>
      <c r="GW926" s="26"/>
      <c r="GX926" s="26"/>
      <c r="GY926" s="26"/>
      <c r="GZ926" s="26"/>
      <c r="HA926" s="26"/>
      <c r="HB926" s="26"/>
      <c r="HC926" s="26"/>
      <c r="HD926" s="26"/>
      <c r="HE926" s="26"/>
      <c r="HF926" s="26"/>
      <c r="HG926" s="26"/>
      <c r="HH926" s="26"/>
      <c r="HI926" s="26"/>
      <c r="HJ926" s="26"/>
      <c r="HK926" s="26"/>
      <c r="HL926" s="26"/>
      <c r="HM926" s="26"/>
      <c r="HN926" s="26"/>
      <c r="HO926" s="26"/>
      <c r="HP926" s="26"/>
      <c r="HQ926" s="26"/>
      <c r="HR926" s="26"/>
      <c r="HS926" s="26"/>
      <c r="HT926" s="26"/>
      <c r="HU926" s="26"/>
      <c r="HV926" s="26"/>
      <c r="HW926" s="26"/>
      <c r="HX926" s="26"/>
      <c r="HY926" s="26"/>
      <c r="HZ926" s="26"/>
      <c r="IA926" s="26"/>
      <c r="IB926" s="26"/>
      <c r="IC926" s="26"/>
      <c r="ID926" s="26"/>
      <c r="IE926" s="26"/>
      <c r="IF926" s="26"/>
      <c r="IG926" s="26"/>
      <c r="IH926" s="26"/>
      <c r="II926" s="26"/>
      <c r="IJ926" s="26"/>
      <c r="IK926" s="26"/>
      <c r="IL926" s="26"/>
      <c r="IM926" s="26"/>
      <c r="IN926" s="26"/>
      <c r="IO926" s="26"/>
      <c r="IP926" s="26"/>
      <c r="IQ926" s="26"/>
      <c r="IR926" s="26"/>
      <c r="IS926" s="26"/>
      <c r="IT926" s="26"/>
      <c r="IU926" s="26"/>
      <c r="IV926" s="26"/>
      <c r="IW926" s="26"/>
      <c r="IX926" s="26"/>
    </row>
    <row r="927" spans="1:258" ht="25.15" customHeight="1" x14ac:dyDescent="0.25">
      <c r="A927" s="53" t="s">
        <v>1788</v>
      </c>
      <c r="B927" s="8" t="s">
        <v>763</v>
      </c>
      <c r="C927" s="2">
        <f t="shared" si="268"/>
        <v>4501200</v>
      </c>
      <c r="D927" s="3">
        <f t="shared" si="262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5">
        <v>682</v>
      </c>
      <c r="N927" s="3">
        <f t="shared" si="273"/>
        <v>4501200</v>
      </c>
      <c r="O927" s="3">
        <v>0</v>
      </c>
      <c r="P927" s="3">
        <v>0</v>
      </c>
      <c r="Q927" s="3">
        <v>0</v>
      </c>
      <c r="R927" s="3">
        <f t="shared" si="263"/>
        <v>0</v>
      </c>
      <c r="S927" s="3">
        <v>0</v>
      </c>
      <c r="T927" s="5">
        <v>0</v>
      </c>
      <c r="U927" s="3">
        <v>0</v>
      </c>
      <c r="V927" s="6">
        <f t="shared" si="264"/>
        <v>6600</v>
      </c>
    </row>
    <row r="928" spans="1:258" ht="25.15" customHeight="1" x14ac:dyDescent="0.25">
      <c r="A928" s="53" t="s">
        <v>1789</v>
      </c>
      <c r="B928" s="8" t="s">
        <v>683</v>
      </c>
      <c r="C928" s="2">
        <f t="shared" si="268"/>
        <v>1927200</v>
      </c>
      <c r="D928" s="3">
        <f t="shared" si="262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292</v>
      </c>
      <c r="N928" s="3">
        <f t="shared" si="273"/>
        <v>1927200</v>
      </c>
      <c r="O928" s="3">
        <v>0</v>
      </c>
      <c r="P928" s="3">
        <v>0</v>
      </c>
      <c r="Q928" s="3">
        <v>0</v>
      </c>
      <c r="R928" s="3">
        <f t="shared" si="263"/>
        <v>0</v>
      </c>
      <c r="S928" s="3">
        <v>0</v>
      </c>
      <c r="T928" s="5">
        <v>0</v>
      </c>
      <c r="U928" s="3">
        <v>0</v>
      </c>
      <c r="V928" s="6">
        <f t="shared" si="264"/>
        <v>6600</v>
      </c>
    </row>
    <row r="929" spans="1:258" ht="25.15" customHeight="1" x14ac:dyDescent="0.25">
      <c r="A929" s="53" t="s">
        <v>1790</v>
      </c>
      <c r="B929" s="8" t="s">
        <v>684</v>
      </c>
      <c r="C929" s="2">
        <f t="shared" si="268"/>
        <v>1927200</v>
      </c>
      <c r="D929" s="3">
        <f t="shared" si="262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3">
        <v>292</v>
      </c>
      <c r="N929" s="3">
        <f t="shared" si="273"/>
        <v>1927200</v>
      </c>
      <c r="O929" s="3">
        <v>0</v>
      </c>
      <c r="P929" s="3">
        <v>0</v>
      </c>
      <c r="Q929" s="3">
        <v>0</v>
      </c>
      <c r="R929" s="3">
        <f t="shared" si="263"/>
        <v>0</v>
      </c>
      <c r="S929" s="3">
        <v>0</v>
      </c>
      <c r="T929" s="5">
        <v>0</v>
      </c>
      <c r="U929" s="3">
        <v>0</v>
      </c>
      <c r="V929" s="6">
        <f t="shared" si="264"/>
        <v>6600</v>
      </c>
    </row>
    <row r="930" spans="1:258" ht="25.15" customHeight="1" x14ac:dyDescent="0.25">
      <c r="A930" s="53" t="s">
        <v>1791</v>
      </c>
      <c r="B930" s="8" t="s">
        <v>685</v>
      </c>
      <c r="C930" s="2">
        <f t="shared" si="268"/>
        <v>4501200</v>
      </c>
      <c r="D930" s="3">
        <f t="shared" si="262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4">
        <v>0</v>
      </c>
      <c r="L930" s="3">
        <v>0</v>
      </c>
      <c r="M930" s="3">
        <v>682</v>
      </c>
      <c r="N930" s="3">
        <f t="shared" si="273"/>
        <v>4501200</v>
      </c>
      <c r="O930" s="3">
        <v>0</v>
      </c>
      <c r="P930" s="3">
        <v>0</v>
      </c>
      <c r="Q930" s="3">
        <v>0</v>
      </c>
      <c r="R930" s="3">
        <f t="shared" si="263"/>
        <v>0</v>
      </c>
      <c r="S930" s="3">
        <v>0</v>
      </c>
      <c r="T930" s="5">
        <v>0</v>
      </c>
      <c r="U930" s="3">
        <v>0</v>
      </c>
      <c r="V930" s="6">
        <f t="shared" si="264"/>
        <v>6600</v>
      </c>
    </row>
    <row r="931" spans="1:258" ht="25.15" customHeight="1" x14ac:dyDescent="0.25">
      <c r="A931" s="53" t="s">
        <v>1792</v>
      </c>
      <c r="B931" s="8" t="s">
        <v>686</v>
      </c>
      <c r="C931" s="2">
        <f t="shared" si="268"/>
        <v>1960200</v>
      </c>
      <c r="D931" s="3">
        <f t="shared" si="262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3">
        <v>297</v>
      </c>
      <c r="N931" s="3">
        <f t="shared" si="273"/>
        <v>1960200</v>
      </c>
      <c r="O931" s="3">
        <v>0</v>
      </c>
      <c r="P931" s="3">
        <v>0</v>
      </c>
      <c r="Q931" s="3">
        <v>0</v>
      </c>
      <c r="R931" s="3">
        <f t="shared" si="263"/>
        <v>0</v>
      </c>
      <c r="S931" s="3">
        <v>0</v>
      </c>
      <c r="T931" s="5">
        <v>0</v>
      </c>
      <c r="U931" s="3">
        <v>0</v>
      </c>
      <c r="V931" s="6">
        <f t="shared" si="264"/>
        <v>6600</v>
      </c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  <c r="IX931" s="17"/>
    </row>
    <row r="932" spans="1:258" ht="25.15" customHeight="1" x14ac:dyDescent="0.25">
      <c r="A932" s="53" t="s">
        <v>1793</v>
      </c>
      <c r="B932" s="8" t="s">
        <v>676</v>
      </c>
      <c r="C932" s="2">
        <f>D932+L932+N932+P932+R932+S932+T932+U932</f>
        <v>1927200</v>
      </c>
      <c r="D932" s="3">
        <f>SUM(E932:J932)</f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4">
        <v>0</v>
      </c>
      <c r="L932" s="3">
        <v>0</v>
      </c>
      <c r="M932" s="3">
        <v>292</v>
      </c>
      <c r="N932" s="3">
        <f t="shared" si="273"/>
        <v>1927200</v>
      </c>
      <c r="O932" s="3">
        <v>0</v>
      </c>
      <c r="P932" s="3">
        <v>0</v>
      </c>
      <c r="Q932" s="3">
        <v>0</v>
      </c>
      <c r="R932" s="3">
        <f t="shared" si="263"/>
        <v>0</v>
      </c>
      <c r="S932" s="3">
        <v>0</v>
      </c>
      <c r="T932" s="5">
        <v>0</v>
      </c>
      <c r="U932" s="3">
        <v>0</v>
      </c>
      <c r="V932" s="6">
        <f>N932/M932</f>
        <v>6600</v>
      </c>
    </row>
    <row r="933" spans="1:258" ht="25.15" customHeight="1" x14ac:dyDescent="0.25">
      <c r="A933" s="53" t="s">
        <v>1794</v>
      </c>
      <c r="B933" s="8" t="s">
        <v>397</v>
      </c>
      <c r="C933" s="2">
        <f t="shared" ref="C933" si="274">D933+L933+N933+P933+R933+S933+T933+U933</f>
        <v>357312</v>
      </c>
      <c r="D933" s="3">
        <f t="shared" ref="D933" si="275">SUM(E933:J933)</f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3">
        <v>0</v>
      </c>
      <c r="N933" s="3">
        <v>0</v>
      </c>
      <c r="O933" s="3">
        <v>297.76</v>
      </c>
      <c r="P933" s="3">
        <f>O933*1200</f>
        <v>357312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6" t="e">
        <f t="shared" ref="V933" si="276">N933/M933</f>
        <v>#DIV/0!</v>
      </c>
    </row>
    <row r="934" spans="1:258" ht="25.15" customHeight="1" x14ac:dyDescent="0.25">
      <c r="A934" s="53" t="s">
        <v>1795</v>
      </c>
      <c r="B934" s="8" t="s">
        <v>386</v>
      </c>
      <c r="C934" s="2">
        <f>D934+L934+N934+P934+R934+S934+T934+U934</f>
        <v>9074976.1199999992</v>
      </c>
      <c r="D934" s="3">
        <f>SUM(E934:J934)</f>
        <v>8838960</v>
      </c>
      <c r="E934" s="3">
        <f>700*3399.6</f>
        <v>2379720</v>
      </c>
      <c r="F934" s="3">
        <f>1300*3399.6</f>
        <v>4419480</v>
      </c>
      <c r="G934" s="3">
        <f>300*3399.6</f>
        <v>1019880</v>
      </c>
      <c r="H934" s="3">
        <v>0</v>
      </c>
      <c r="I934" s="3">
        <f>300*3399.6</f>
        <v>1019880</v>
      </c>
      <c r="J934" s="3">
        <f t="shared" si="134"/>
        <v>0</v>
      </c>
      <c r="K934" s="4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f>Q934*3000</f>
        <v>0</v>
      </c>
      <c r="S934" s="3">
        <v>0</v>
      </c>
      <c r="T934" s="5">
        <v>0</v>
      </c>
      <c r="U934" s="3">
        <v>236016.12</v>
      </c>
      <c r="V934" s="6" t="e">
        <f>N934/M934</f>
        <v>#DIV/0!</v>
      </c>
    </row>
    <row r="935" spans="1:258" ht="25.15" customHeight="1" x14ac:dyDescent="0.25">
      <c r="A935" s="53" t="s">
        <v>1796</v>
      </c>
      <c r="B935" s="8" t="s">
        <v>764</v>
      </c>
      <c r="C935" s="2">
        <f t="shared" si="268"/>
        <v>3517800</v>
      </c>
      <c r="D935" s="3">
        <f t="shared" si="262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5">
        <v>533</v>
      </c>
      <c r="N935" s="3">
        <f t="shared" si="273"/>
        <v>3517800</v>
      </c>
      <c r="O935" s="3">
        <v>0</v>
      </c>
      <c r="P935" s="3">
        <v>0</v>
      </c>
      <c r="Q935" s="3">
        <v>0</v>
      </c>
      <c r="R935" s="3">
        <f t="shared" si="263"/>
        <v>0</v>
      </c>
      <c r="S935" s="3">
        <v>0</v>
      </c>
      <c r="T935" s="5">
        <v>0</v>
      </c>
      <c r="U935" s="3">
        <v>0</v>
      </c>
      <c r="V935" s="6">
        <f t="shared" si="264"/>
        <v>6600</v>
      </c>
    </row>
    <row r="936" spans="1:258" ht="25.15" customHeight="1" x14ac:dyDescent="0.25">
      <c r="A936" s="53" t="s">
        <v>1797</v>
      </c>
      <c r="B936" s="8" t="s">
        <v>687</v>
      </c>
      <c r="C936" s="2">
        <f t="shared" si="268"/>
        <v>3550800</v>
      </c>
      <c r="D936" s="3">
        <f t="shared" si="262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3">
        <v>538</v>
      </c>
      <c r="N936" s="3">
        <f t="shared" si="273"/>
        <v>3550800</v>
      </c>
      <c r="O936" s="3">
        <v>0</v>
      </c>
      <c r="P936" s="3">
        <v>0</v>
      </c>
      <c r="Q936" s="3">
        <v>0</v>
      </c>
      <c r="R936" s="3">
        <f t="shared" si="263"/>
        <v>0</v>
      </c>
      <c r="S936" s="3">
        <v>0</v>
      </c>
      <c r="T936" s="5">
        <v>0</v>
      </c>
      <c r="U936" s="3">
        <v>0</v>
      </c>
      <c r="V936" s="6">
        <f t="shared" si="264"/>
        <v>6600</v>
      </c>
    </row>
    <row r="937" spans="1:258" ht="25.15" customHeight="1" x14ac:dyDescent="0.25">
      <c r="A937" s="53" t="s">
        <v>1798</v>
      </c>
      <c r="B937" s="8" t="s">
        <v>688</v>
      </c>
      <c r="C937" s="2">
        <f t="shared" si="268"/>
        <v>3550800</v>
      </c>
      <c r="D937" s="3">
        <f t="shared" si="262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4">
        <v>0</v>
      </c>
      <c r="L937" s="3">
        <v>0</v>
      </c>
      <c r="M937" s="3">
        <v>538</v>
      </c>
      <c r="N937" s="3">
        <f t="shared" si="273"/>
        <v>3550800</v>
      </c>
      <c r="O937" s="3">
        <v>0</v>
      </c>
      <c r="P937" s="3">
        <v>0</v>
      </c>
      <c r="Q937" s="5">
        <v>0</v>
      </c>
      <c r="R937" s="3">
        <f t="shared" si="263"/>
        <v>0</v>
      </c>
      <c r="S937" s="3">
        <v>0</v>
      </c>
      <c r="T937" s="5">
        <v>0</v>
      </c>
      <c r="U937" s="3">
        <v>0</v>
      </c>
      <c r="V937" s="6">
        <f t="shared" si="264"/>
        <v>6600</v>
      </c>
    </row>
    <row r="938" spans="1:258" ht="25.15" customHeight="1" x14ac:dyDescent="0.25">
      <c r="A938" s="53" t="s">
        <v>1799</v>
      </c>
      <c r="B938" s="8" t="s">
        <v>946</v>
      </c>
      <c r="C938" s="2">
        <f t="shared" si="268"/>
        <v>11500000</v>
      </c>
      <c r="D938" s="3">
        <f t="shared" si="262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4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3500</v>
      </c>
      <c r="R938" s="3">
        <f t="shared" si="263"/>
        <v>11200000</v>
      </c>
      <c r="S938" s="3">
        <v>0</v>
      </c>
      <c r="T938" s="5">
        <v>0</v>
      </c>
      <c r="U938" s="3">
        <v>300000</v>
      </c>
      <c r="V938" s="6" t="e">
        <f t="shared" si="264"/>
        <v>#DIV/0!</v>
      </c>
    </row>
    <row r="939" spans="1:258" ht="25.15" customHeight="1" x14ac:dyDescent="0.25">
      <c r="A939" s="53" t="s">
        <v>1800</v>
      </c>
      <c r="B939" s="8" t="s">
        <v>582</v>
      </c>
      <c r="C939" s="2">
        <f t="shared" si="268"/>
        <v>6973400</v>
      </c>
      <c r="D939" s="3">
        <f>SUM(E939:J939)</f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11">
        <v>0</v>
      </c>
      <c r="L939" s="5">
        <v>0</v>
      </c>
      <c r="M939" s="5">
        <v>659</v>
      </c>
      <c r="N939" s="3">
        <f t="shared" ref="N939:N978" si="277">M939*6600</f>
        <v>4349400</v>
      </c>
      <c r="O939" s="5">
        <v>0</v>
      </c>
      <c r="P939" s="5">
        <v>0</v>
      </c>
      <c r="Q939" s="5">
        <v>820</v>
      </c>
      <c r="R939" s="3">
        <f t="shared" si="263"/>
        <v>2624000</v>
      </c>
      <c r="S939" s="5">
        <v>0</v>
      </c>
      <c r="T939" s="5">
        <v>0</v>
      </c>
      <c r="U939" s="5">
        <v>0</v>
      </c>
      <c r="V939" s="6">
        <f t="shared" si="264"/>
        <v>6600</v>
      </c>
    </row>
    <row r="940" spans="1:258" ht="25.15" customHeight="1" x14ac:dyDescent="0.25">
      <c r="A940" s="53" t="s">
        <v>1801</v>
      </c>
      <c r="B940" s="8" t="s">
        <v>689</v>
      </c>
      <c r="C940" s="2">
        <f t="shared" si="268"/>
        <v>3435960</v>
      </c>
      <c r="D940" s="3">
        <f t="shared" si="262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3">
        <v>520.6</v>
      </c>
      <c r="N940" s="3">
        <f t="shared" si="277"/>
        <v>3435960</v>
      </c>
      <c r="O940" s="3">
        <v>0</v>
      </c>
      <c r="P940" s="3">
        <v>0</v>
      </c>
      <c r="Q940" s="5">
        <v>0</v>
      </c>
      <c r="R940" s="3">
        <f t="shared" si="263"/>
        <v>0</v>
      </c>
      <c r="S940" s="3">
        <v>0</v>
      </c>
      <c r="T940" s="5">
        <v>0</v>
      </c>
      <c r="U940" s="3">
        <v>0</v>
      </c>
      <c r="V940" s="6">
        <f t="shared" si="264"/>
        <v>6600</v>
      </c>
    </row>
    <row r="941" spans="1:258" ht="25.15" customHeight="1" x14ac:dyDescent="0.25">
      <c r="A941" s="53" t="s">
        <v>1802</v>
      </c>
      <c r="B941" s="8" t="s">
        <v>690</v>
      </c>
      <c r="C941" s="2">
        <f t="shared" si="268"/>
        <v>1933800</v>
      </c>
      <c r="D941" s="3">
        <f t="shared" si="262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293</v>
      </c>
      <c r="N941" s="3">
        <f t="shared" si="277"/>
        <v>1933800</v>
      </c>
      <c r="O941" s="3">
        <v>0</v>
      </c>
      <c r="P941" s="3">
        <v>0</v>
      </c>
      <c r="Q941" s="5">
        <v>0</v>
      </c>
      <c r="R941" s="3">
        <f t="shared" si="263"/>
        <v>0</v>
      </c>
      <c r="S941" s="3">
        <v>0</v>
      </c>
      <c r="T941" s="5">
        <v>0</v>
      </c>
      <c r="U941" s="3">
        <v>0</v>
      </c>
      <c r="V941" s="6">
        <f t="shared" si="264"/>
        <v>6600</v>
      </c>
    </row>
    <row r="942" spans="1:258" ht="25.15" customHeight="1" x14ac:dyDescent="0.25">
      <c r="A942" s="53" t="s">
        <v>1803</v>
      </c>
      <c r="B942" s="23" t="s">
        <v>805</v>
      </c>
      <c r="C942" s="2">
        <f t="shared" si="268"/>
        <v>300000</v>
      </c>
      <c r="D942" s="3">
        <f t="shared" si="262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5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5">
        <v>0</v>
      </c>
      <c r="U942" s="3">
        <v>300000</v>
      </c>
      <c r="V942" s="6" t="e">
        <f t="shared" si="264"/>
        <v>#DIV/0!</v>
      </c>
    </row>
    <row r="943" spans="1:258" ht="25.15" customHeight="1" x14ac:dyDescent="0.25">
      <c r="A943" s="53" t="s">
        <v>1804</v>
      </c>
      <c r="B943" s="8" t="s">
        <v>589</v>
      </c>
      <c r="C943" s="2">
        <f t="shared" si="268"/>
        <v>1611500</v>
      </c>
      <c r="D943" s="3">
        <f t="shared" ref="D943" si="278">SUM(E943:J943)</f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11">
        <v>0</v>
      </c>
      <c r="L943" s="5">
        <v>0</v>
      </c>
      <c r="M943" s="5">
        <v>293</v>
      </c>
      <c r="N943" s="3">
        <f>M943*5500</f>
        <v>1611500</v>
      </c>
      <c r="O943" s="5">
        <v>0</v>
      </c>
      <c r="P943" s="5">
        <v>0</v>
      </c>
      <c r="Q943" s="5">
        <v>0</v>
      </c>
      <c r="R943" s="3">
        <v>0</v>
      </c>
      <c r="S943" s="5">
        <v>0</v>
      </c>
      <c r="T943" s="5">
        <v>0</v>
      </c>
      <c r="U943" s="5">
        <v>0</v>
      </c>
      <c r="V943" s="6">
        <f t="shared" si="264"/>
        <v>5500</v>
      </c>
    </row>
    <row r="944" spans="1:258" ht="25.15" customHeight="1" x14ac:dyDescent="0.25">
      <c r="A944" s="53" t="s">
        <v>1805</v>
      </c>
      <c r="B944" s="8" t="s">
        <v>513</v>
      </c>
      <c r="C944" s="2">
        <f t="shared" si="268"/>
        <v>3432000</v>
      </c>
      <c r="D944" s="3">
        <f>SUM(E944:J944)</f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11">
        <v>0</v>
      </c>
      <c r="L944" s="5">
        <v>0</v>
      </c>
      <c r="M944" s="5">
        <v>520</v>
      </c>
      <c r="N944" s="3">
        <f t="shared" si="277"/>
        <v>3432000</v>
      </c>
      <c r="O944" s="5">
        <v>0</v>
      </c>
      <c r="P944" s="5">
        <v>0</v>
      </c>
      <c r="Q944" s="5">
        <v>0</v>
      </c>
      <c r="R944" s="3">
        <f t="shared" si="263"/>
        <v>0</v>
      </c>
      <c r="S944" s="5">
        <v>0</v>
      </c>
      <c r="T944" s="5">
        <v>0</v>
      </c>
      <c r="U944" s="5">
        <v>0</v>
      </c>
      <c r="V944" s="6">
        <f t="shared" si="264"/>
        <v>6600</v>
      </c>
    </row>
    <row r="945" spans="1:258" ht="25.15" customHeight="1" x14ac:dyDescent="0.25">
      <c r="A945" s="53" t="s">
        <v>1806</v>
      </c>
      <c r="B945" s="8" t="s">
        <v>514</v>
      </c>
      <c r="C945" s="2">
        <f>D945+L945+N945+P945+R945+S945+T945+U945</f>
        <v>5148000</v>
      </c>
      <c r="D945" s="3">
        <f>SUM(E945:J945)</f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11">
        <v>0</v>
      </c>
      <c r="L945" s="5">
        <v>0</v>
      </c>
      <c r="M945" s="5">
        <v>780</v>
      </c>
      <c r="N945" s="3">
        <f>M945*6600</f>
        <v>5148000</v>
      </c>
      <c r="O945" s="5">
        <v>0</v>
      </c>
      <c r="P945" s="5">
        <v>0</v>
      </c>
      <c r="Q945" s="5">
        <v>0</v>
      </c>
      <c r="R945" s="3">
        <f>Q945*3000</f>
        <v>0</v>
      </c>
      <c r="S945" s="5">
        <v>0</v>
      </c>
      <c r="T945" s="5">
        <v>0</v>
      </c>
      <c r="U945" s="5">
        <v>0</v>
      </c>
      <c r="V945" s="6">
        <f>N945/M945</f>
        <v>6600</v>
      </c>
    </row>
    <row r="946" spans="1:258" ht="25.15" customHeight="1" x14ac:dyDescent="0.25">
      <c r="A946" s="53" t="s">
        <v>1807</v>
      </c>
      <c r="B946" s="8" t="s">
        <v>766</v>
      </c>
      <c r="C946" s="2">
        <f t="shared" si="268"/>
        <v>2079000</v>
      </c>
      <c r="D946" s="3">
        <f t="shared" si="262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">
        <v>315</v>
      </c>
      <c r="N946" s="3">
        <f t="shared" si="277"/>
        <v>2079000</v>
      </c>
      <c r="O946" s="3">
        <v>0</v>
      </c>
      <c r="P946" s="3">
        <v>0</v>
      </c>
      <c r="Q946" s="5">
        <v>0</v>
      </c>
      <c r="R946" s="3">
        <f t="shared" si="263"/>
        <v>0</v>
      </c>
      <c r="S946" s="3">
        <v>0</v>
      </c>
      <c r="T946" s="5">
        <v>0</v>
      </c>
      <c r="U946" s="3">
        <v>0</v>
      </c>
      <c r="V946" s="6">
        <f t="shared" si="264"/>
        <v>6600</v>
      </c>
    </row>
    <row r="947" spans="1:258" ht="25.15" customHeight="1" x14ac:dyDescent="0.25">
      <c r="A947" s="53" t="s">
        <v>1808</v>
      </c>
      <c r="B947" s="8" t="s">
        <v>767</v>
      </c>
      <c r="C947" s="2">
        <f t="shared" si="268"/>
        <v>1768800</v>
      </c>
      <c r="D947" s="3">
        <f t="shared" si="262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3">
        <v>268</v>
      </c>
      <c r="N947" s="3">
        <f t="shared" si="277"/>
        <v>1768800</v>
      </c>
      <c r="O947" s="3">
        <v>0</v>
      </c>
      <c r="P947" s="3">
        <v>0</v>
      </c>
      <c r="Q947" s="5">
        <v>0</v>
      </c>
      <c r="R947" s="3">
        <f t="shared" si="263"/>
        <v>0</v>
      </c>
      <c r="S947" s="3">
        <v>0</v>
      </c>
      <c r="T947" s="5">
        <v>0</v>
      </c>
      <c r="U947" s="3">
        <v>0</v>
      </c>
      <c r="V947" s="6">
        <f t="shared" si="264"/>
        <v>6600</v>
      </c>
    </row>
    <row r="948" spans="1:258" ht="25.15" customHeight="1" x14ac:dyDescent="0.25">
      <c r="A948" s="53" t="s">
        <v>1809</v>
      </c>
      <c r="B948" s="8" t="s">
        <v>768</v>
      </c>
      <c r="C948" s="2">
        <f t="shared" si="268"/>
        <v>27351800</v>
      </c>
      <c r="D948" s="3">
        <f t="shared" si="262"/>
        <v>23260200</v>
      </c>
      <c r="E948" s="3">
        <f>700*7753.4</f>
        <v>5427380</v>
      </c>
      <c r="F948" s="3">
        <f>1300*7753.4</f>
        <v>10079420</v>
      </c>
      <c r="G948" s="3">
        <f>300*7753.4</f>
        <v>2326020</v>
      </c>
      <c r="H948" s="3">
        <f>400*7753.4</f>
        <v>3101360</v>
      </c>
      <c r="I948" s="3">
        <f>300*7753.4</f>
        <v>2326020</v>
      </c>
      <c r="J948" s="3">
        <v>0</v>
      </c>
      <c r="K948" s="4">
        <v>0</v>
      </c>
      <c r="L948" s="3">
        <v>0</v>
      </c>
      <c r="M948" s="3">
        <v>438</v>
      </c>
      <c r="N948" s="3">
        <f t="shared" si="277"/>
        <v>2890800</v>
      </c>
      <c r="O948" s="3">
        <v>0</v>
      </c>
      <c r="P948" s="3">
        <v>0</v>
      </c>
      <c r="Q948" s="3">
        <v>344</v>
      </c>
      <c r="R948" s="3">
        <f t="shared" si="263"/>
        <v>1100800</v>
      </c>
      <c r="S948" s="3">
        <v>0</v>
      </c>
      <c r="T948" s="5">
        <v>0</v>
      </c>
      <c r="U948" s="3">
        <v>100000</v>
      </c>
      <c r="V948" s="6">
        <f t="shared" si="264"/>
        <v>6600</v>
      </c>
    </row>
    <row r="949" spans="1:258" ht="25.15" customHeight="1" x14ac:dyDescent="0.25">
      <c r="A949" s="53" t="s">
        <v>1810</v>
      </c>
      <c r="B949" s="8" t="s">
        <v>1203</v>
      </c>
      <c r="C949" s="2">
        <f>D949+L949+N949+P949+R949+S949+T949+U949</f>
        <v>300000</v>
      </c>
      <c r="D949" s="3">
        <f>SUM(E949:J949)</f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0</v>
      </c>
      <c r="N949" s="3">
        <f t="shared" si="277"/>
        <v>0</v>
      </c>
      <c r="O949" s="3">
        <v>0</v>
      </c>
      <c r="P949" s="3">
        <v>0</v>
      </c>
      <c r="Q949" s="5">
        <v>0</v>
      </c>
      <c r="R949" s="3">
        <f t="shared" ref="R949:R1018" si="279">Q949*3200</f>
        <v>0</v>
      </c>
      <c r="S949" s="3">
        <v>0</v>
      </c>
      <c r="T949" s="5">
        <v>0</v>
      </c>
      <c r="U949" s="3">
        <v>300000</v>
      </c>
      <c r="V949" s="6" t="e">
        <f>N949/M949</f>
        <v>#DIV/0!</v>
      </c>
    </row>
    <row r="950" spans="1:258" ht="25.15" customHeight="1" x14ac:dyDescent="0.25">
      <c r="A950" s="53" t="s">
        <v>1811</v>
      </c>
      <c r="B950" s="8" t="s">
        <v>517</v>
      </c>
      <c r="C950" s="2">
        <f>D950+L950+N950+P950+R950+S950+T950+U950</f>
        <v>3432000</v>
      </c>
      <c r="D950" s="3">
        <f>SUM(E950:J950)</f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11">
        <v>0</v>
      </c>
      <c r="L950" s="5">
        <v>0</v>
      </c>
      <c r="M950" s="5">
        <v>520</v>
      </c>
      <c r="N950" s="3">
        <f t="shared" si="277"/>
        <v>3432000</v>
      </c>
      <c r="O950" s="5">
        <v>0</v>
      </c>
      <c r="P950" s="5">
        <v>0</v>
      </c>
      <c r="Q950" s="5">
        <v>0</v>
      </c>
      <c r="R950" s="3">
        <f t="shared" si="279"/>
        <v>0</v>
      </c>
      <c r="S950" s="5">
        <v>0</v>
      </c>
      <c r="T950" s="5">
        <v>0</v>
      </c>
      <c r="U950" s="5">
        <v>0</v>
      </c>
      <c r="V950" s="6">
        <f>N950/M950</f>
        <v>6600</v>
      </c>
    </row>
    <row r="951" spans="1:258" s="28" customFormat="1" ht="25.15" customHeight="1" x14ac:dyDescent="0.25">
      <c r="A951" s="53" t="s">
        <v>1812</v>
      </c>
      <c r="B951" s="8" t="s">
        <v>691</v>
      </c>
      <c r="C951" s="2">
        <f t="shared" si="268"/>
        <v>300000</v>
      </c>
      <c r="D951" s="3">
        <f t="shared" si="262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0</v>
      </c>
      <c r="N951" s="3">
        <f t="shared" si="277"/>
        <v>0</v>
      </c>
      <c r="O951" s="3">
        <v>0</v>
      </c>
      <c r="P951" s="3">
        <v>0</v>
      </c>
      <c r="Q951" s="5">
        <v>0</v>
      </c>
      <c r="R951" s="3">
        <f t="shared" si="279"/>
        <v>0</v>
      </c>
      <c r="S951" s="3">
        <v>0</v>
      </c>
      <c r="T951" s="5">
        <v>0</v>
      </c>
      <c r="U951" s="3">
        <v>300000</v>
      </c>
      <c r="V951" s="6" t="e">
        <f t="shared" si="264"/>
        <v>#DIV/0!</v>
      </c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7"/>
      <c r="DZ951" s="7"/>
      <c r="EA951" s="7"/>
      <c r="EB951" s="7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  <c r="GJ951" s="7"/>
      <c r="GK951" s="7"/>
      <c r="GL951" s="7"/>
      <c r="GM951" s="7"/>
      <c r="GN951" s="7"/>
      <c r="GO951" s="7"/>
      <c r="GP951" s="7"/>
      <c r="GQ951" s="7"/>
      <c r="GR951" s="7"/>
      <c r="GS951" s="7"/>
      <c r="GT951" s="7"/>
      <c r="GU951" s="7"/>
      <c r="GV951" s="7"/>
      <c r="GW951" s="7"/>
      <c r="GX951" s="7"/>
      <c r="GY951" s="7"/>
      <c r="GZ951" s="7"/>
      <c r="HA951" s="7"/>
      <c r="HB951" s="7"/>
      <c r="HC951" s="7"/>
      <c r="HD951" s="7"/>
      <c r="HE951" s="7"/>
      <c r="HF951" s="7"/>
      <c r="HG951" s="7"/>
      <c r="HH951" s="7"/>
      <c r="HI951" s="7"/>
      <c r="HJ951" s="7"/>
      <c r="HK951" s="7"/>
      <c r="HL951" s="7"/>
      <c r="HM951" s="7"/>
      <c r="HN951" s="7"/>
      <c r="HO951" s="7"/>
      <c r="HP951" s="7"/>
      <c r="HQ951" s="7"/>
      <c r="HR951" s="7"/>
      <c r="HS951" s="7"/>
      <c r="HT951" s="7"/>
      <c r="HU951" s="7"/>
      <c r="HV951" s="7"/>
      <c r="HW951" s="7"/>
      <c r="HX951" s="7"/>
      <c r="HY951" s="7"/>
      <c r="HZ951" s="7"/>
      <c r="IA951" s="7"/>
      <c r="IB951" s="7"/>
      <c r="IC951" s="7"/>
      <c r="ID951" s="7"/>
      <c r="IE951" s="7"/>
      <c r="IF951" s="7"/>
      <c r="IG951" s="7"/>
      <c r="IH951" s="7"/>
      <c r="II951" s="7"/>
      <c r="IJ951" s="7"/>
      <c r="IK951" s="7"/>
      <c r="IL951" s="7"/>
      <c r="IM951" s="7"/>
      <c r="IN951" s="7"/>
      <c r="IO951" s="7"/>
      <c r="IP951" s="7"/>
      <c r="IQ951" s="7"/>
      <c r="IR951" s="7"/>
      <c r="IS951" s="7"/>
      <c r="IT951" s="7"/>
      <c r="IU951" s="7"/>
      <c r="IV951" s="7"/>
      <c r="IW951" s="7"/>
      <c r="IX951" s="7"/>
    </row>
    <row r="952" spans="1:258" ht="25.15" customHeight="1" x14ac:dyDescent="0.25">
      <c r="A952" s="53" t="s">
        <v>1813</v>
      </c>
      <c r="B952" s="8" t="s">
        <v>692</v>
      </c>
      <c r="C952" s="2">
        <f t="shared" si="268"/>
        <v>300000</v>
      </c>
      <c r="D952" s="3">
        <f t="shared" si="262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0</v>
      </c>
      <c r="N952" s="3">
        <f t="shared" si="277"/>
        <v>0</v>
      </c>
      <c r="O952" s="3">
        <v>0</v>
      </c>
      <c r="P952" s="3">
        <v>0</v>
      </c>
      <c r="Q952" s="5">
        <v>0</v>
      </c>
      <c r="R952" s="3">
        <f t="shared" si="279"/>
        <v>0</v>
      </c>
      <c r="S952" s="3">
        <v>0</v>
      </c>
      <c r="T952" s="5">
        <v>0</v>
      </c>
      <c r="U952" s="3">
        <v>300000</v>
      </c>
      <c r="V952" s="6" t="e">
        <f t="shared" si="264"/>
        <v>#DIV/0!</v>
      </c>
    </row>
    <row r="953" spans="1:258" ht="25.15" customHeight="1" x14ac:dyDescent="0.25">
      <c r="A953" s="53" t="s">
        <v>1814</v>
      </c>
      <c r="B953" s="23" t="s">
        <v>769</v>
      </c>
      <c r="C953" s="2">
        <f t="shared" si="268"/>
        <v>3579179.9999999995</v>
      </c>
      <c r="D953" s="3">
        <f t="shared" si="262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542.29999999999995</v>
      </c>
      <c r="N953" s="3">
        <f t="shared" si="277"/>
        <v>3579179.9999999995</v>
      </c>
      <c r="O953" s="3">
        <v>0</v>
      </c>
      <c r="P953" s="3">
        <v>0</v>
      </c>
      <c r="Q953" s="5">
        <v>0</v>
      </c>
      <c r="R953" s="3">
        <f t="shared" si="279"/>
        <v>0</v>
      </c>
      <c r="S953" s="3">
        <v>0</v>
      </c>
      <c r="T953" s="5">
        <v>0</v>
      </c>
      <c r="U953" s="3">
        <v>0</v>
      </c>
      <c r="V953" s="6">
        <f t="shared" si="264"/>
        <v>6600</v>
      </c>
    </row>
    <row r="954" spans="1:258" ht="25.15" customHeight="1" x14ac:dyDescent="0.25">
      <c r="A954" s="53" t="s">
        <v>1815</v>
      </c>
      <c r="B954" s="8" t="s">
        <v>693</v>
      </c>
      <c r="C954" s="2">
        <f t="shared" si="268"/>
        <v>5766100</v>
      </c>
      <c r="D954" s="3">
        <f t="shared" si="262"/>
        <v>5666100</v>
      </c>
      <c r="E954" s="3">
        <f>700*1888.7</f>
        <v>1322090</v>
      </c>
      <c r="F954" s="3">
        <f>1300*1888.7</f>
        <v>2455310</v>
      </c>
      <c r="G954" s="3">
        <f>300*1888.7</f>
        <v>566610</v>
      </c>
      <c r="H954" s="3">
        <f>400*1888.7</f>
        <v>755480</v>
      </c>
      <c r="I954" s="3">
        <f>300*1888.7</f>
        <v>566610</v>
      </c>
      <c r="J954" s="3">
        <v>0</v>
      </c>
      <c r="K954" s="4">
        <v>0</v>
      </c>
      <c r="L954" s="3">
        <v>0</v>
      </c>
      <c r="M954" s="3">
        <v>0</v>
      </c>
      <c r="N954" s="3">
        <f t="shared" si="277"/>
        <v>0</v>
      </c>
      <c r="O954" s="3">
        <v>0</v>
      </c>
      <c r="P954" s="3">
        <v>0</v>
      </c>
      <c r="Q954" s="5">
        <v>0</v>
      </c>
      <c r="R954" s="3">
        <f t="shared" si="279"/>
        <v>0</v>
      </c>
      <c r="S954" s="3">
        <v>0</v>
      </c>
      <c r="T954" s="5">
        <v>0</v>
      </c>
      <c r="U954" s="3">
        <v>100000</v>
      </c>
      <c r="V954" s="6" t="e">
        <f t="shared" si="264"/>
        <v>#DIV/0!</v>
      </c>
    </row>
    <row r="955" spans="1:258" ht="25.15" customHeight="1" x14ac:dyDescent="0.25">
      <c r="A955" s="53" t="s">
        <v>1816</v>
      </c>
      <c r="B955" s="8" t="s">
        <v>770</v>
      </c>
      <c r="C955" s="2">
        <f t="shared" si="268"/>
        <v>3768600</v>
      </c>
      <c r="D955" s="3">
        <f t="shared" si="262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3">
        <v>571</v>
      </c>
      <c r="N955" s="3">
        <f t="shared" si="277"/>
        <v>3768600</v>
      </c>
      <c r="O955" s="3">
        <v>0</v>
      </c>
      <c r="P955" s="3">
        <v>0</v>
      </c>
      <c r="Q955" s="5">
        <v>0</v>
      </c>
      <c r="R955" s="3">
        <f t="shared" si="279"/>
        <v>0</v>
      </c>
      <c r="S955" s="3">
        <v>0</v>
      </c>
      <c r="T955" s="5">
        <v>0</v>
      </c>
      <c r="U955" s="3">
        <v>0</v>
      </c>
      <c r="V955" s="6">
        <f t="shared" si="264"/>
        <v>6600</v>
      </c>
    </row>
    <row r="956" spans="1:258" s="29" customFormat="1" ht="25.15" customHeight="1" x14ac:dyDescent="0.25">
      <c r="A956" s="53" t="s">
        <v>1817</v>
      </c>
      <c r="B956" s="8" t="s">
        <v>694</v>
      </c>
      <c r="C956" s="2">
        <f t="shared" si="268"/>
        <v>3292740</v>
      </c>
      <c r="D956" s="3">
        <f t="shared" si="262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498.9</v>
      </c>
      <c r="N956" s="3">
        <f t="shared" si="277"/>
        <v>3292740</v>
      </c>
      <c r="O956" s="3">
        <v>0</v>
      </c>
      <c r="P956" s="3">
        <v>0</v>
      </c>
      <c r="Q956" s="5">
        <v>0</v>
      </c>
      <c r="R956" s="3">
        <f t="shared" si="279"/>
        <v>0</v>
      </c>
      <c r="S956" s="3">
        <v>0</v>
      </c>
      <c r="T956" s="5">
        <v>0</v>
      </c>
      <c r="U956" s="3">
        <v>0</v>
      </c>
      <c r="V956" s="6">
        <f t="shared" si="264"/>
        <v>6600</v>
      </c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  <c r="GT956" s="7"/>
      <c r="GU956" s="7"/>
      <c r="GV956" s="7"/>
      <c r="GW956" s="7"/>
      <c r="GX956" s="7"/>
      <c r="GY956" s="7"/>
      <c r="GZ956" s="7"/>
      <c r="HA956" s="7"/>
      <c r="HB956" s="7"/>
      <c r="HC956" s="7"/>
      <c r="HD956" s="7"/>
      <c r="HE956" s="7"/>
      <c r="HF956" s="7"/>
      <c r="HG956" s="7"/>
      <c r="HH956" s="7"/>
      <c r="HI956" s="7"/>
      <c r="HJ956" s="7"/>
      <c r="HK956" s="7"/>
      <c r="HL956" s="7"/>
      <c r="HM956" s="7"/>
      <c r="HN956" s="7"/>
      <c r="HO956" s="7"/>
      <c r="HP956" s="7"/>
      <c r="HQ956" s="7"/>
      <c r="HR956" s="7"/>
      <c r="HS956" s="7"/>
      <c r="HT956" s="7"/>
      <c r="HU956" s="7"/>
      <c r="HV956" s="7"/>
      <c r="HW956" s="7"/>
      <c r="HX956" s="7"/>
      <c r="HY956" s="7"/>
      <c r="HZ956" s="7"/>
      <c r="IA956" s="7"/>
      <c r="IB956" s="7"/>
      <c r="IC956" s="7"/>
      <c r="ID956" s="7"/>
      <c r="IE956" s="7"/>
      <c r="IF956" s="7"/>
      <c r="IG956" s="7"/>
      <c r="IH956" s="7"/>
      <c r="II956" s="7"/>
      <c r="IJ956" s="7"/>
      <c r="IK956" s="7"/>
      <c r="IL956" s="7"/>
      <c r="IM956" s="7"/>
      <c r="IN956" s="7"/>
      <c r="IO956" s="7"/>
      <c r="IP956" s="7"/>
      <c r="IQ956" s="7"/>
      <c r="IR956" s="7"/>
      <c r="IS956" s="7"/>
      <c r="IT956" s="7"/>
      <c r="IU956" s="7"/>
      <c r="IV956" s="7"/>
      <c r="IW956" s="7"/>
      <c r="IX956" s="7"/>
    </row>
    <row r="957" spans="1:258" ht="25.15" customHeight="1" x14ac:dyDescent="0.25">
      <c r="A957" s="53" t="s">
        <v>1818</v>
      </c>
      <c r="B957" s="8" t="s">
        <v>695</v>
      </c>
      <c r="C957" s="2">
        <f t="shared" si="268"/>
        <v>3292740</v>
      </c>
      <c r="D957" s="3">
        <f t="shared" si="262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498.9</v>
      </c>
      <c r="N957" s="3">
        <f t="shared" si="277"/>
        <v>3292740</v>
      </c>
      <c r="O957" s="3">
        <v>0</v>
      </c>
      <c r="P957" s="3">
        <v>0</v>
      </c>
      <c r="Q957" s="5">
        <v>0</v>
      </c>
      <c r="R957" s="3">
        <f t="shared" si="279"/>
        <v>0</v>
      </c>
      <c r="S957" s="3">
        <v>0</v>
      </c>
      <c r="T957" s="5">
        <v>0</v>
      </c>
      <c r="U957" s="3">
        <v>0</v>
      </c>
      <c r="V957" s="6">
        <f t="shared" si="264"/>
        <v>6600</v>
      </c>
    </row>
    <row r="958" spans="1:258" ht="25.15" customHeight="1" x14ac:dyDescent="0.25">
      <c r="A958" s="53" t="s">
        <v>1819</v>
      </c>
      <c r="B958" s="8" t="s">
        <v>771</v>
      </c>
      <c r="C958" s="2">
        <f t="shared" si="268"/>
        <v>4133579.9999999995</v>
      </c>
      <c r="D958" s="3">
        <f t="shared" si="262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626.29999999999995</v>
      </c>
      <c r="N958" s="3">
        <f t="shared" si="277"/>
        <v>4133579.9999999995</v>
      </c>
      <c r="O958" s="3">
        <v>0</v>
      </c>
      <c r="P958" s="3">
        <v>0</v>
      </c>
      <c r="Q958" s="5">
        <v>0</v>
      </c>
      <c r="R958" s="3">
        <f t="shared" si="279"/>
        <v>0</v>
      </c>
      <c r="S958" s="3">
        <v>0</v>
      </c>
      <c r="T958" s="5">
        <v>0</v>
      </c>
      <c r="U958" s="3">
        <v>0</v>
      </c>
      <c r="V958" s="6">
        <f t="shared" si="264"/>
        <v>6600</v>
      </c>
    </row>
    <row r="959" spans="1:258" ht="25.15" customHeight="1" x14ac:dyDescent="0.25">
      <c r="A959" s="53" t="s">
        <v>1820</v>
      </c>
      <c r="B959" s="8" t="s">
        <v>591</v>
      </c>
      <c r="C959" s="2">
        <f t="shared" si="268"/>
        <v>3872400</v>
      </c>
      <c r="D959" s="3">
        <f t="shared" ref="D959" si="280">SUM(E959:J959)</f>
        <v>3872400</v>
      </c>
      <c r="E959" s="3">
        <f>700*1290.8</f>
        <v>903560</v>
      </c>
      <c r="F959" s="3">
        <f>1300*1290.8</f>
        <v>1678040</v>
      </c>
      <c r="G959" s="3">
        <f>300*1290.8</f>
        <v>387240</v>
      </c>
      <c r="H959" s="3">
        <f>400*1290.8</f>
        <v>516320</v>
      </c>
      <c r="I959" s="3">
        <f>300*1290.8</f>
        <v>387240</v>
      </c>
      <c r="J959" s="3">
        <f>350*0</f>
        <v>0</v>
      </c>
      <c r="K959" s="11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3">
        <f t="shared" ref="R959" si="281">Q959*3000</f>
        <v>0</v>
      </c>
      <c r="S959" s="5">
        <v>0</v>
      </c>
      <c r="T959" s="5">
        <v>0</v>
      </c>
      <c r="U959" s="5">
        <v>0</v>
      </c>
      <c r="V959" s="6" t="e">
        <f t="shared" ref="V959" si="282">N959/M959</f>
        <v>#DIV/0!</v>
      </c>
    </row>
    <row r="960" spans="1:258" ht="25.15" customHeight="1" x14ac:dyDescent="0.25">
      <c r="A960" s="53" t="s">
        <v>1821</v>
      </c>
      <c r="B960" s="23" t="s">
        <v>773</v>
      </c>
      <c r="C960" s="2">
        <f>D960+L960+N960+P960+R960+S960+T960+U960</f>
        <v>4045800</v>
      </c>
      <c r="D960" s="3">
        <f>SUM(E960:J960)</f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5">
        <v>613</v>
      </c>
      <c r="N960" s="3">
        <f t="shared" si="277"/>
        <v>4045800</v>
      </c>
      <c r="O960" s="3">
        <v>0</v>
      </c>
      <c r="P960" s="3">
        <v>0</v>
      </c>
      <c r="Q960" s="5">
        <v>0</v>
      </c>
      <c r="R960" s="3">
        <f t="shared" si="279"/>
        <v>0</v>
      </c>
      <c r="S960" s="3">
        <v>0</v>
      </c>
      <c r="T960" s="5">
        <v>0</v>
      </c>
      <c r="U960" s="3">
        <v>0</v>
      </c>
      <c r="V960" s="6">
        <f>N960/M960</f>
        <v>6600</v>
      </c>
    </row>
    <row r="961" spans="1:258" ht="25.15" customHeight="1" x14ac:dyDescent="0.25">
      <c r="A961" s="53" t="s">
        <v>1822</v>
      </c>
      <c r="B961" s="23" t="s">
        <v>521</v>
      </c>
      <c r="C961" s="2">
        <f>D961+L961+N961+P961+R961+S961+T961+U961</f>
        <v>1795200</v>
      </c>
      <c r="D961" s="3">
        <f>SUM(E961:J961)</f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11">
        <v>0</v>
      </c>
      <c r="L961" s="5">
        <v>0</v>
      </c>
      <c r="M961" s="5">
        <v>272</v>
      </c>
      <c r="N961" s="3">
        <f t="shared" si="277"/>
        <v>1795200</v>
      </c>
      <c r="O961" s="5">
        <v>0</v>
      </c>
      <c r="P961" s="5">
        <v>0</v>
      </c>
      <c r="Q961" s="5">
        <v>0</v>
      </c>
      <c r="R961" s="3">
        <f t="shared" si="279"/>
        <v>0</v>
      </c>
      <c r="S961" s="5">
        <v>0</v>
      </c>
      <c r="T961" s="5">
        <v>0</v>
      </c>
      <c r="U961" s="5">
        <v>0</v>
      </c>
      <c r="V961" s="6">
        <f>N961/M961</f>
        <v>6600</v>
      </c>
    </row>
    <row r="962" spans="1:258" ht="25.15" customHeight="1" x14ac:dyDescent="0.25">
      <c r="A962" s="53" t="s">
        <v>1823</v>
      </c>
      <c r="B962" s="23" t="s">
        <v>772</v>
      </c>
      <c r="C962" s="2">
        <f t="shared" si="268"/>
        <v>4052400</v>
      </c>
      <c r="D962" s="3">
        <f t="shared" si="262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5">
        <v>614</v>
      </c>
      <c r="N962" s="3">
        <f t="shared" si="277"/>
        <v>4052400</v>
      </c>
      <c r="O962" s="3">
        <v>0</v>
      </c>
      <c r="P962" s="3">
        <v>0</v>
      </c>
      <c r="Q962" s="5">
        <v>0</v>
      </c>
      <c r="R962" s="3">
        <f t="shared" si="279"/>
        <v>0</v>
      </c>
      <c r="S962" s="3">
        <v>0</v>
      </c>
      <c r="T962" s="5">
        <v>0</v>
      </c>
      <c r="U962" s="3">
        <v>0</v>
      </c>
      <c r="V962" s="6">
        <f t="shared" ref="V962:V1052" si="283">N962/M962</f>
        <v>6600</v>
      </c>
    </row>
    <row r="963" spans="1:258" ht="25.15" customHeight="1" x14ac:dyDescent="0.25">
      <c r="A963" s="53" t="s">
        <v>1824</v>
      </c>
      <c r="B963" s="24" t="s">
        <v>834</v>
      </c>
      <c r="C963" s="2">
        <f t="shared" si="268"/>
        <v>10477420</v>
      </c>
      <c r="D963" s="3">
        <f t="shared" ref="D963:D1053" si="284">SUM(E963:J963)</f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">
        <v>960.7</v>
      </c>
      <c r="N963" s="3">
        <f t="shared" si="277"/>
        <v>6340620</v>
      </c>
      <c r="O963" s="3">
        <v>0</v>
      </c>
      <c r="P963" s="3">
        <v>0</v>
      </c>
      <c r="Q963" s="3">
        <v>1292.75</v>
      </c>
      <c r="R963" s="3">
        <f t="shared" si="279"/>
        <v>4136800</v>
      </c>
      <c r="S963" s="3">
        <v>0</v>
      </c>
      <c r="T963" s="5">
        <v>0</v>
      </c>
      <c r="U963" s="3">
        <v>0</v>
      </c>
      <c r="V963" s="6">
        <f t="shared" si="283"/>
        <v>6600</v>
      </c>
    </row>
    <row r="964" spans="1:258" ht="25.15" customHeight="1" x14ac:dyDescent="0.25">
      <c r="A964" s="53" t="s">
        <v>1825</v>
      </c>
      <c r="B964" s="24" t="s">
        <v>1218</v>
      </c>
      <c r="C964" s="2">
        <f>D964+L964+N964+P964+R964+S964+T964+U964</f>
        <v>8132374</v>
      </c>
      <c r="D964" s="3">
        <f>SUM(E964:J964)</f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">
        <v>553.39</v>
      </c>
      <c r="N964" s="3">
        <f>M964*6600</f>
        <v>3652374</v>
      </c>
      <c r="O964" s="3">
        <v>0</v>
      </c>
      <c r="P964" s="3">
        <v>0</v>
      </c>
      <c r="Q964" s="3">
        <v>1400</v>
      </c>
      <c r="R964" s="5">
        <f>Q964*3200</f>
        <v>4480000</v>
      </c>
      <c r="S964" s="3">
        <v>0</v>
      </c>
      <c r="T964" s="3">
        <v>0</v>
      </c>
      <c r="U964" s="3">
        <v>0</v>
      </c>
      <c r="V964" s="6">
        <f>N964/M964</f>
        <v>6600</v>
      </c>
    </row>
    <row r="965" spans="1:258" ht="25.15" customHeight="1" x14ac:dyDescent="0.25">
      <c r="A965" s="53" t="s">
        <v>1826</v>
      </c>
      <c r="B965" s="8" t="s">
        <v>522</v>
      </c>
      <c r="C965" s="2">
        <f>D965+L965+N965+P965+R965+S965+T965+U965</f>
        <v>4111180</v>
      </c>
      <c r="D965" s="3">
        <f>SUM(E965:J965)</f>
        <v>449820</v>
      </c>
      <c r="E965" s="3">
        <f>700*642.6</f>
        <v>449820</v>
      </c>
      <c r="F965" s="3">
        <v>0</v>
      </c>
      <c r="G965" s="3">
        <v>0</v>
      </c>
      <c r="H965" s="3">
        <v>0</v>
      </c>
      <c r="I965" s="3">
        <v>0</v>
      </c>
      <c r="J965" s="3">
        <f>350*0</f>
        <v>0</v>
      </c>
      <c r="K965" s="11">
        <v>0</v>
      </c>
      <c r="L965" s="5">
        <v>0</v>
      </c>
      <c r="M965" s="5">
        <v>539.6</v>
      </c>
      <c r="N965" s="3">
        <f>M965*6600</f>
        <v>3561360</v>
      </c>
      <c r="O965" s="5">
        <v>0</v>
      </c>
      <c r="P965" s="5">
        <v>0</v>
      </c>
      <c r="Q965" s="5">
        <v>0</v>
      </c>
      <c r="R965" s="3">
        <f>Q965*3000</f>
        <v>0</v>
      </c>
      <c r="S965" s="5">
        <v>0</v>
      </c>
      <c r="T965" s="5">
        <v>0</v>
      </c>
      <c r="U965" s="5">
        <v>100000</v>
      </c>
      <c r="V965" s="6">
        <f>N965/M965</f>
        <v>6600</v>
      </c>
    </row>
    <row r="966" spans="1:258" ht="25.15" customHeight="1" x14ac:dyDescent="0.25">
      <c r="A966" s="53" t="s">
        <v>1827</v>
      </c>
      <c r="B966" s="8" t="s">
        <v>696</v>
      </c>
      <c r="C966" s="2">
        <f t="shared" si="268"/>
        <v>1854600</v>
      </c>
      <c r="D966" s="3">
        <f t="shared" si="284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3">
        <v>281</v>
      </c>
      <c r="N966" s="3">
        <f t="shared" si="277"/>
        <v>1854600</v>
      </c>
      <c r="O966" s="3">
        <v>0</v>
      </c>
      <c r="P966" s="3">
        <v>0</v>
      </c>
      <c r="Q966" s="5">
        <v>0</v>
      </c>
      <c r="R966" s="3">
        <f t="shared" si="279"/>
        <v>0</v>
      </c>
      <c r="S966" s="3">
        <v>0</v>
      </c>
      <c r="T966" s="5">
        <v>0</v>
      </c>
      <c r="U966" s="3">
        <v>0</v>
      </c>
      <c r="V966" s="6">
        <f t="shared" si="283"/>
        <v>6600</v>
      </c>
    </row>
    <row r="967" spans="1:258" ht="25.15" customHeight="1" x14ac:dyDescent="0.25">
      <c r="A967" s="53" t="s">
        <v>1828</v>
      </c>
      <c r="B967" s="24" t="s">
        <v>880</v>
      </c>
      <c r="C967" s="2">
        <f>D967+L967+N967+P967+R967+S967+T967+U967</f>
        <v>3656400</v>
      </c>
      <c r="D967" s="3">
        <f>SUM(E967:J967)</f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3">
        <v>554</v>
      </c>
      <c r="N967" s="3">
        <f>M967*6600</f>
        <v>3656400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6">
        <f>N967/M967</f>
        <v>6600</v>
      </c>
    </row>
    <row r="968" spans="1:258" ht="25.15" customHeight="1" x14ac:dyDescent="0.25">
      <c r="A968" s="53" t="s">
        <v>1829</v>
      </c>
      <c r="B968" s="23" t="s">
        <v>697</v>
      </c>
      <c r="C968" s="2">
        <f t="shared" ref="C968:C1059" si="285">D968+L968+N968+P968+R968+S968+T968+U968</f>
        <v>7949700</v>
      </c>
      <c r="D968" s="3">
        <f t="shared" si="284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5">
        <v>1204.5</v>
      </c>
      <c r="N968" s="3">
        <f t="shared" si="277"/>
        <v>7949700</v>
      </c>
      <c r="O968" s="3">
        <v>0</v>
      </c>
      <c r="P968" s="3">
        <v>0</v>
      </c>
      <c r="Q968" s="5">
        <v>0</v>
      </c>
      <c r="R968" s="3">
        <f t="shared" si="279"/>
        <v>0</v>
      </c>
      <c r="S968" s="3">
        <v>0</v>
      </c>
      <c r="T968" s="5">
        <v>0</v>
      </c>
      <c r="U968" s="3">
        <v>0</v>
      </c>
      <c r="V968" s="6">
        <f t="shared" si="283"/>
        <v>6600</v>
      </c>
    </row>
    <row r="969" spans="1:258" ht="25.15" customHeight="1" x14ac:dyDescent="0.25">
      <c r="A969" s="53" t="s">
        <v>1830</v>
      </c>
      <c r="B969" s="8" t="s">
        <v>775</v>
      </c>
      <c r="C969" s="2">
        <f t="shared" si="285"/>
        <v>3884100</v>
      </c>
      <c r="D969" s="3">
        <f t="shared" si="284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4">
        <v>0</v>
      </c>
      <c r="L969" s="3">
        <v>0</v>
      </c>
      <c r="M969" s="5">
        <v>588.5</v>
      </c>
      <c r="N969" s="3">
        <f t="shared" si="277"/>
        <v>3884100</v>
      </c>
      <c r="O969" s="3">
        <v>0</v>
      </c>
      <c r="P969" s="3">
        <v>0</v>
      </c>
      <c r="Q969" s="5">
        <v>0</v>
      </c>
      <c r="R969" s="3">
        <f t="shared" si="279"/>
        <v>0</v>
      </c>
      <c r="S969" s="3">
        <v>0</v>
      </c>
      <c r="T969" s="5">
        <v>0</v>
      </c>
      <c r="U969" s="3">
        <v>0</v>
      </c>
      <c r="V969" s="6">
        <f t="shared" si="283"/>
        <v>6600</v>
      </c>
    </row>
    <row r="970" spans="1:258" s="17" customFormat="1" ht="25.15" customHeight="1" x14ac:dyDescent="0.25">
      <c r="A970" s="53" t="s">
        <v>1831</v>
      </c>
      <c r="B970" s="8" t="s">
        <v>774</v>
      </c>
      <c r="C970" s="2">
        <f>D970+L970+N970+P970+R970+S970+T970+U970</f>
        <v>7894259.9999999991</v>
      </c>
      <c r="D970" s="3">
        <f>SUM(E970:J970)</f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5">
        <v>1196.0999999999999</v>
      </c>
      <c r="N970" s="3">
        <f t="shared" si="277"/>
        <v>7894259.9999999991</v>
      </c>
      <c r="O970" s="3">
        <v>0</v>
      </c>
      <c r="P970" s="3">
        <v>0</v>
      </c>
      <c r="Q970" s="5">
        <v>0</v>
      </c>
      <c r="R970" s="3">
        <f t="shared" si="279"/>
        <v>0</v>
      </c>
      <c r="S970" s="3">
        <v>0</v>
      </c>
      <c r="T970" s="5">
        <v>0</v>
      </c>
      <c r="U970" s="3">
        <v>0</v>
      </c>
      <c r="V970" s="6">
        <f>N970/M970</f>
        <v>6600</v>
      </c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  <c r="GT970" s="7"/>
      <c r="GU970" s="7"/>
      <c r="GV970" s="7"/>
      <c r="GW970" s="7"/>
      <c r="GX970" s="7"/>
      <c r="GY970" s="7"/>
      <c r="GZ970" s="7"/>
      <c r="HA970" s="7"/>
      <c r="HB970" s="7"/>
      <c r="HC970" s="7"/>
      <c r="HD970" s="7"/>
      <c r="HE970" s="7"/>
      <c r="HF970" s="7"/>
      <c r="HG970" s="7"/>
      <c r="HH970" s="7"/>
      <c r="HI970" s="7"/>
      <c r="HJ970" s="7"/>
      <c r="HK970" s="7"/>
      <c r="HL970" s="7"/>
      <c r="HM970" s="7"/>
      <c r="HN970" s="7"/>
      <c r="HO970" s="7"/>
      <c r="HP970" s="7"/>
      <c r="HQ970" s="7"/>
      <c r="HR970" s="7"/>
      <c r="HS970" s="7"/>
      <c r="HT970" s="7"/>
      <c r="HU970" s="7"/>
      <c r="HV970" s="7"/>
      <c r="HW970" s="7"/>
      <c r="HX970" s="7"/>
      <c r="HY970" s="7"/>
      <c r="HZ970" s="7"/>
      <c r="IA970" s="7"/>
      <c r="IB970" s="7"/>
      <c r="IC970" s="7"/>
      <c r="ID970" s="7"/>
      <c r="IE970" s="7"/>
      <c r="IF970" s="7"/>
      <c r="IG970" s="7"/>
      <c r="IH970" s="7"/>
      <c r="II970" s="7"/>
      <c r="IJ970" s="7"/>
      <c r="IK970" s="7"/>
      <c r="IL970" s="7"/>
      <c r="IM970" s="7"/>
      <c r="IN970" s="7"/>
      <c r="IO970" s="7"/>
      <c r="IP970" s="7"/>
      <c r="IQ970" s="7"/>
      <c r="IR970" s="7"/>
      <c r="IS970" s="7"/>
      <c r="IT970" s="7"/>
      <c r="IU970" s="7"/>
      <c r="IV970" s="7"/>
      <c r="IW970" s="7"/>
      <c r="IX970" s="7"/>
    </row>
    <row r="971" spans="1:258" ht="25.15" customHeight="1" x14ac:dyDescent="0.25">
      <c r="A971" s="53" t="s">
        <v>1832</v>
      </c>
      <c r="B971" s="8" t="s">
        <v>698</v>
      </c>
      <c r="C971" s="2">
        <f t="shared" si="285"/>
        <v>3980460</v>
      </c>
      <c r="D971" s="3">
        <f t="shared" si="284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603.1</v>
      </c>
      <c r="N971" s="3">
        <f t="shared" si="277"/>
        <v>3980460</v>
      </c>
      <c r="O971" s="3">
        <v>0</v>
      </c>
      <c r="P971" s="3">
        <v>0</v>
      </c>
      <c r="Q971" s="5">
        <v>0</v>
      </c>
      <c r="R971" s="3">
        <f t="shared" si="279"/>
        <v>0</v>
      </c>
      <c r="S971" s="3">
        <v>0</v>
      </c>
      <c r="T971" s="5">
        <v>0</v>
      </c>
      <c r="U971" s="3">
        <v>0</v>
      </c>
      <c r="V971" s="6">
        <f t="shared" si="283"/>
        <v>6600</v>
      </c>
    </row>
    <row r="972" spans="1:258" ht="25.15" customHeight="1" x14ac:dyDescent="0.25">
      <c r="A972" s="53" t="s">
        <v>1833</v>
      </c>
      <c r="B972" s="8" t="s">
        <v>701</v>
      </c>
      <c r="C972" s="2">
        <f t="shared" si="285"/>
        <v>3934920.0000000005</v>
      </c>
      <c r="D972" s="3">
        <f t="shared" si="284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596.20000000000005</v>
      </c>
      <c r="N972" s="3">
        <f t="shared" si="277"/>
        <v>3934920.0000000005</v>
      </c>
      <c r="O972" s="3">
        <v>0</v>
      </c>
      <c r="P972" s="3">
        <v>0</v>
      </c>
      <c r="Q972" s="5">
        <v>0</v>
      </c>
      <c r="R972" s="3">
        <f t="shared" si="279"/>
        <v>0</v>
      </c>
      <c r="S972" s="3">
        <v>0</v>
      </c>
      <c r="T972" s="5">
        <v>0</v>
      </c>
      <c r="U972" s="3">
        <v>0</v>
      </c>
      <c r="V972" s="6">
        <f t="shared" si="283"/>
        <v>6600</v>
      </c>
    </row>
    <row r="973" spans="1:258" ht="25.15" customHeight="1" x14ac:dyDescent="0.25">
      <c r="A973" s="53" t="s">
        <v>1834</v>
      </c>
      <c r="B973" s="8" t="s">
        <v>702</v>
      </c>
      <c r="C973" s="2">
        <f t="shared" si="285"/>
        <v>4034579.9999999995</v>
      </c>
      <c r="D973" s="3">
        <f t="shared" si="284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4">
        <v>0</v>
      </c>
      <c r="L973" s="3">
        <v>0</v>
      </c>
      <c r="M973" s="3">
        <v>611.29999999999995</v>
      </c>
      <c r="N973" s="3">
        <f t="shared" si="277"/>
        <v>4034579.9999999995</v>
      </c>
      <c r="O973" s="3">
        <v>0</v>
      </c>
      <c r="P973" s="3">
        <v>0</v>
      </c>
      <c r="Q973" s="5">
        <v>0</v>
      </c>
      <c r="R973" s="3">
        <f t="shared" si="279"/>
        <v>0</v>
      </c>
      <c r="S973" s="3">
        <v>0</v>
      </c>
      <c r="T973" s="5">
        <v>0</v>
      </c>
      <c r="U973" s="3">
        <v>0</v>
      </c>
      <c r="V973" s="6">
        <f t="shared" si="283"/>
        <v>6600</v>
      </c>
    </row>
    <row r="974" spans="1:258" ht="25.15" customHeight="1" x14ac:dyDescent="0.25">
      <c r="A974" s="53" t="s">
        <v>1835</v>
      </c>
      <c r="B974" s="8" t="s">
        <v>703</v>
      </c>
      <c r="C974" s="2">
        <f t="shared" si="285"/>
        <v>3949440</v>
      </c>
      <c r="D974" s="3">
        <f t="shared" si="284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5">
        <v>598.4</v>
      </c>
      <c r="N974" s="3">
        <f t="shared" si="277"/>
        <v>3949440</v>
      </c>
      <c r="O974" s="3">
        <v>0</v>
      </c>
      <c r="P974" s="3">
        <v>0</v>
      </c>
      <c r="Q974" s="5">
        <v>0</v>
      </c>
      <c r="R974" s="3">
        <f t="shared" si="279"/>
        <v>0</v>
      </c>
      <c r="S974" s="3">
        <v>0</v>
      </c>
      <c r="T974" s="5">
        <v>0</v>
      </c>
      <c r="U974" s="3">
        <v>0</v>
      </c>
      <c r="V974" s="6">
        <f t="shared" si="283"/>
        <v>6600</v>
      </c>
    </row>
    <row r="975" spans="1:258" ht="25.15" customHeight="1" x14ac:dyDescent="0.25">
      <c r="A975" s="53" t="s">
        <v>1836</v>
      </c>
      <c r="B975" s="8" t="s">
        <v>704</v>
      </c>
      <c r="C975" s="2">
        <f t="shared" si="285"/>
        <v>3939540</v>
      </c>
      <c r="D975" s="3">
        <f t="shared" si="284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3">
        <v>596.9</v>
      </c>
      <c r="N975" s="3">
        <f t="shared" si="277"/>
        <v>3939540</v>
      </c>
      <c r="O975" s="3">
        <v>0</v>
      </c>
      <c r="P975" s="3">
        <v>0</v>
      </c>
      <c r="Q975" s="5">
        <v>0</v>
      </c>
      <c r="R975" s="3">
        <f t="shared" si="279"/>
        <v>0</v>
      </c>
      <c r="S975" s="3">
        <v>0</v>
      </c>
      <c r="T975" s="5">
        <v>0</v>
      </c>
      <c r="U975" s="3">
        <v>0</v>
      </c>
      <c r="V975" s="6">
        <f t="shared" si="283"/>
        <v>6600</v>
      </c>
    </row>
    <row r="976" spans="1:258" ht="25.15" customHeight="1" x14ac:dyDescent="0.25">
      <c r="A976" s="53" t="s">
        <v>1837</v>
      </c>
      <c r="B976" s="8" t="s">
        <v>699</v>
      </c>
      <c r="C976" s="2">
        <f>D976+L976+N976+P976+R976+S976+T976+U976</f>
        <v>3926340</v>
      </c>
      <c r="D976" s="3">
        <f>SUM(E976:J976)</f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3">
        <v>594.9</v>
      </c>
      <c r="N976" s="3">
        <f t="shared" si="277"/>
        <v>3926340</v>
      </c>
      <c r="O976" s="3">
        <v>0</v>
      </c>
      <c r="P976" s="3">
        <v>0</v>
      </c>
      <c r="Q976" s="5">
        <v>0</v>
      </c>
      <c r="R976" s="3">
        <f t="shared" si="279"/>
        <v>0</v>
      </c>
      <c r="S976" s="3">
        <v>0</v>
      </c>
      <c r="T976" s="5">
        <v>0</v>
      </c>
      <c r="U976" s="3">
        <v>0</v>
      </c>
      <c r="V976" s="6">
        <f>N976/M976</f>
        <v>6600</v>
      </c>
    </row>
    <row r="977" spans="1:258" ht="25.15" customHeight="1" x14ac:dyDescent="0.25">
      <c r="A977" s="53" t="s">
        <v>1838</v>
      </c>
      <c r="B977" s="8" t="s">
        <v>700</v>
      </c>
      <c r="C977" s="2">
        <f>D977+L977+N977+P977+R977+S977+T977+U977</f>
        <v>6181560</v>
      </c>
      <c r="D977" s="3">
        <f>SUM(E977:J977)</f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5">
        <v>936.6</v>
      </c>
      <c r="N977" s="3">
        <f t="shared" si="277"/>
        <v>6181560</v>
      </c>
      <c r="O977" s="3">
        <v>0</v>
      </c>
      <c r="P977" s="3">
        <v>0</v>
      </c>
      <c r="Q977" s="5">
        <v>0</v>
      </c>
      <c r="R977" s="3">
        <f t="shared" si="279"/>
        <v>0</v>
      </c>
      <c r="S977" s="3">
        <v>0</v>
      </c>
      <c r="T977" s="5">
        <v>0</v>
      </c>
      <c r="U977" s="3">
        <v>0</v>
      </c>
      <c r="V977" s="6">
        <f>N977/M977</f>
        <v>6600</v>
      </c>
    </row>
    <row r="978" spans="1:258" ht="25.15" customHeight="1" x14ac:dyDescent="0.25">
      <c r="A978" s="53" t="s">
        <v>1839</v>
      </c>
      <c r="B978" s="8" t="s">
        <v>776</v>
      </c>
      <c r="C978" s="2">
        <f t="shared" si="285"/>
        <v>3880800</v>
      </c>
      <c r="D978" s="3">
        <f t="shared" si="284"/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5">
        <v>588</v>
      </c>
      <c r="N978" s="3">
        <f t="shared" si="277"/>
        <v>3880800</v>
      </c>
      <c r="O978" s="3">
        <v>0</v>
      </c>
      <c r="P978" s="3">
        <v>0</v>
      </c>
      <c r="Q978" s="5">
        <v>0</v>
      </c>
      <c r="R978" s="3">
        <f t="shared" si="279"/>
        <v>0</v>
      </c>
      <c r="S978" s="3">
        <v>0</v>
      </c>
      <c r="T978" s="5">
        <v>0</v>
      </c>
      <c r="U978" s="3">
        <v>0</v>
      </c>
      <c r="V978" s="6">
        <f t="shared" si="283"/>
        <v>6600</v>
      </c>
    </row>
    <row r="979" spans="1:258" ht="25.15" customHeight="1" x14ac:dyDescent="0.25">
      <c r="A979" s="53" t="s">
        <v>1840</v>
      </c>
      <c r="B979" s="8" t="s">
        <v>1225</v>
      </c>
      <c r="C979" s="2">
        <f t="shared" ref="C979" si="286">D979+L979+N979+P979+R979+S979+T979+U979</f>
        <v>300000</v>
      </c>
      <c r="D979" s="3">
        <f t="shared" ref="D979" si="287">SUM(E979:J979)</f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5">
        <v>0</v>
      </c>
      <c r="N979" s="3">
        <v>0</v>
      </c>
      <c r="O979" s="3">
        <v>0</v>
      </c>
      <c r="P979" s="3">
        <v>0</v>
      </c>
      <c r="Q979" s="5">
        <v>0</v>
      </c>
      <c r="R979" s="3">
        <v>0</v>
      </c>
      <c r="S979" s="3">
        <v>0</v>
      </c>
      <c r="T979" s="5">
        <v>0</v>
      </c>
      <c r="U979" s="3">
        <v>300000</v>
      </c>
      <c r="V979" s="6" t="e">
        <f t="shared" si="283"/>
        <v>#DIV/0!</v>
      </c>
    </row>
    <row r="980" spans="1:258" ht="25.15" customHeight="1" x14ac:dyDescent="0.25">
      <c r="A980" s="53" t="s">
        <v>1841</v>
      </c>
      <c r="B980" s="8" t="s">
        <v>705</v>
      </c>
      <c r="C980" s="2">
        <f t="shared" si="285"/>
        <v>40287148.969999999</v>
      </c>
      <c r="D980" s="3">
        <f t="shared" si="284"/>
        <v>39832500</v>
      </c>
      <c r="E980" s="3">
        <f>700*13277.5</f>
        <v>9294250</v>
      </c>
      <c r="F980" s="3">
        <f>1300*13277.5</f>
        <v>17260750</v>
      </c>
      <c r="G980" s="3">
        <f>300*13277.5</f>
        <v>3983250</v>
      </c>
      <c r="H980" s="3">
        <f>400*13277.5</f>
        <v>5311000</v>
      </c>
      <c r="I980" s="3">
        <f>300*13277.5</f>
        <v>3983250</v>
      </c>
      <c r="J980" s="3">
        <v>0</v>
      </c>
      <c r="K980" s="4">
        <v>0</v>
      </c>
      <c r="L980" s="3">
        <v>0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f t="shared" si="279"/>
        <v>0</v>
      </c>
      <c r="S980" s="3">
        <v>0</v>
      </c>
      <c r="T980" s="5">
        <v>0</v>
      </c>
      <c r="U980" s="3">
        <v>454648.97</v>
      </c>
      <c r="V980" s="6" t="e">
        <f t="shared" si="283"/>
        <v>#DIV/0!</v>
      </c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  <c r="BL980" s="28"/>
      <c r="BM980" s="28"/>
      <c r="BN980" s="28"/>
      <c r="BO980" s="28"/>
      <c r="BP980" s="28"/>
      <c r="BQ980" s="28"/>
      <c r="BR980" s="28"/>
      <c r="BS980" s="28"/>
      <c r="BT980" s="28"/>
      <c r="BU980" s="28"/>
      <c r="BV980" s="28"/>
      <c r="BW980" s="28"/>
      <c r="BX980" s="28"/>
      <c r="BY980" s="28"/>
      <c r="BZ980" s="28"/>
      <c r="CA980" s="28"/>
      <c r="CB980" s="28"/>
      <c r="CC980" s="28"/>
      <c r="CD980" s="28"/>
      <c r="CE980" s="28"/>
      <c r="CF980" s="28"/>
      <c r="CG980" s="28"/>
      <c r="CH980" s="28"/>
      <c r="CI980" s="28"/>
      <c r="CJ980" s="28"/>
      <c r="CK980" s="28"/>
      <c r="CL980" s="28"/>
      <c r="CM980" s="28"/>
      <c r="CN980" s="28"/>
      <c r="CO980" s="28"/>
      <c r="CP980" s="28"/>
      <c r="CQ980" s="28"/>
      <c r="CR980" s="28"/>
      <c r="CS980" s="28"/>
      <c r="CT980" s="28"/>
      <c r="CU980" s="28"/>
      <c r="CV980" s="28"/>
      <c r="CW980" s="28"/>
      <c r="CX980" s="28"/>
      <c r="CY980" s="28"/>
      <c r="CZ980" s="28"/>
      <c r="DA980" s="28"/>
      <c r="DB980" s="28"/>
      <c r="DC980" s="28"/>
      <c r="DD980" s="28"/>
      <c r="DE980" s="28"/>
      <c r="DF980" s="28"/>
      <c r="DG980" s="28"/>
      <c r="DH980" s="28"/>
      <c r="DI980" s="28"/>
      <c r="DJ980" s="28"/>
      <c r="DK980" s="28"/>
      <c r="DL980" s="28"/>
      <c r="DM980" s="28"/>
      <c r="DN980" s="28"/>
      <c r="DO980" s="28"/>
      <c r="DP980" s="28"/>
      <c r="DQ980" s="28"/>
      <c r="DR980" s="28"/>
      <c r="DS980" s="28"/>
      <c r="DT980" s="28"/>
      <c r="DU980" s="28"/>
      <c r="DV980" s="28"/>
      <c r="DW980" s="28"/>
      <c r="DX980" s="28"/>
      <c r="DY980" s="28"/>
      <c r="DZ980" s="28"/>
      <c r="EA980" s="28"/>
      <c r="EB980" s="28"/>
      <c r="EC980" s="28"/>
      <c r="ED980" s="28"/>
      <c r="EE980" s="28"/>
      <c r="EF980" s="28"/>
      <c r="EG980" s="28"/>
      <c r="EH980" s="28"/>
      <c r="EI980" s="28"/>
      <c r="EJ980" s="28"/>
      <c r="EK980" s="28"/>
      <c r="EL980" s="28"/>
      <c r="EM980" s="28"/>
      <c r="EN980" s="28"/>
      <c r="EO980" s="28"/>
      <c r="EP980" s="28"/>
      <c r="EQ980" s="28"/>
      <c r="ER980" s="28"/>
      <c r="ES980" s="28"/>
      <c r="ET980" s="28"/>
      <c r="EU980" s="28"/>
      <c r="EV980" s="28"/>
      <c r="EW980" s="28"/>
      <c r="EX980" s="28"/>
      <c r="EY980" s="28"/>
      <c r="EZ980" s="28"/>
      <c r="FA980" s="28"/>
      <c r="FB980" s="28"/>
      <c r="FC980" s="28"/>
      <c r="FD980" s="28"/>
      <c r="FE980" s="28"/>
      <c r="FF980" s="28"/>
      <c r="FG980" s="28"/>
      <c r="FH980" s="28"/>
      <c r="FI980" s="28"/>
      <c r="FJ980" s="28"/>
      <c r="FK980" s="28"/>
      <c r="FL980" s="28"/>
      <c r="FM980" s="28"/>
      <c r="FN980" s="28"/>
      <c r="FO980" s="28"/>
      <c r="FP980" s="28"/>
      <c r="FQ980" s="28"/>
      <c r="FR980" s="28"/>
      <c r="FS980" s="28"/>
      <c r="FT980" s="28"/>
      <c r="FU980" s="28"/>
      <c r="FV980" s="28"/>
      <c r="FW980" s="28"/>
      <c r="FX980" s="28"/>
      <c r="FY980" s="28"/>
      <c r="FZ980" s="28"/>
      <c r="GA980" s="28"/>
      <c r="GB980" s="28"/>
      <c r="GC980" s="28"/>
      <c r="GD980" s="28"/>
      <c r="GE980" s="28"/>
      <c r="GF980" s="28"/>
      <c r="GG980" s="28"/>
      <c r="GH980" s="28"/>
      <c r="GI980" s="28"/>
      <c r="GJ980" s="28"/>
      <c r="GK980" s="28"/>
      <c r="GL980" s="28"/>
      <c r="GM980" s="28"/>
      <c r="GN980" s="28"/>
      <c r="GO980" s="28"/>
      <c r="GP980" s="28"/>
      <c r="GQ980" s="28"/>
      <c r="GR980" s="28"/>
      <c r="GS980" s="28"/>
      <c r="GT980" s="28"/>
      <c r="GU980" s="28"/>
      <c r="GV980" s="28"/>
      <c r="GW980" s="28"/>
      <c r="GX980" s="28"/>
      <c r="GY980" s="28"/>
      <c r="GZ980" s="28"/>
      <c r="HA980" s="28"/>
      <c r="HB980" s="28"/>
      <c r="HC980" s="28"/>
      <c r="HD980" s="28"/>
      <c r="HE980" s="28"/>
      <c r="HF980" s="28"/>
      <c r="HG980" s="28"/>
      <c r="HH980" s="28"/>
      <c r="HI980" s="28"/>
      <c r="HJ980" s="28"/>
      <c r="HK980" s="28"/>
      <c r="HL980" s="28"/>
      <c r="HM980" s="28"/>
      <c r="HN980" s="28"/>
      <c r="HO980" s="28"/>
      <c r="HP980" s="28"/>
      <c r="HQ980" s="28"/>
      <c r="HR980" s="28"/>
      <c r="HS980" s="28"/>
      <c r="HT980" s="28"/>
      <c r="HU980" s="28"/>
      <c r="HV980" s="28"/>
      <c r="HW980" s="28"/>
      <c r="HX980" s="28"/>
      <c r="HY980" s="28"/>
      <c r="HZ980" s="28"/>
      <c r="IA980" s="28"/>
      <c r="IB980" s="28"/>
      <c r="IC980" s="28"/>
      <c r="ID980" s="28"/>
      <c r="IE980" s="28"/>
      <c r="IF980" s="28"/>
      <c r="IG980" s="28"/>
      <c r="IH980" s="28"/>
      <c r="II980" s="28"/>
      <c r="IJ980" s="28"/>
      <c r="IK980" s="28"/>
      <c r="IL980" s="28"/>
      <c r="IM980" s="28"/>
      <c r="IN980" s="28"/>
      <c r="IO980" s="28"/>
      <c r="IP980" s="28"/>
      <c r="IQ980" s="28"/>
      <c r="IR980" s="28"/>
      <c r="IS980" s="28"/>
      <c r="IT980" s="28"/>
      <c r="IU980" s="28"/>
      <c r="IV980" s="28"/>
      <c r="IW980" s="28"/>
      <c r="IX980" s="28"/>
    </row>
    <row r="981" spans="1:258" ht="25.15" customHeight="1" x14ac:dyDescent="0.25">
      <c r="A981" s="53" t="s">
        <v>1842</v>
      </c>
      <c r="B981" s="8" t="s">
        <v>777</v>
      </c>
      <c r="C981" s="2">
        <f t="shared" si="285"/>
        <v>6285879.8300000001</v>
      </c>
      <c r="D981" s="3">
        <f t="shared" si="284"/>
        <v>6015000</v>
      </c>
      <c r="E981" s="3">
        <f>700*2005</f>
        <v>1403500</v>
      </c>
      <c r="F981" s="3">
        <f>1300*2005</f>
        <v>2606500</v>
      </c>
      <c r="G981" s="3">
        <f>300*2005</f>
        <v>601500</v>
      </c>
      <c r="H981" s="3">
        <f>400*2005</f>
        <v>802000</v>
      </c>
      <c r="I981" s="3">
        <f>300*2005</f>
        <v>601500</v>
      </c>
      <c r="J981" s="3">
        <v>0</v>
      </c>
      <c r="K981" s="4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  <c r="Q981" s="3">
        <v>0</v>
      </c>
      <c r="R981" s="3">
        <f t="shared" si="279"/>
        <v>0</v>
      </c>
      <c r="S981" s="3">
        <v>0</v>
      </c>
      <c r="T981" s="5">
        <v>0</v>
      </c>
      <c r="U981" s="3">
        <v>270879.83</v>
      </c>
      <c r="V981" s="6" t="e">
        <f t="shared" si="283"/>
        <v>#DIV/0!</v>
      </c>
    </row>
    <row r="982" spans="1:258" ht="25.15" customHeight="1" x14ac:dyDescent="0.25">
      <c r="A982" s="53" t="s">
        <v>1843</v>
      </c>
      <c r="B982" s="8" t="s">
        <v>706</v>
      </c>
      <c r="C982" s="2">
        <f t="shared" si="285"/>
        <v>1782000</v>
      </c>
      <c r="D982" s="3">
        <f t="shared" si="284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11">
        <v>0</v>
      </c>
      <c r="L982" s="5">
        <v>0</v>
      </c>
      <c r="M982" s="5">
        <v>270</v>
      </c>
      <c r="N982" s="3">
        <f t="shared" ref="N982:N998" si="288">M982*6600</f>
        <v>1782000</v>
      </c>
      <c r="O982" s="3">
        <v>0</v>
      </c>
      <c r="P982" s="3">
        <v>0</v>
      </c>
      <c r="Q982" s="3">
        <v>0</v>
      </c>
      <c r="R982" s="3">
        <f t="shared" si="279"/>
        <v>0</v>
      </c>
      <c r="S982" s="3">
        <v>0</v>
      </c>
      <c r="T982" s="5">
        <v>0</v>
      </c>
      <c r="U982" s="3">
        <v>0</v>
      </c>
      <c r="V982" s="6">
        <f t="shared" si="283"/>
        <v>6600</v>
      </c>
    </row>
    <row r="983" spans="1:258" ht="25.15" customHeight="1" x14ac:dyDescent="0.25">
      <c r="A983" s="53" t="s">
        <v>1844</v>
      </c>
      <c r="B983" s="8" t="s">
        <v>708</v>
      </c>
      <c r="C983" s="2">
        <f>D983+L983+N983+P983+R983+S983+T983+U983</f>
        <v>1782000</v>
      </c>
      <c r="D983" s="3">
        <f>SUM(E983:J983)</f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11">
        <v>0</v>
      </c>
      <c r="L983" s="5">
        <v>0</v>
      </c>
      <c r="M983" s="3">
        <v>270</v>
      </c>
      <c r="N983" s="3">
        <f>M983*6600</f>
        <v>1782000</v>
      </c>
      <c r="O983" s="3">
        <v>0</v>
      </c>
      <c r="P983" s="3">
        <v>0</v>
      </c>
      <c r="Q983" s="3">
        <v>0</v>
      </c>
      <c r="R983" s="3">
        <f>Q983*3200</f>
        <v>0</v>
      </c>
      <c r="S983" s="3">
        <v>0</v>
      </c>
      <c r="T983" s="5">
        <v>0</v>
      </c>
      <c r="U983" s="3">
        <v>0</v>
      </c>
      <c r="V983" s="6">
        <f>N983/M983</f>
        <v>6600</v>
      </c>
    </row>
    <row r="984" spans="1:258" ht="25.15" customHeight="1" x14ac:dyDescent="0.25">
      <c r="A984" s="53" t="s">
        <v>1845</v>
      </c>
      <c r="B984" s="8" t="s">
        <v>778</v>
      </c>
      <c r="C984" s="2">
        <f>D984+L984+N984+P984+R984+S984+T984+U984</f>
        <v>1821600</v>
      </c>
      <c r="D984" s="3">
        <f>SUM(E984:J984)</f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11">
        <v>0</v>
      </c>
      <c r="L984" s="5">
        <v>0</v>
      </c>
      <c r="M984" s="3">
        <v>276</v>
      </c>
      <c r="N984" s="3">
        <f>M984*6600</f>
        <v>1821600</v>
      </c>
      <c r="O984" s="3">
        <v>0</v>
      </c>
      <c r="P984" s="3">
        <v>0</v>
      </c>
      <c r="Q984" s="3">
        <v>0</v>
      </c>
      <c r="R984" s="3">
        <f>Q984*3200</f>
        <v>0</v>
      </c>
      <c r="S984" s="3">
        <v>0</v>
      </c>
      <c r="T984" s="5">
        <v>0</v>
      </c>
      <c r="U984" s="3">
        <v>0</v>
      </c>
      <c r="V984" s="6">
        <f>N984/M984</f>
        <v>6600</v>
      </c>
    </row>
    <row r="985" spans="1:258" s="6" customFormat="1" ht="25.15" customHeight="1" x14ac:dyDescent="0.25">
      <c r="A985" s="53" t="s">
        <v>1846</v>
      </c>
      <c r="B985" s="8" t="s">
        <v>707</v>
      </c>
      <c r="C985" s="2">
        <f t="shared" si="285"/>
        <v>1821600</v>
      </c>
      <c r="D985" s="3">
        <f t="shared" si="284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11">
        <v>0</v>
      </c>
      <c r="L985" s="5">
        <v>0</v>
      </c>
      <c r="M985" s="3">
        <v>276</v>
      </c>
      <c r="N985" s="3">
        <f t="shared" si="288"/>
        <v>1821600</v>
      </c>
      <c r="O985" s="3">
        <v>0</v>
      </c>
      <c r="P985" s="3">
        <v>0</v>
      </c>
      <c r="Q985" s="3">
        <v>0</v>
      </c>
      <c r="R985" s="3">
        <f t="shared" si="279"/>
        <v>0</v>
      </c>
      <c r="S985" s="3">
        <v>0</v>
      </c>
      <c r="T985" s="5">
        <v>0</v>
      </c>
      <c r="U985" s="3">
        <v>0</v>
      </c>
      <c r="V985" s="6">
        <f t="shared" si="283"/>
        <v>6600</v>
      </c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  <c r="GT985" s="7"/>
      <c r="GU985" s="7"/>
      <c r="GV985" s="7"/>
      <c r="GW985" s="7"/>
      <c r="GX985" s="7"/>
      <c r="GY985" s="7"/>
      <c r="GZ985" s="7"/>
      <c r="HA985" s="7"/>
      <c r="HB985" s="7"/>
      <c r="HC985" s="7"/>
      <c r="HD985" s="7"/>
      <c r="HE985" s="7"/>
      <c r="HF985" s="7"/>
      <c r="HG985" s="7"/>
      <c r="HH985" s="7"/>
      <c r="HI985" s="7"/>
      <c r="HJ985" s="7"/>
      <c r="HK985" s="7"/>
      <c r="HL985" s="7"/>
      <c r="HM985" s="7"/>
      <c r="HN985" s="7"/>
      <c r="HO985" s="7"/>
      <c r="HP985" s="7"/>
      <c r="HQ985" s="7"/>
      <c r="HR985" s="7"/>
      <c r="HS985" s="7"/>
      <c r="HT985" s="7"/>
      <c r="HU985" s="7"/>
      <c r="HV985" s="7"/>
      <c r="HW985" s="7"/>
      <c r="HX985" s="7"/>
      <c r="HY985" s="7"/>
      <c r="HZ985" s="7"/>
      <c r="IA985" s="7"/>
      <c r="IB985" s="7"/>
      <c r="IC985" s="7"/>
      <c r="ID985" s="7"/>
      <c r="IE985" s="7"/>
      <c r="IF985" s="7"/>
      <c r="IG985" s="7"/>
      <c r="IH985" s="7"/>
      <c r="II985" s="7"/>
      <c r="IJ985" s="7"/>
      <c r="IK985" s="7"/>
      <c r="IL985" s="7"/>
      <c r="IM985" s="7"/>
      <c r="IN985" s="7"/>
      <c r="IO985" s="7"/>
      <c r="IP985" s="7"/>
      <c r="IQ985" s="7"/>
      <c r="IR985" s="7"/>
      <c r="IS985" s="7"/>
      <c r="IT985" s="7"/>
      <c r="IU985" s="7"/>
      <c r="IV985" s="7"/>
      <c r="IW985" s="7"/>
      <c r="IX985" s="7"/>
    </row>
    <row r="986" spans="1:258" ht="25.15" customHeight="1" x14ac:dyDescent="0.25">
      <c r="A986" s="53" t="s">
        <v>1847</v>
      </c>
      <c r="B986" s="8" t="s">
        <v>779</v>
      </c>
      <c r="C986" s="2">
        <f t="shared" si="285"/>
        <v>4612740</v>
      </c>
      <c r="D986" s="3">
        <f t="shared" si="284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11">
        <v>0</v>
      </c>
      <c r="L986" s="5">
        <v>0</v>
      </c>
      <c r="M986" s="3">
        <v>698.9</v>
      </c>
      <c r="N986" s="3">
        <f t="shared" si="288"/>
        <v>4612740</v>
      </c>
      <c r="O986" s="3">
        <v>0</v>
      </c>
      <c r="P986" s="3">
        <v>0</v>
      </c>
      <c r="Q986" s="3">
        <v>0</v>
      </c>
      <c r="R986" s="3">
        <f t="shared" si="279"/>
        <v>0</v>
      </c>
      <c r="S986" s="3">
        <v>0</v>
      </c>
      <c r="T986" s="5">
        <v>0</v>
      </c>
      <c r="U986" s="3">
        <v>0</v>
      </c>
      <c r="V986" s="6">
        <f t="shared" si="283"/>
        <v>6600</v>
      </c>
    </row>
    <row r="987" spans="1:258" ht="25.15" customHeight="1" x14ac:dyDescent="0.25">
      <c r="A987" s="53" t="s">
        <v>1848</v>
      </c>
      <c r="B987" s="8" t="s">
        <v>806</v>
      </c>
      <c r="C987" s="2">
        <f t="shared" si="285"/>
        <v>10450810</v>
      </c>
      <c r="D987" s="3">
        <f t="shared" si="284"/>
        <v>4542150</v>
      </c>
      <c r="E987" s="3">
        <f>700*1514.05</f>
        <v>1059835</v>
      </c>
      <c r="F987" s="3">
        <f>1300*1514.05</f>
        <v>1968265</v>
      </c>
      <c r="G987" s="3">
        <f>300*1514.05</f>
        <v>454215</v>
      </c>
      <c r="H987" s="3">
        <f>400*1514.05</f>
        <v>605620</v>
      </c>
      <c r="I987" s="3">
        <f>300*1514.05</f>
        <v>454215</v>
      </c>
      <c r="J987" s="3">
        <v>0</v>
      </c>
      <c r="K987" s="4">
        <v>0</v>
      </c>
      <c r="L987" s="3">
        <v>0</v>
      </c>
      <c r="M987" s="5">
        <v>880.1</v>
      </c>
      <c r="N987" s="3">
        <f t="shared" si="288"/>
        <v>5808660</v>
      </c>
      <c r="O987" s="3">
        <v>0</v>
      </c>
      <c r="P987" s="3">
        <v>0</v>
      </c>
      <c r="Q987" s="3">
        <v>0</v>
      </c>
      <c r="R987" s="3">
        <f t="shared" si="279"/>
        <v>0</v>
      </c>
      <c r="S987" s="3">
        <v>0</v>
      </c>
      <c r="T987" s="5">
        <v>0</v>
      </c>
      <c r="U987" s="3">
        <v>100000</v>
      </c>
      <c r="V987" s="6">
        <f t="shared" si="283"/>
        <v>6600</v>
      </c>
    </row>
    <row r="988" spans="1:258" ht="25.15" customHeight="1" x14ac:dyDescent="0.25">
      <c r="A988" s="53" t="s">
        <v>1849</v>
      </c>
      <c r="B988" s="8" t="s">
        <v>780</v>
      </c>
      <c r="C988" s="2">
        <f t="shared" si="285"/>
        <v>8005800</v>
      </c>
      <c r="D988" s="3">
        <f t="shared" si="284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11">
        <v>0</v>
      </c>
      <c r="L988" s="5">
        <v>0</v>
      </c>
      <c r="M988" s="3">
        <v>1213</v>
      </c>
      <c r="N988" s="3">
        <f t="shared" si="288"/>
        <v>8005800</v>
      </c>
      <c r="O988" s="3">
        <v>0</v>
      </c>
      <c r="P988" s="3">
        <v>0</v>
      </c>
      <c r="Q988" s="3">
        <v>0</v>
      </c>
      <c r="R988" s="3">
        <f t="shared" si="279"/>
        <v>0</v>
      </c>
      <c r="S988" s="3">
        <v>0</v>
      </c>
      <c r="T988" s="5">
        <v>0</v>
      </c>
      <c r="U988" s="3">
        <v>0</v>
      </c>
      <c r="V988" s="6">
        <f t="shared" si="283"/>
        <v>6600</v>
      </c>
    </row>
    <row r="989" spans="1:258" ht="25.15" customHeight="1" x14ac:dyDescent="0.25">
      <c r="A989" s="53" t="s">
        <v>1850</v>
      </c>
      <c r="B989" s="8" t="s">
        <v>709</v>
      </c>
      <c r="C989" s="2">
        <f t="shared" si="285"/>
        <v>6268020</v>
      </c>
      <c r="D989" s="3">
        <f t="shared" si="284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11">
        <v>0</v>
      </c>
      <c r="L989" s="5">
        <v>0</v>
      </c>
      <c r="M989" s="3">
        <v>949.7</v>
      </c>
      <c r="N989" s="3">
        <f t="shared" si="288"/>
        <v>6268020</v>
      </c>
      <c r="O989" s="3">
        <v>0</v>
      </c>
      <c r="P989" s="3">
        <v>0</v>
      </c>
      <c r="Q989" s="3">
        <v>0</v>
      </c>
      <c r="R989" s="3">
        <f t="shared" si="279"/>
        <v>0</v>
      </c>
      <c r="S989" s="3">
        <v>0</v>
      </c>
      <c r="T989" s="5">
        <v>0</v>
      </c>
      <c r="U989" s="3">
        <v>0</v>
      </c>
      <c r="V989" s="6">
        <f t="shared" si="283"/>
        <v>6600</v>
      </c>
    </row>
    <row r="990" spans="1:258" ht="25.15" customHeight="1" x14ac:dyDescent="0.25">
      <c r="A990" s="53" t="s">
        <v>1851</v>
      </c>
      <c r="B990" s="8" t="s">
        <v>710</v>
      </c>
      <c r="C990" s="2">
        <f t="shared" si="285"/>
        <v>3073680</v>
      </c>
      <c r="D990" s="3">
        <f t="shared" si="284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11">
        <v>0</v>
      </c>
      <c r="L990" s="5">
        <v>0</v>
      </c>
      <c r="M990" s="5">
        <v>274</v>
      </c>
      <c r="N990" s="3">
        <f t="shared" si="288"/>
        <v>1808400</v>
      </c>
      <c r="O990" s="5">
        <v>0</v>
      </c>
      <c r="P990" s="5">
        <v>0</v>
      </c>
      <c r="Q990" s="5">
        <v>395.4</v>
      </c>
      <c r="R990" s="3">
        <f t="shared" si="279"/>
        <v>1265280</v>
      </c>
      <c r="S990" s="5">
        <v>0</v>
      </c>
      <c r="T990" s="5">
        <v>0</v>
      </c>
      <c r="U990" s="5">
        <v>0</v>
      </c>
      <c r="V990" s="6">
        <f t="shared" si="283"/>
        <v>6600</v>
      </c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47"/>
      <c r="AM990" s="47"/>
      <c r="AN990" s="47"/>
      <c r="AO990" s="47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  <c r="BO990" s="47"/>
      <c r="BP990" s="47"/>
      <c r="BQ990" s="47"/>
      <c r="BR990" s="47"/>
      <c r="BS990" s="47"/>
      <c r="BT990" s="47"/>
      <c r="BU990" s="47"/>
      <c r="BV990" s="47"/>
      <c r="BW990" s="47"/>
      <c r="BX990" s="47"/>
      <c r="BY990" s="47"/>
      <c r="BZ990" s="47"/>
      <c r="CA990" s="47"/>
      <c r="CB990" s="47"/>
      <c r="CC990" s="47"/>
      <c r="CD990" s="47"/>
      <c r="CE990" s="47"/>
      <c r="CF990" s="47"/>
      <c r="CG990" s="47"/>
      <c r="CH990" s="47"/>
      <c r="CI990" s="47"/>
      <c r="CJ990" s="47"/>
      <c r="CK990" s="47"/>
      <c r="CL990" s="47"/>
      <c r="CM990" s="47"/>
      <c r="CN990" s="47"/>
      <c r="CO990" s="47"/>
      <c r="CP990" s="47"/>
      <c r="CQ990" s="47"/>
      <c r="CR990" s="47"/>
      <c r="CS990" s="47"/>
      <c r="CT990" s="47"/>
      <c r="CU990" s="47"/>
      <c r="CV990" s="47"/>
      <c r="CW990" s="47"/>
      <c r="CX990" s="47"/>
      <c r="CY990" s="47"/>
      <c r="CZ990" s="47"/>
      <c r="DA990" s="47"/>
      <c r="DB990" s="47"/>
      <c r="DC990" s="47"/>
      <c r="DD990" s="47"/>
      <c r="DE990" s="47"/>
      <c r="DF990" s="47"/>
      <c r="DG990" s="47"/>
      <c r="DH990" s="47"/>
      <c r="DI990" s="47"/>
      <c r="DJ990" s="47"/>
      <c r="DK990" s="47"/>
      <c r="DL990" s="47"/>
      <c r="DM990" s="47"/>
      <c r="DN990" s="47"/>
      <c r="DO990" s="47"/>
      <c r="DP990" s="47"/>
      <c r="DQ990" s="47"/>
      <c r="DR990" s="47"/>
      <c r="DS990" s="47"/>
      <c r="DT990" s="47"/>
      <c r="DU990" s="47"/>
      <c r="DV990" s="47"/>
      <c r="DW990" s="47"/>
      <c r="DX990" s="47"/>
      <c r="DY990" s="47"/>
      <c r="DZ990" s="47"/>
      <c r="EA990" s="47"/>
      <c r="EB990" s="47"/>
      <c r="EC990" s="47"/>
      <c r="ED990" s="47"/>
      <c r="EE990" s="47"/>
      <c r="EF990" s="47"/>
      <c r="EG990" s="47"/>
      <c r="EH990" s="47"/>
      <c r="EI990" s="47"/>
      <c r="EJ990" s="47"/>
      <c r="EK990" s="47"/>
      <c r="EL990" s="47"/>
      <c r="EM990" s="47"/>
      <c r="EN990" s="47"/>
      <c r="EO990" s="47"/>
      <c r="EP990" s="47"/>
      <c r="EQ990" s="47"/>
      <c r="ER990" s="47"/>
      <c r="ES990" s="47"/>
      <c r="ET990" s="47"/>
      <c r="EU990" s="47"/>
      <c r="EV990" s="47"/>
      <c r="EW990" s="47"/>
      <c r="EX990" s="47"/>
      <c r="EY990" s="47"/>
      <c r="EZ990" s="47"/>
      <c r="FA990" s="47"/>
      <c r="FB990" s="47"/>
      <c r="FC990" s="47"/>
      <c r="FD990" s="47"/>
      <c r="FE990" s="47"/>
      <c r="FF990" s="47"/>
      <c r="FG990" s="47"/>
      <c r="FH990" s="47"/>
      <c r="FI990" s="47"/>
      <c r="FJ990" s="47"/>
      <c r="FK990" s="47"/>
      <c r="FL990" s="47"/>
      <c r="FM990" s="47"/>
      <c r="FN990" s="47"/>
      <c r="FO990" s="47"/>
      <c r="FP990" s="47"/>
      <c r="FQ990" s="47"/>
      <c r="FR990" s="47"/>
      <c r="FS990" s="47"/>
      <c r="FT990" s="47"/>
      <c r="FU990" s="47"/>
      <c r="FV990" s="47"/>
      <c r="FW990" s="47"/>
      <c r="FX990" s="47"/>
      <c r="FY990" s="47"/>
      <c r="FZ990" s="47"/>
      <c r="GA990" s="47"/>
      <c r="GB990" s="47"/>
      <c r="GC990" s="47"/>
      <c r="GD990" s="47"/>
      <c r="GE990" s="47"/>
      <c r="GF990" s="47"/>
      <c r="GG990" s="47"/>
      <c r="GH990" s="47"/>
      <c r="GI990" s="47"/>
      <c r="GJ990" s="29"/>
      <c r="GK990" s="29"/>
      <c r="GL990" s="29"/>
      <c r="GM990" s="29"/>
      <c r="GN990" s="29"/>
      <c r="GO990" s="29"/>
      <c r="GP990" s="29"/>
      <c r="GQ990" s="29"/>
      <c r="GR990" s="29"/>
      <c r="GS990" s="29"/>
      <c r="GT990" s="29"/>
      <c r="GU990" s="29"/>
      <c r="GV990" s="29"/>
      <c r="GW990" s="29"/>
      <c r="GX990" s="29"/>
      <c r="GY990" s="29"/>
      <c r="GZ990" s="29"/>
      <c r="HA990" s="29"/>
      <c r="HB990" s="29"/>
      <c r="HC990" s="29"/>
      <c r="HD990" s="29"/>
      <c r="HE990" s="29"/>
      <c r="HF990" s="29"/>
      <c r="HG990" s="29"/>
      <c r="HH990" s="29"/>
      <c r="HI990" s="29"/>
      <c r="HJ990" s="29"/>
      <c r="HK990" s="29"/>
      <c r="HL990" s="29"/>
      <c r="HM990" s="29"/>
      <c r="HN990" s="29"/>
      <c r="HO990" s="29"/>
      <c r="HP990" s="29"/>
      <c r="HQ990" s="29"/>
      <c r="HR990" s="29"/>
      <c r="HS990" s="29"/>
      <c r="HT990" s="29"/>
      <c r="HU990" s="29"/>
      <c r="HV990" s="29"/>
      <c r="HW990" s="29"/>
      <c r="HX990" s="29"/>
      <c r="HY990" s="29"/>
      <c r="HZ990" s="29"/>
      <c r="IA990" s="29"/>
      <c r="IB990" s="29"/>
      <c r="IC990" s="29"/>
      <c r="ID990" s="29"/>
      <c r="IE990" s="29"/>
      <c r="IF990" s="29"/>
      <c r="IG990" s="29"/>
      <c r="IH990" s="29"/>
      <c r="II990" s="29"/>
      <c r="IJ990" s="29"/>
      <c r="IK990" s="29"/>
      <c r="IL990" s="29"/>
      <c r="IM990" s="29"/>
      <c r="IN990" s="29"/>
      <c r="IO990" s="29"/>
      <c r="IP990" s="29"/>
      <c r="IQ990" s="29"/>
      <c r="IR990" s="29"/>
      <c r="IS990" s="29"/>
      <c r="IT990" s="29"/>
      <c r="IU990" s="29"/>
      <c r="IV990" s="29"/>
      <c r="IW990" s="29"/>
      <c r="IX990" s="29"/>
    </row>
    <row r="991" spans="1:258" ht="25.15" customHeight="1" x14ac:dyDescent="0.25">
      <c r="A991" s="53" t="s">
        <v>1852</v>
      </c>
      <c r="B991" s="8" t="s">
        <v>400</v>
      </c>
      <c r="C991" s="2">
        <f>D991+L991+N991+P991+R991+S991+T991+U991</f>
        <v>7632490</v>
      </c>
      <c r="D991" s="3">
        <f>SUM(E991:J991)</f>
        <v>6782490</v>
      </c>
      <c r="E991" s="3">
        <f>700*2125.1</f>
        <v>1487570</v>
      </c>
      <c r="F991" s="3">
        <f>1300*2125.1</f>
        <v>2762630</v>
      </c>
      <c r="G991" s="3">
        <f>300*2125.1</f>
        <v>637530</v>
      </c>
      <c r="H991" s="3">
        <f>400*2125.1</f>
        <v>850040</v>
      </c>
      <c r="I991" s="3">
        <f>300*3482.4</f>
        <v>1044720</v>
      </c>
      <c r="J991" s="3">
        <f>800*0</f>
        <v>0</v>
      </c>
      <c r="K991" s="4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850000</v>
      </c>
      <c r="V991" s="6" t="e">
        <f>N991/M991</f>
        <v>#DIV/0!</v>
      </c>
    </row>
    <row r="992" spans="1:258" ht="25.15" customHeight="1" x14ac:dyDescent="0.25">
      <c r="A992" s="53" t="s">
        <v>1853</v>
      </c>
      <c r="B992" s="8" t="s">
        <v>376</v>
      </c>
      <c r="C992" s="2">
        <f>D992+L992+N992+P992+R992+S992+T992+U992</f>
        <v>10754280</v>
      </c>
      <c r="D992" s="3">
        <f>SUM(E992:J992)</f>
        <v>9904280</v>
      </c>
      <c r="E992" s="3">
        <f>700*3482.4</f>
        <v>2437680</v>
      </c>
      <c r="F992" s="3">
        <f>1300*3482.4</f>
        <v>4527120</v>
      </c>
      <c r="G992" s="3">
        <f>300*3482.4</f>
        <v>1044720</v>
      </c>
      <c r="H992" s="3">
        <f>400*2125.1</f>
        <v>850040</v>
      </c>
      <c r="I992" s="3">
        <f>300*3482.4</f>
        <v>1044720</v>
      </c>
      <c r="J992" s="3">
        <f>800*0</f>
        <v>0</v>
      </c>
      <c r="K992" s="4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850000</v>
      </c>
      <c r="V992" s="6" t="e">
        <f>N992/M992</f>
        <v>#DIV/0!</v>
      </c>
    </row>
    <row r="993" spans="1:258" s="17" customFormat="1" ht="25.15" customHeight="1" x14ac:dyDescent="0.25">
      <c r="A993" s="53" t="s">
        <v>1854</v>
      </c>
      <c r="B993" s="23" t="s">
        <v>711</v>
      </c>
      <c r="C993" s="2">
        <f t="shared" si="285"/>
        <v>3960000</v>
      </c>
      <c r="D993" s="3">
        <f t="shared" si="284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600</v>
      </c>
      <c r="N993" s="3">
        <f t="shared" si="288"/>
        <v>3960000</v>
      </c>
      <c r="O993" s="3">
        <v>0</v>
      </c>
      <c r="P993" s="3">
        <v>0</v>
      </c>
      <c r="Q993" s="3">
        <v>0</v>
      </c>
      <c r="R993" s="3">
        <f t="shared" si="279"/>
        <v>0</v>
      </c>
      <c r="S993" s="3">
        <v>0</v>
      </c>
      <c r="T993" s="5">
        <v>0</v>
      </c>
      <c r="U993" s="3">
        <v>0</v>
      </c>
      <c r="V993" s="6">
        <f t="shared" si="283"/>
        <v>6600</v>
      </c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  <c r="GT993" s="7"/>
      <c r="GU993" s="7"/>
      <c r="GV993" s="7"/>
      <c r="GW993" s="7"/>
      <c r="GX993" s="7"/>
      <c r="GY993" s="7"/>
      <c r="GZ993" s="7"/>
      <c r="HA993" s="7"/>
      <c r="HB993" s="7"/>
      <c r="HC993" s="7"/>
      <c r="HD993" s="7"/>
      <c r="HE993" s="7"/>
      <c r="HF993" s="7"/>
      <c r="HG993" s="7"/>
      <c r="HH993" s="7"/>
      <c r="HI993" s="7"/>
      <c r="HJ993" s="7"/>
      <c r="HK993" s="7"/>
      <c r="HL993" s="7"/>
      <c r="HM993" s="7"/>
      <c r="HN993" s="7"/>
      <c r="HO993" s="7"/>
      <c r="HP993" s="7"/>
      <c r="HQ993" s="7"/>
      <c r="HR993" s="7"/>
      <c r="HS993" s="7"/>
      <c r="HT993" s="7"/>
      <c r="HU993" s="7"/>
      <c r="HV993" s="7"/>
      <c r="HW993" s="7"/>
      <c r="HX993" s="7"/>
      <c r="HY993" s="7"/>
      <c r="HZ993" s="7"/>
      <c r="IA993" s="7"/>
      <c r="IB993" s="7"/>
      <c r="IC993" s="7"/>
      <c r="ID993" s="7"/>
      <c r="IE993" s="7"/>
      <c r="IF993" s="7"/>
      <c r="IG993" s="7"/>
      <c r="IH993" s="7"/>
      <c r="II993" s="7"/>
      <c r="IJ993" s="7"/>
      <c r="IK993" s="7"/>
      <c r="IL993" s="7"/>
      <c r="IM993" s="7"/>
      <c r="IN993" s="7"/>
      <c r="IO993" s="7"/>
      <c r="IP993" s="7"/>
      <c r="IQ993" s="7"/>
      <c r="IR993" s="7"/>
      <c r="IS993" s="7"/>
      <c r="IT993" s="7"/>
      <c r="IU993" s="7"/>
      <c r="IV993" s="7"/>
      <c r="IW993" s="7"/>
      <c r="IX993" s="7"/>
    </row>
    <row r="994" spans="1:258" ht="25.15" customHeight="1" x14ac:dyDescent="0.25">
      <c r="A994" s="53" t="s">
        <v>1855</v>
      </c>
      <c r="B994" s="8" t="s">
        <v>398</v>
      </c>
      <c r="C994" s="2">
        <f>D994+L994+N994+P994+R994+S994+T994+U994</f>
        <v>400000</v>
      </c>
      <c r="D994" s="3">
        <f>SUM(E994:J994)</f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400000</v>
      </c>
      <c r="V994" s="6" t="e">
        <f>N994/M994</f>
        <v>#DIV/0!</v>
      </c>
    </row>
    <row r="995" spans="1:258" ht="25.15" customHeight="1" x14ac:dyDescent="0.25">
      <c r="A995" s="53" t="s">
        <v>1856</v>
      </c>
      <c r="B995" s="24" t="s">
        <v>874</v>
      </c>
      <c r="C995" s="2">
        <f>D995+L995+N995+P995+R995+S995+T995+U995</f>
        <v>7251100</v>
      </c>
      <c r="D995" s="3">
        <f>SUM(E995:J995)</f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4">
        <v>0</v>
      </c>
      <c r="L995" s="3">
        <v>0</v>
      </c>
      <c r="M995" s="3">
        <v>623.5</v>
      </c>
      <c r="N995" s="3">
        <f>M995*6600</f>
        <v>4115100</v>
      </c>
      <c r="O995" s="3">
        <v>0</v>
      </c>
      <c r="P995" s="3">
        <v>0</v>
      </c>
      <c r="Q995" s="3">
        <v>980</v>
      </c>
      <c r="R995" s="5">
        <f>Q995*3200</f>
        <v>3136000</v>
      </c>
      <c r="S995" s="3">
        <v>0</v>
      </c>
      <c r="T995" s="3">
        <v>0</v>
      </c>
      <c r="U995" s="3">
        <v>0</v>
      </c>
      <c r="V995" s="6">
        <f>N995/M995</f>
        <v>6600</v>
      </c>
    </row>
    <row r="996" spans="1:258" s="6" customFormat="1" ht="25.15" customHeight="1" x14ac:dyDescent="0.25">
      <c r="A996" s="53" t="s">
        <v>1857</v>
      </c>
      <c r="B996" s="23" t="s">
        <v>781</v>
      </c>
      <c r="C996" s="2">
        <f t="shared" si="285"/>
        <v>4284720</v>
      </c>
      <c r="D996" s="3">
        <f t="shared" si="284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5">
        <v>649.20000000000005</v>
      </c>
      <c r="N996" s="3">
        <f t="shared" si="288"/>
        <v>4284720</v>
      </c>
      <c r="O996" s="3">
        <v>0</v>
      </c>
      <c r="P996" s="3">
        <v>0</v>
      </c>
      <c r="Q996" s="3">
        <v>0</v>
      </c>
      <c r="R996" s="3">
        <f t="shared" si="279"/>
        <v>0</v>
      </c>
      <c r="S996" s="3">
        <v>0</v>
      </c>
      <c r="T996" s="5">
        <v>0</v>
      </c>
      <c r="U996" s="3">
        <v>0</v>
      </c>
      <c r="V996" s="6">
        <f t="shared" si="283"/>
        <v>6599.9999999999991</v>
      </c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7"/>
      <c r="DZ996" s="7"/>
      <c r="EA996" s="7"/>
      <c r="EB996" s="7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  <c r="GJ996" s="7"/>
      <c r="GK996" s="7"/>
      <c r="GL996" s="7"/>
      <c r="GM996" s="7"/>
      <c r="GN996" s="7"/>
      <c r="GO996" s="7"/>
      <c r="GP996" s="7"/>
      <c r="GQ996" s="7"/>
      <c r="GR996" s="7"/>
      <c r="GS996" s="7"/>
      <c r="GT996" s="7"/>
      <c r="GU996" s="7"/>
      <c r="GV996" s="7"/>
      <c r="GW996" s="7"/>
      <c r="GX996" s="7"/>
      <c r="GY996" s="7"/>
      <c r="GZ996" s="7"/>
      <c r="HA996" s="7"/>
      <c r="HB996" s="7"/>
      <c r="HC996" s="7"/>
      <c r="HD996" s="7"/>
      <c r="HE996" s="7"/>
      <c r="HF996" s="7"/>
      <c r="HG996" s="7"/>
      <c r="HH996" s="7"/>
      <c r="HI996" s="7"/>
      <c r="HJ996" s="7"/>
      <c r="HK996" s="7"/>
      <c r="HL996" s="7"/>
      <c r="HM996" s="7"/>
      <c r="HN996" s="7"/>
      <c r="HO996" s="7"/>
      <c r="HP996" s="7"/>
      <c r="HQ996" s="7"/>
      <c r="HR996" s="7"/>
      <c r="HS996" s="7"/>
      <c r="HT996" s="7"/>
      <c r="HU996" s="7"/>
      <c r="HV996" s="7"/>
      <c r="HW996" s="7"/>
      <c r="HX996" s="7"/>
      <c r="HY996" s="7"/>
      <c r="HZ996" s="7"/>
      <c r="IA996" s="7"/>
      <c r="IB996" s="7"/>
      <c r="IC996" s="7"/>
      <c r="ID996" s="7"/>
      <c r="IE996" s="7"/>
      <c r="IF996" s="7"/>
      <c r="IG996" s="7"/>
      <c r="IH996" s="7"/>
      <c r="II996" s="7"/>
      <c r="IJ996" s="7"/>
      <c r="IK996" s="7"/>
      <c r="IL996" s="7"/>
      <c r="IM996" s="7"/>
      <c r="IN996" s="7"/>
      <c r="IO996" s="7"/>
      <c r="IP996" s="7"/>
      <c r="IQ996" s="7"/>
      <c r="IR996" s="7"/>
      <c r="IS996" s="7"/>
      <c r="IT996" s="7"/>
      <c r="IU996" s="7"/>
      <c r="IV996" s="7"/>
      <c r="IW996" s="7"/>
      <c r="IX996" s="7"/>
    </row>
    <row r="997" spans="1:258" ht="25.15" customHeight="1" x14ac:dyDescent="0.25">
      <c r="A997" s="53" t="s">
        <v>1858</v>
      </c>
      <c r="B997" s="23" t="s">
        <v>530</v>
      </c>
      <c r="C997" s="2">
        <f>D997+L997+N997+P997+R997+S997+T997+U997</f>
        <v>12428999.35</v>
      </c>
      <c r="D997" s="3">
        <f>SUM(E997:J997)</f>
        <v>3386700.0000000005</v>
      </c>
      <c r="E997" s="3">
        <f>700*1128.9</f>
        <v>790230.00000000012</v>
      </c>
      <c r="F997" s="3">
        <f>1300*1128.9</f>
        <v>1467570.0000000002</v>
      </c>
      <c r="G997" s="3">
        <f>300*1128.9</f>
        <v>338670</v>
      </c>
      <c r="H997" s="3">
        <f>400*1128.9</f>
        <v>451560.00000000006</v>
      </c>
      <c r="I997" s="3">
        <f>300*1128.9</f>
        <v>338670</v>
      </c>
      <c r="J997" s="3">
        <v>0</v>
      </c>
      <c r="K997" s="11">
        <v>0</v>
      </c>
      <c r="L997" s="5">
        <v>0</v>
      </c>
      <c r="M997" s="5">
        <v>684.8</v>
      </c>
      <c r="N997" s="3">
        <f>M997*6600</f>
        <v>4519680</v>
      </c>
      <c r="O997" s="5">
        <v>0</v>
      </c>
      <c r="P997" s="5">
        <v>0</v>
      </c>
      <c r="Q997" s="5">
        <v>1350</v>
      </c>
      <c r="R997" s="3">
        <f>Q997*3200</f>
        <v>4320000</v>
      </c>
      <c r="S997" s="5">
        <v>0</v>
      </c>
      <c r="T997" s="5">
        <v>0</v>
      </c>
      <c r="U997" s="5">
        <v>202619.35</v>
      </c>
      <c r="V997" s="6">
        <f>N997/M997</f>
        <v>6600</v>
      </c>
    </row>
    <row r="998" spans="1:258" s="17" customFormat="1" ht="25.15" customHeight="1" x14ac:dyDescent="0.25">
      <c r="A998" s="53" t="s">
        <v>1859</v>
      </c>
      <c r="B998" s="8" t="s">
        <v>782</v>
      </c>
      <c r="C998" s="2">
        <f t="shared" si="285"/>
        <v>4304520</v>
      </c>
      <c r="D998" s="3">
        <f t="shared" si="284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5">
        <v>652.20000000000005</v>
      </c>
      <c r="N998" s="3">
        <f t="shared" si="288"/>
        <v>4304520</v>
      </c>
      <c r="O998" s="3">
        <v>0</v>
      </c>
      <c r="P998" s="3">
        <v>0</v>
      </c>
      <c r="Q998" s="3">
        <v>0</v>
      </c>
      <c r="R998" s="3">
        <f t="shared" si="279"/>
        <v>0</v>
      </c>
      <c r="S998" s="3">
        <v>0</v>
      </c>
      <c r="T998" s="5">
        <v>0</v>
      </c>
      <c r="U998" s="3">
        <v>0</v>
      </c>
      <c r="V998" s="6">
        <f t="shared" si="283"/>
        <v>6599.9999999999991</v>
      </c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7"/>
      <c r="DZ998" s="7"/>
      <c r="EA998" s="7"/>
      <c r="EB998" s="7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  <c r="GJ998" s="7"/>
      <c r="GK998" s="7"/>
      <c r="GL998" s="7"/>
      <c r="GM998" s="7"/>
      <c r="GN998" s="7"/>
      <c r="GO998" s="7"/>
      <c r="GP998" s="7"/>
      <c r="GQ998" s="7"/>
      <c r="GR998" s="7"/>
      <c r="GS998" s="7"/>
      <c r="GT998" s="7"/>
      <c r="GU998" s="7"/>
      <c r="GV998" s="7"/>
      <c r="GW998" s="7"/>
      <c r="GX998" s="7"/>
      <c r="GY998" s="7"/>
      <c r="GZ998" s="7"/>
      <c r="HA998" s="7"/>
      <c r="HB998" s="7"/>
      <c r="HC998" s="7"/>
      <c r="HD998" s="7"/>
      <c r="HE998" s="7"/>
      <c r="HF998" s="7"/>
      <c r="HG998" s="7"/>
      <c r="HH998" s="7"/>
      <c r="HI998" s="7"/>
      <c r="HJ998" s="7"/>
      <c r="HK998" s="7"/>
      <c r="HL998" s="7"/>
      <c r="HM998" s="7"/>
      <c r="HN998" s="7"/>
      <c r="HO998" s="7"/>
      <c r="HP998" s="7"/>
      <c r="HQ998" s="7"/>
      <c r="HR998" s="7"/>
      <c r="HS998" s="7"/>
      <c r="HT998" s="7"/>
      <c r="HU998" s="7"/>
      <c r="HV998" s="7"/>
      <c r="HW998" s="7"/>
      <c r="HX998" s="7"/>
      <c r="HY998" s="7"/>
      <c r="HZ998" s="7"/>
      <c r="IA998" s="7"/>
      <c r="IB998" s="7"/>
      <c r="IC998" s="7"/>
      <c r="ID998" s="7"/>
      <c r="IE998" s="7"/>
      <c r="IF998" s="7"/>
      <c r="IG998" s="7"/>
      <c r="IH998" s="7"/>
      <c r="II998" s="7"/>
      <c r="IJ998" s="7"/>
      <c r="IK998" s="7"/>
      <c r="IL998" s="7"/>
      <c r="IM998" s="7"/>
      <c r="IN998" s="7"/>
      <c r="IO998" s="7"/>
      <c r="IP998" s="7"/>
      <c r="IQ998" s="7"/>
      <c r="IR998" s="7"/>
      <c r="IS998" s="7"/>
      <c r="IT998" s="7"/>
      <c r="IU998" s="7"/>
      <c r="IV998" s="7"/>
      <c r="IW998" s="7"/>
      <c r="IX998" s="7"/>
    </row>
    <row r="999" spans="1:258" s="17" customFormat="1" ht="25.15" customHeight="1" x14ac:dyDescent="0.25">
      <c r="A999" s="53" t="s">
        <v>1860</v>
      </c>
      <c r="B999" s="8" t="s">
        <v>783</v>
      </c>
      <c r="C999" s="2">
        <f t="shared" si="285"/>
        <v>4015680</v>
      </c>
      <c r="D999" s="3">
        <f t="shared" si="284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5">
        <v>902.4</v>
      </c>
      <c r="N999" s="3">
        <f>M999*4450</f>
        <v>4015680</v>
      </c>
      <c r="O999" s="3">
        <v>0</v>
      </c>
      <c r="P999" s="3">
        <v>0</v>
      </c>
      <c r="Q999" s="3">
        <v>0</v>
      </c>
      <c r="R999" s="3">
        <f t="shared" si="279"/>
        <v>0</v>
      </c>
      <c r="S999" s="3">
        <v>0</v>
      </c>
      <c r="T999" s="5">
        <v>0</v>
      </c>
      <c r="U999" s="3">
        <v>0</v>
      </c>
      <c r="V999" s="6">
        <f t="shared" si="283"/>
        <v>4450</v>
      </c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7"/>
      <c r="DZ999" s="7"/>
      <c r="EA999" s="7"/>
      <c r="EB999" s="7"/>
      <c r="EC999" s="7"/>
      <c r="ED999" s="7"/>
      <c r="EE999" s="7"/>
      <c r="EF999" s="7"/>
      <c r="EG999" s="7"/>
      <c r="EH999" s="7"/>
      <c r="EI999" s="7"/>
      <c r="EJ999" s="7"/>
      <c r="EK999" s="7"/>
      <c r="EL999" s="7"/>
      <c r="EM999" s="7"/>
      <c r="EN999" s="7"/>
      <c r="EO999" s="7"/>
      <c r="EP999" s="7"/>
      <c r="EQ999" s="7"/>
      <c r="ER999" s="7"/>
      <c r="ES999" s="7"/>
      <c r="ET999" s="7"/>
      <c r="EU999" s="7"/>
      <c r="EV999" s="7"/>
      <c r="EW999" s="7"/>
      <c r="EX999" s="7"/>
      <c r="EY999" s="7"/>
      <c r="EZ999" s="7"/>
      <c r="FA999" s="7"/>
      <c r="FB999" s="7"/>
      <c r="FC999" s="7"/>
      <c r="FD999" s="7"/>
      <c r="FE999" s="7"/>
      <c r="FF999" s="7"/>
      <c r="FG999" s="7"/>
      <c r="FH999" s="7"/>
      <c r="FI999" s="7"/>
      <c r="FJ999" s="7"/>
      <c r="FK999" s="7"/>
      <c r="FL999" s="7"/>
      <c r="FM999" s="7"/>
      <c r="FN999" s="7"/>
      <c r="FO999" s="7"/>
      <c r="FP999" s="7"/>
      <c r="FQ999" s="7"/>
      <c r="FR999" s="7"/>
      <c r="FS999" s="7"/>
      <c r="FT999" s="7"/>
      <c r="FU999" s="7"/>
      <c r="FV999" s="7"/>
      <c r="FW999" s="7"/>
      <c r="FX999" s="7"/>
      <c r="FY999" s="7"/>
      <c r="FZ999" s="7"/>
      <c r="GA999" s="7"/>
      <c r="GB999" s="7"/>
      <c r="GC999" s="7"/>
      <c r="GD999" s="7"/>
      <c r="GE999" s="7"/>
      <c r="GF999" s="7"/>
      <c r="GG999" s="7"/>
      <c r="GH999" s="7"/>
      <c r="GI999" s="7"/>
      <c r="GJ999" s="7"/>
      <c r="GK999" s="7"/>
      <c r="GL999" s="7"/>
      <c r="GM999" s="7"/>
      <c r="GN999" s="7"/>
      <c r="GO999" s="7"/>
      <c r="GP999" s="7"/>
      <c r="GQ999" s="7"/>
      <c r="GR999" s="7"/>
      <c r="GS999" s="7"/>
      <c r="GT999" s="7"/>
      <c r="GU999" s="7"/>
      <c r="GV999" s="7"/>
      <c r="GW999" s="7"/>
      <c r="GX999" s="7"/>
      <c r="GY999" s="7"/>
      <c r="GZ999" s="7"/>
      <c r="HA999" s="7"/>
      <c r="HB999" s="7"/>
      <c r="HC999" s="7"/>
      <c r="HD999" s="7"/>
      <c r="HE999" s="7"/>
      <c r="HF999" s="7"/>
      <c r="HG999" s="7"/>
      <c r="HH999" s="7"/>
      <c r="HI999" s="7"/>
      <c r="HJ999" s="7"/>
      <c r="HK999" s="7"/>
      <c r="HL999" s="7"/>
      <c r="HM999" s="7"/>
      <c r="HN999" s="7"/>
      <c r="HO999" s="7"/>
      <c r="HP999" s="7"/>
      <c r="HQ999" s="7"/>
      <c r="HR999" s="7"/>
      <c r="HS999" s="7"/>
      <c r="HT999" s="7"/>
      <c r="HU999" s="7"/>
      <c r="HV999" s="7"/>
      <c r="HW999" s="7"/>
      <c r="HX999" s="7"/>
      <c r="HY999" s="7"/>
      <c r="HZ999" s="7"/>
      <c r="IA999" s="7"/>
      <c r="IB999" s="7"/>
      <c r="IC999" s="7"/>
      <c r="ID999" s="7"/>
      <c r="IE999" s="7"/>
      <c r="IF999" s="7"/>
      <c r="IG999" s="7"/>
      <c r="IH999" s="7"/>
      <c r="II999" s="7"/>
      <c r="IJ999" s="7"/>
      <c r="IK999" s="7"/>
      <c r="IL999" s="7"/>
      <c r="IM999" s="7"/>
      <c r="IN999" s="7"/>
      <c r="IO999" s="7"/>
      <c r="IP999" s="7"/>
      <c r="IQ999" s="7"/>
      <c r="IR999" s="7"/>
      <c r="IS999" s="7"/>
      <c r="IT999" s="7"/>
      <c r="IU999" s="7"/>
      <c r="IV999" s="7"/>
      <c r="IW999" s="7"/>
      <c r="IX999" s="7"/>
    </row>
    <row r="1000" spans="1:258" ht="25.15" customHeight="1" x14ac:dyDescent="0.25">
      <c r="A1000" s="53" t="s">
        <v>1861</v>
      </c>
      <c r="B1000" s="23" t="s">
        <v>472</v>
      </c>
      <c r="C1000" s="2">
        <f>D1000+L1000+N1000+P1000+R1000+S1000+T1000+U1000</f>
        <v>7906800</v>
      </c>
      <c r="D1000" s="3">
        <f>SUM(E1000:J1000)</f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3">
        <v>1198</v>
      </c>
      <c r="N1000" s="3">
        <f t="shared" ref="N1000:N1012" si="289">M1000*6600</f>
        <v>7906800</v>
      </c>
      <c r="O1000" s="3">
        <v>0</v>
      </c>
      <c r="P1000" s="3">
        <v>0</v>
      </c>
      <c r="Q1000" s="3">
        <v>0</v>
      </c>
      <c r="R1000" s="3">
        <f t="shared" si="279"/>
        <v>0</v>
      </c>
      <c r="S1000" s="3">
        <v>0</v>
      </c>
      <c r="T1000" s="3">
        <v>0</v>
      </c>
      <c r="U1000" s="3">
        <v>0</v>
      </c>
      <c r="V1000" s="6">
        <f>N1000/M1000</f>
        <v>6600</v>
      </c>
    </row>
    <row r="1001" spans="1:258" ht="25.15" customHeight="1" x14ac:dyDescent="0.25">
      <c r="A1001" s="53" t="s">
        <v>1862</v>
      </c>
      <c r="B1001" s="23" t="s">
        <v>784</v>
      </c>
      <c r="C1001" s="2">
        <f t="shared" si="285"/>
        <v>3841860</v>
      </c>
      <c r="D1001" s="3">
        <f t="shared" si="284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4">
        <v>0</v>
      </c>
      <c r="L1001" s="3">
        <v>0</v>
      </c>
      <c r="M1001" s="5">
        <v>582.1</v>
      </c>
      <c r="N1001" s="3">
        <f t="shared" si="289"/>
        <v>3841860</v>
      </c>
      <c r="O1001" s="3">
        <v>0</v>
      </c>
      <c r="P1001" s="3">
        <v>0</v>
      </c>
      <c r="Q1001" s="3">
        <v>0</v>
      </c>
      <c r="R1001" s="3">
        <f t="shared" si="279"/>
        <v>0</v>
      </c>
      <c r="S1001" s="3">
        <v>0</v>
      </c>
      <c r="T1001" s="5">
        <v>0</v>
      </c>
      <c r="U1001" s="3">
        <v>0</v>
      </c>
      <c r="V1001" s="6">
        <f t="shared" si="283"/>
        <v>6600</v>
      </c>
    </row>
    <row r="1002" spans="1:258" ht="25.15" customHeight="1" x14ac:dyDescent="0.25">
      <c r="A1002" s="53" t="s">
        <v>1863</v>
      </c>
      <c r="B1002" s="23" t="s">
        <v>785</v>
      </c>
      <c r="C1002" s="2">
        <f t="shared" si="285"/>
        <v>3882120.0000000005</v>
      </c>
      <c r="D1002" s="3">
        <f t="shared" si="284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4">
        <v>0</v>
      </c>
      <c r="L1002" s="3">
        <v>0</v>
      </c>
      <c r="M1002" s="5">
        <v>588.20000000000005</v>
      </c>
      <c r="N1002" s="3">
        <f t="shared" si="289"/>
        <v>3882120.0000000005</v>
      </c>
      <c r="O1002" s="3">
        <v>0</v>
      </c>
      <c r="P1002" s="3">
        <v>0</v>
      </c>
      <c r="Q1002" s="3">
        <v>0</v>
      </c>
      <c r="R1002" s="3">
        <f t="shared" si="279"/>
        <v>0</v>
      </c>
      <c r="S1002" s="3">
        <v>0</v>
      </c>
      <c r="T1002" s="5">
        <v>0</v>
      </c>
      <c r="U1002" s="3">
        <v>0</v>
      </c>
      <c r="V1002" s="6">
        <f t="shared" si="283"/>
        <v>6600</v>
      </c>
    </row>
    <row r="1003" spans="1:258" ht="25.15" customHeight="1" x14ac:dyDescent="0.25">
      <c r="A1003" s="53" t="s">
        <v>1864</v>
      </c>
      <c r="B1003" s="23" t="s">
        <v>786</v>
      </c>
      <c r="C1003" s="2">
        <f t="shared" si="285"/>
        <v>3890700</v>
      </c>
      <c r="D1003" s="3">
        <f t="shared" si="284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4">
        <v>0</v>
      </c>
      <c r="L1003" s="3">
        <v>0</v>
      </c>
      <c r="M1003" s="5">
        <v>589.5</v>
      </c>
      <c r="N1003" s="3">
        <f t="shared" si="289"/>
        <v>3890700</v>
      </c>
      <c r="O1003" s="3">
        <v>0</v>
      </c>
      <c r="P1003" s="3">
        <v>0</v>
      </c>
      <c r="Q1003" s="3">
        <v>0</v>
      </c>
      <c r="R1003" s="3">
        <f t="shared" si="279"/>
        <v>0</v>
      </c>
      <c r="S1003" s="3">
        <v>0</v>
      </c>
      <c r="T1003" s="5">
        <v>0</v>
      </c>
      <c r="U1003" s="3">
        <v>0</v>
      </c>
      <c r="V1003" s="6">
        <f t="shared" si="283"/>
        <v>6600</v>
      </c>
    </row>
    <row r="1004" spans="1:258" s="30" customFormat="1" ht="25.15" customHeight="1" x14ac:dyDescent="0.25">
      <c r="A1004" s="53" t="s">
        <v>1865</v>
      </c>
      <c r="B1004" s="8" t="s">
        <v>712</v>
      </c>
      <c r="C1004" s="2">
        <f t="shared" si="285"/>
        <v>3742860</v>
      </c>
      <c r="D1004" s="3">
        <f t="shared" si="284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4">
        <v>0</v>
      </c>
      <c r="L1004" s="3">
        <v>0</v>
      </c>
      <c r="M1004" s="3">
        <v>567.1</v>
      </c>
      <c r="N1004" s="3">
        <f t="shared" si="289"/>
        <v>3742860</v>
      </c>
      <c r="O1004" s="3">
        <v>0</v>
      </c>
      <c r="P1004" s="3">
        <v>0</v>
      </c>
      <c r="Q1004" s="3">
        <v>0</v>
      </c>
      <c r="R1004" s="3">
        <f t="shared" si="279"/>
        <v>0</v>
      </c>
      <c r="S1004" s="3">
        <v>0</v>
      </c>
      <c r="T1004" s="5">
        <v>0</v>
      </c>
      <c r="U1004" s="3">
        <v>0</v>
      </c>
      <c r="V1004" s="6">
        <f t="shared" si="283"/>
        <v>6600</v>
      </c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7"/>
      <c r="CR1004" s="7"/>
      <c r="CS1004" s="7"/>
      <c r="CT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7"/>
      <c r="DO1004" s="7"/>
      <c r="DP1004" s="7"/>
      <c r="DQ1004" s="7"/>
      <c r="DR1004" s="7"/>
      <c r="DS1004" s="7"/>
      <c r="DT1004" s="7"/>
      <c r="DU1004" s="7"/>
      <c r="DV1004" s="7"/>
      <c r="DW1004" s="7"/>
      <c r="DX1004" s="7"/>
      <c r="DY1004" s="7"/>
      <c r="DZ1004" s="7"/>
      <c r="EA1004" s="7"/>
      <c r="EB1004" s="7"/>
      <c r="EC1004" s="7"/>
      <c r="ED1004" s="7"/>
      <c r="EE1004" s="7"/>
      <c r="EF1004" s="7"/>
      <c r="EG1004" s="7"/>
      <c r="EH1004" s="7"/>
      <c r="EI1004" s="7"/>
      <c r="EJ1004" s="7"/>
      <c r="EK1004" s="7"/>
      <c r="EL1004" s="7"/>
      <c r="EM1004" s="7"/>
      <c r="EN1004" s="7"/>
      <c r="EO1004" s="7"/>
      <c r="EP1004" s="7"/>
      <c r="EQ1004" s="7"/>
      <c r="ER1004" s="7"/>
      <c r="ES1004" s="7"/>
      <c r="ET1004" s="7"/>
      <c r="EU1004" s="7"/>
      <c r="EV1004" s="7"/>
      <c r="EW1004" s="7"/>
      <c r="EX1004" s="7"/>
      <c r="EY1004" s="7"/>
      <c r="EZ1004" s="7"/>
      <c r="FA1004" s="7"/>
      <c r="FB1004" s="7"/>
      <c r="FC1004" s="7"/>
      <c r="FD1004" s="7"/>
      <c r="FE1004" s="7"/>
      <c r="FF1004" s="7"/>
      <c r="FG1004" s="7"/>
      <c r="FH1004" s="7"/>
      <c r="FI1004" s="7"/>
      <c r="FJ1004" s="7"/>
      <c r="FK1004" s="7"/>
      <c r="FL1004" s="7"/>
      <c r="FM1004" s="7"/>
      <c r="FN1004" s="7"/>
      <c r="FO1004" s="7"/>
      <c r="FP1004" s="7"/>
      <c r="FQ1004" s="7"/>
      <c r="FR1004" s="7"/>
      <c r="FS1004" s="7"/>
      <c r="FT1004" s="7"/>
      <c r="FU1004" s="7"/>
      <c r="FV1004" s="7"/>
      <c r="FW1004" s="7"/>
      <c r="FX1004" s="7"/>
      <c r="FY1004" s="7"/>
      <c r="FZ1004" s="7"/>
      <c r="GA1004" s="7"/>
      <c r="GB1004" s="7"/>
      <c r="GC1004" s="7"/>
      <c r="GD1004" s="7"/>
      <c r="GE1004" s="7"/>
      <c r="GF1004" s="7"/>
      <c r="GG1004" s="7"/>
      <c r="GH1004" s="7"/>
      <c r="GI1004" s="7"/>
      <c r="GJ1004" s="7"/>
      <c r="GK1004" s="7"/>
      <c r="GL1004" s="7"/>
      <c r="GM1004" s="7"/>
      <c r="GN1004" s="7"/>
      <c r="GO1004" s="7"/>
      <c r="GP1004" s="7"/>
      <c r="GQ1004" s="7"/>
      <c r="GR1004" s="7"/>
      <c r="GS1004" s="7"/>
      <c r="GT1004" s="7"/>
      <c r="GU1004" s="7"/>
      <c r="GV1004" s="7"/>
      <c r="GW1004" s="7"/>
      <c r="GX1004" s="7"/>
      <c r="GY1004" s="7"/>
      <c r="GZ1004" s="7"/>
      <c r="HA1004" s="7"/>
      <c r="HB1004" s="7"/>
      <c r="HC1004" s="7"/>
      <c r="HD1004" s="7"/>
      <c r="HE1004" s="7"/>
      <c r="HF1004" s="7"/>
      <c r="HG1004" s="7"/>
      <c r="HH1004" s="7"/>
      <c r="HI1004" s="7"/>
      <c r="HJ1004" s="7"/>
      <c r="HK1004" s="7"/>
      <c r="HL1004" s="7"/>
      <c r="HM1004" s="7"/>
      <c r="HN1004" s="7"/>
      <c r="HO1004" s="7"/>
      <c r="HP1004" s="7"/>
      <c r="HQ1004" s="7"/>
      <c r="HR1004" s="7"/>
      <c r="HS1004" s="7"/>
      <c r="HT1004" s="7"/>
      <c r="HU1004" s="7"/>
      <c r="HV1004" s="7"/>
      <c r="HW1004" s="7"/>
      <c r="HX1004" s="7"/>
      <c r="HY1004" s="7"/>
      <c r="HZ1004" s="7"/>
      <c r="IA1004" s="7"/>
      <c r="IB1004" s="7"/>
      <c r="IC1004" s="7"/>
      <c r="ID1004" s="7"/>
      <c r="IE1004" s="7"/>
      <c r="IF1004" s="7"/>
      <c r="IG1004" s="7"/>
      <c r="IH1004" s="7"/>
      <c r="II1004" s="7"/>
      <c r="IJ1004" s="7"/>
      <c r="IK1004" s="7"/>
      <c r="IL1004" s="7"/>
      <c r="IM1004" s="7"/>
      <c r="IN1004" s="7"/>
      <c r="IO1004" s="7"/>
      <c r="IP1004" s="7"/>
      <c r="IQ1004" s="7"/>
      <c r="IR1004" s="7"/>
      <c r="IS1004" s="7"/>
      <c r="IT1004" s="7"/>
      <c r="IU1004" s="7"/>
      <c r="IV1004" s="7"/>
      <c r="IW1004" s="7"/>
      <c r="IX1004" s="7"/>
    </row>
    <row r="1005" spans="1:258" s="30" customFormat="1" ht="25.15" customHeight="1" x14ac:dyDescent="0.25">
      <c r="A1005" s="53" t="s">
        <v>1866</v>
      </c>
      <c r="B1005" s="8" t="s">
        <v>713</v>
      </c>
      <c r="C1005" s="2">
        <f t="shared" si="285"/>
        <v>3433979.9999999995</v>
      </c>
      <c r="D1005" s="3">
        <f t="shared" si="284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5">
        <v>520.29999999999995</v>
      </c>
      <c r="N1005" s="3">
        <f t="shared" si="289"/>
        <v>3433979.9999999995</v>
      </c>
      <c r="O1005" s="3">
        <v>0</v>
      </c>
      <c r="P1005" s="3">
        <v>0</v>
      </c>
      <c r="Q1005" s="3">
        <v>0</v>
      </c>
      <c r="R1005" s="3">
        <f t="shared" si="279"/>
        <v>0</v>
      </c>
      <c r="S1005" s="3">
        <v>0</v>
      </c>
      <c r="T1005" s="5">
        <v>0</v>
      </c>
      <c r="U1005" s="3">
        <v>0</v>
      </c>
      <c r="V1005" s="6">
        <f t="shared" si="283"/>
        <v>6600</v>
      </c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7"/>
      <c r="DZ1005" s="7"/>
      <c r="EA1005" s="7"/>
      <c r="EB1005" s="7"/>
      <c r="EC1005" s="7"/>
      <c r="ED1005" s="7"/>
      <c r="EE1005" s="7"/>
      <c r="EF1005" s="7"/>
      <c r="EG1005" s="7"/>
      <c r="EH1005" s="7"/>
      <c r="EI1005" s="7"/>
      <c r="EJ1005" s="7"/>
      <c r="EK1005" s="7"/>
      <c r="EL1005" s="7"/>
      <c r="EM1005" s="7"/>
      <c r="EN1005" s="7"/>
      <c r="EO1005" s="7"/>
      <c r="EP1005" s="7"/>
      <c r="EQ1005" s="7"/>
      <c r="ER1005" s="7"/>
      <c r="ES1005" s="7"/>
      <c r="ET1005" s="7"/>
      <c r="EU1005" s="7"/>
      <c r="EV1005" s="7"/>
      <c r="EW1005" s="7"/>
      <c r="EX1005" s="7"/>
      <c r="EY1005" s="7"/>
      <c r="EZ1005" s="7"/>
      <c r="FA1005" s="7"/>
      <c r="FB1005" s="7"/>
      <c r="FC1005" s="7"/>
      <c r="FD1005" s="7"/>
      <c r="FE1005" s="7"/>
      <c r="FF1005" s="7"/>
      <c r="FG1005" s="7"/>
      <c r="FH1005" s="7"/>
      <c r="FI1005" s="7"/>
      <c r="FJ1005" s="7"/>
      <c r="FK1005" s="7"/>
      <c r="FL1005" s="7"/>
      <c r="FM1005" s="7"/>
      <c r="FN1005" s="7"/>
      <c r="FO1005" s="7"/>
      <c r="FP1005" s="7"/>
      <c r="FQ1005" s="7"/>
      <c r="FR1005" s="7"/>
      <c r="FS1005" s="7"/>
      <c r="FT1005" s="7"/>
      <c r="FU1005" s="7"/>
      <c r="FV1005" s="7"/>
      <c r="FW1005" s="7"/>
      <c r="FX1005" s="7"/>
      <c r="FY1005" s="7"/>
      <c r="FZ1005" s="7"/>
      <c r="GA1005" s="7"/>
      <c r="GB1005" s="7"/>
      <c r="GC1005" s="7"/>
      <c r="GD1005" s="7"/>
      <c r="GE1005" s="7"/>
      <c r="GF1005" s="7"/>
      <c r="GG1005" s="7"/>
      <c r="GH1005" s="7"/>
      <c r="GI1005" s="7"/>
      <c r="GJ1005" s="7"/>
      <c r="GK1005" s="7"/>
      <c r="GL1005" s="7"/>
      <c r="GM1005" s="7"/>
      <c r="GN1005" s="7"/>
      <c r="GO1005" s="7"/>
      <c r="GP1005" s="7"/>
      <c r="GQ1005" s="7"/>
      <c r="GR1005" s="7"/>
      <c r="GS1005" s="7"/>
      <c r="GT1005" s="7"/>
      <c r="GU1005" s="7"/>
      <c r="GV1005" s="7"/>
      <c r="GW1005" s="7"/>
      <c r="GX1005" s="7"/>
      <c r="GY1005" s="7"/>
      <c r="GZ1005" s="7"/>
      <c r="HA1005" s="7"/>
      <c r="HB1005" s="7"/>
      <c r="HC1005" s="7"/>
      <c r="HD1005" s="7"/>
      <c r="HE1005" s="7"/>
      <c r="HF1005" s="7"/>
      <c r="HG1005" s="7"/>
      <c r="HH1005" s="7"/>
      <c r="HI1005" s="7"/>
      <c r="HJ1005" s="7"/>
      <c r="HK1005" s="7"/>
      <c r="HL1005" s="7"/>
      <c r="HM1005" s="7"/>
      <c r="HN1005" s="7"/>
      <c r="HO1005" s="7"/>
      <c r="HP1005" s="7"/>
      <c r="HQ1005" s="7"/>
      <c r="HR1005" s="7"/>
      <c r="HS1005" s="7"/>
      <c r="HT1005" s="7"/>
      <c r="HU1005" s="7"/>
      <c r="HV1005" s="7"/>
      <c r="HW1005" s="7"/>
      <c r="HX1005" s="7"/>
      <c r="HY1005" s="7"/>
      <c r="HZ1005" s="7"/>
      <c r="IA1005" s="7"/>
      <c r="IB1005" s="7"/>
      <c r="IC1005" s="7"/>
      <c r="ID1005" s="7"/>
      <c r="IE1005" s="7"/>
      <c r="IF1005" s="7"/>
      <c r="IG1005" s="7"/>
      <c r="IH1005" s="7"/>
      <c r="II1005" s="7"/>
      <c r="IJ1005" s="7"/>
      <c r="IK1005" s="7"/>
      <c r="IL1005" s="7"/>
      <c r="IM1005" s="7"/>
      <c r="IN1005" s="7"/>
      <c r="IO1005" s="7"/>
      <c r="IP1005" s="7"/>
      <c r="IQ1005" s="7"/>
      <c r="IR1005" s="7"/>
      <c r="IS1005" s="7"/>
      <c r="IT1005" s="7"/>
      <c r="IU1005" s="7"/>
      <c r="IV1005" s="7"/>
      <c r="IW1005" s="7"/>
      <c r="IX1005" s="7"/>
    </row>
    <row r="1006" spans="1:258" ht="25.15" customHeight="1" x14ac:dyDescent="0.25">
      <c r="A1006" s="53" t="s">
        <v>1867</v>
      </c>
      <c r="B1006" s="8" t="s">
        <v>497</v>
      </c>
      <c r="C1006" s="2">
        <f>D1006+L1006+N1006+P1006+R1006+S1006+T1006+U1006</f>
        <v>5353320</v>
      </c>
      <c r="D1006" s="3">
        <f>SUM(E1006:J1006)</f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472.2</v>
      </c>
      <c r="N1006" s="3">
        <f>M1006*6600</f>
        <v>3116520</v>
      </c>
      <c r="O1006" s="3">
        <v>0</v>
      </c>
      <c r="P1006" s="3">
        <v>0</v>
      </c>
      <c r="Q1006" s="3">
        <v>699</v>
      </c>
      <c r="R1006" s="3">
        <f>Q1006*3200</f>
        <v>2236800</v>
      </c>
      <c r="S1006" s="3">
        <v>0</v>
      </c>
      <c r="T1006" s="3">
        <v>0</v>
      </c>
      <c r="U1006" s="3">
        <v>0</v>
      </c>
      <c r="V1006" s="6">
        <f>N1006/M1006</f>
        <v>6600</v>
      </c>
    </row>
    <row r="1007" spans="1:258" ht="24.6" customHeight="1" x14ac:dyDescent="0.25">
      <c r="A1007" s="53" t="s">
        <v>1868</v>
      </c>
      <c r="B1007" s="8" t="s">
        <v>498</v>
      </c>
      <c r="C1007" s="2">
        <f>D1007+L1007+N1007+P1007+R1007+S1007+T1007+U1007</f>
        <v>1733088</v>
      </c>
      <c r="D1007" s="3">
        <f>SUM(E1007:J1007)</f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541.59</v>
      </c>
      <c r="R1007" s="3">
        <f>Q1007*3200</f>
        <v>1733088</v>
      </c>
      <c r="S1007" s="3">
        <v>0</v>
      </c>
      <c r="T1007" s="3">
        <v>0</v>
      </c>
      <c r="U1007" s="3">
        <v>0</v>
      </c>
      <c r="V1007" s="6" t="e">
        <f>N1007/M1007</f>
        <v>#DIV/0!</v>
      </c>
    </row>
    <row r="1008" spans="1:258" ht="25.15" customHeight="1" x14ac:dyDescent="0.25">
      <c r="A1008" s="53" t="s">
        <v>1869</v>
      </c>
      <c r="B1008" s="24" t="s">
        <v>878</v>
      </c>
      <c r="C1008" s="2">
        <f>D1008+L1008+N1008+P1008+R1008+S1008+T1008+U1008</f>
        <v>231420</v>
      </c>
      <c r="D1008" s="3">
        <f>SUM(E1008:J1008)</f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3">
        <v>0</v>
      </c>
      <c r="N1008" s="3">
        <v>0</v>
      </c>
      <c r="O1008" s="3">
        <v>110.2</v>
      </c>
      <c r="P1008" s="3">
        <v>231420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6" t="e">
        <f>N1008/M1008</f>
        <v>#DIV/0!</v>
      </c>
    </row>
    <row r="1009" spans="1:258" s="30" customFormat="1" ht="25.15" customHeight="1" x14ac:dyDescent="0.25">
      <c r="A1009" s="53" t="s">
        <v>1870</v>
      </c>
      <c r="B1009" s="8" t="s">
        <v>714</v>
      </c>
      <c r="C1009" s="2">
        <f t="shared" si="285"/>
        <v>3682500</v>
      </c>
      <c r="D1009" s="3">
        <f t="shared" si="284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3">
        <v>512.5</v>
      </c>
      <c r="N1009" s="3">
        <f t="shared" si="289"/>
        <v>3382500</v>
      </c>
      <c r="O1009" s="3">
        <v>0</v>
      </c>
      <c r="P1009" s="3">
        <v>0</v>
      </c>
      <c r="Q1009" s="3">
        <v>0</v>
      </c>
      <c r="R1009" s="3">
        <f t="shared" si="279"/>
        <v>0</v>
      </c>
      <c r="S1009" s="3">
        <v>0</v>
      </c>
      <c r="T1009" s="5">
        <v>0</v>
      </c>
      <c r="U1009" s="3">
        <v>300000</v>
      </c>
      <c r="V1009" s="6">
        <f t="shared" si="283"/>
        <v>6600</v>
      </c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7"/>
      <c r="DZ1009" s="7"/>
      <c r="EA1009" s="7"/>
      <c r="EB1009" s="7"/>
      <c r="EC1009" s="7"/>
      <c r="ED1009" s="7"/>
      <c r="EE1009" s="7"/>
      <c r="EF1009" s="7"/>
      <c r="EG1009" s="7"/>
      <c r="EH1009" s="7"/>
      <c r="EI1009" s="7"/>
      <c r="EJ1009" s="7"/>
      <c r="EK1009" s="7"/>
      <c r="EL1009" s="7"/>
      <c r="EM1009" s="7"/>
      <c r="EN1009" s="7"/>
      <c r="EO1009" s="7"/>
      <c r="EP1009" s="7"/>
      <c r="EQ1009" s="7"/>
      <c r="ER1009" s="7"/>
      <c r="ES1009" s="7"/>
      <c r="ET1009" s="7"/>
      <c r="EU1009" s="7"/>
      <c r="EV1009" s="7"/>
      <c r="EW1009" s="7"/>
      <c r="EX1009" s="7"/>
      <c r="EY1009" s="7"/>
      <c r="EZ1009" s="7"/>
      <c r="FA1009" s="7"/>
      <c r="FB1009" s="7"/>
      <c r="FC1009" s="7"/>
      <c r="FD1009" s="7"/>
      <c r="FE1009" s="7"/>
      <c r="FF1009" s="7"/>
      <c r="FG1009" s="7"/>
      <c r="FH1009" s="7"/>
      <c r="FI1009" s="7"/>
      <c r="FJ1009" s="7"/>
      <c r="FK1009" s="7"/>
      <c r="FL1009" s="7"/>
      <c r="FM1009" s="7"/>
      <c r="FN1009" s="7"/>
      <c r="FO1009" s="7"/>
      <c r="FP1009" s="7"/>
      <c r="FQ1009" s="7"/>
      <c r="FR1009" s="7"/>
      <c r="FS1009" s="7"/>
      <c r="FT1009" s="7"/>
      <c r="FU1009" s="7"/>
      <c r="FV1009" s="7"/>
      <c r="FW1009" s="7"/>
      <c r="FX1009" s="7"/>
      <c r="FY1009" s="7"/>
      <c r="FZ1009" s="7"/>
      <c r="GA1009" s="7"/>
      <c r="GB1009" s="7"/>
      <c r="GC1009" s="7"/>
      <c r="GD1009" s="7"/>
      <c r="GE1009" s="7"/>
      <c r="GF1009" s="7"/>
      <c r="GG1009" s="7"/>
      <c r="GH1009" s="7"/>
      <c r="GI1009" s="7"/>
      <c r="GJ1009" s="7"/>
      <c r="GK1009" s="7"/>
      <c r="GL1009" s="7"/>
      <c r="GM1009" s="7"/>
      <c r="GN1009" s="7"/>
      <c r="GO1009" s="7"/>
      <c r="GP1009" s="7"/>
      <c r="GQ1009" s="7"/>
      <c r="GR1009" s="7"/>
      <c r="GS1009" s="7"/>
      <c r="GT1009" s="7"/>
      <c r="GU1009" s="7"/>
      <c r="GV1009" s="7"/>
      <c r="GW1009" s="7"/>
      <c r="GX1009" s="7"/>
      <c r="GY1009" s="7"/>
      <c r="GZ1009" s="7"/>
      <c r="HA1009" s="7"/>
      <c r="HB1009" s="7"/>
      <c r="HC1009" s="7"/>
      <c r="HD1009" s="7"/>
      <c r="HE1009" s="7"/>
      <c r="HF1009" s="7"/>
      <c r="HG1009" s="7"/>
      <c r="HH1009" s="7"/>
      <c r="HI1009" s="7"/>
      <c r="HJ1009" s="7"/>
      <c r="HK1009" s="7"/>
      <c r="HL1009" s="7"/>
      <c r="HM1009" s="7"/>
      <c r="HN1009" s="7"/>
      <c r="HO1009" s="7"/>
      <c r="HP1009" s="7"/>
      <c r="HQ1009" s="7"/>
      <c r="HR1009" s="7"/>
      <c r="HS1009" s="7"/>
      <c r="HT1009" s="7"/>
      <c r="HU1009" s="7"/>
      <c r="HV1009" s="7"/>
      <c r="HW1009" s="7"/>
      <c r="HX1009" s="7"/>
      <c r="HY1009" s="7"/>
      <c r="HZ1009" s="7"/>
      <c r="IA1009" s="7"/>
      <c r="IB1009" s="7"/>
      <c r="IC1009" s="7"/>
      <c r="ID1009" s="7"/>
      <c r="IE1009" s="7"/>
      <c r="IF1009" s="7"/>
      <c r="IG1009" s="7"/>
      <c r="IH1009" s="7"/>
      <c r="II1009" s="7"/>
      <c r="IJ1009" s="7"/>
      <c r="IK1009" s="7"/>
      <c r="IL1009" s="7"/>
      <c r="IM1009" s="7"/>
      <c r="IN1009" s="7"/>
      <c r="IO1009" s="7"/>
      <c r="IP1009" s="7"/>
      <c r="IQ1009" s="7"/>
      <c r="IR1009" s="7"/>
      <c r="IS1009" s="7"/>
      <c r="IT1009" s="7"/>
      <c r="IU1009" s="7"/>
      <c r="IV1009" s="7"/>
      <c r="IW1009" s="7"/>
      <c r="IX1009" s="7"/>
    </row>
    <row r="1010" spans="1:258" ht="25.15" customHeight="1" x14ac:dyDescent="0.25">
      <c r="A1010" s="53" t="s">
        <v>1871</v>
      </c>
      <c r="B1010" s="8" t="s">
        <v>389</v>
      </c>
      <c r="C1010" s="2">
        <f>D1010+L1010+N1010+P1010+R1010+S1010+T1010+U1010</f>
        <v>5148400</v>
      </c>
      <c r="D1010" s="3">
        <f>SUM(E1010:J1010)</f>
        <v>4298400</v>
      </c>
      <c r="E1010" s="3">
        <f>700*1432.8</f>
        <v>1002960</v>
      </c>
      <c r="F1010" s="3">
        <f>1300*1432.8</f>
        <v>1862640</v>
      </c>
      <c r="G1010" s="3">
        <f>300*1432.8</f>
        <v>429840</v>
      </c>
      <c r="H1010" s="3">
        <f>400*1432.8</f>
        <v>573120</v>
      </c>
      <c r="I1010" s="3">
        <f>300*1432.8</f>
        <v>429840</v>
      </c>
      <c r="J1010" s="3">
        <f>800*0</f>
        <v>0</v>
      </c>
      <c r="K1010" s="4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850000</v>
      </c>
      <c r="V1010" s="6" t="e">
        <f>N1010/M1010</f>
        <v>#DIV/0!</v>
      </c>
    </row>
    <row r="1011" spans="1:258" ht="25.15" customHeight="1" x14ac:dyDescent="0.25">
      <c r="A1011" s="53" t="s">
        <v>1872</v>
      </c>
      <c r="B1011" s="8" t="s">
        <v>715</v>
      </c>
      <c r="C1011" s="2">
        <f t="shared" si="285"/>
        <v>1980000</v>
      </c>
      <c r="D1011" s="3">
        <f t="shared" si="284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3">
        <v>300</v>
      </c>
      <c r="N1011" s="3">
        <f t="shared" si="289"/>
        <v>1980000</v>
      </c>
      <c r="O1011" s="3">
        <v>0</v>
      </c>
      <c r="P1011" s="3">
        <v>0</v>
      </c>
      <c r="Q1011" s="3">
        <v>0</v>
      </c>
      <c r="R1011" s="3">
        <f t="shared" si="279"/>
        <v>0</v>
      </c>
      <c r="S1011" s="3">
        <v>0</v>
      </c>
      <c r="T1011" s="5">
        <v>0</v>
      </c>
      <c r="U1011" s="3">
        <v>0</v>
      </c>
      <c r="V1011" s="6">
        <f t="shared" si="283"/>
        <v>6600</v>
      </c>
    </row>
    <row r="1012" spans="1:258" ht="25.15" customHeight="1" x14ac:dyDescent="0.25">
      <c r="A1012" s="53" t="s">
        <v>1873</v>
      </c>
      <c r="B1012" s="8" t="s">
        <v>716</v>
      </c>
      <c r="C1012" s="2">
        <f t="shared" si="285"/>
        <v>1980000</v>
      </c>
      <c r="D1012" s="3">
        <f t="shared" si="284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3">
        <v>300</v>
      </c>
      <c r="N1012" s="3">
        <f t="shared" si="289"/>
        <v>1980000</v>
      </c>
      <c r="O1012" s="3">
        <v>0</v>
      </c>
      <c r="P1012" s="3">
        <v>0</v>
      </c>
      <c r="Q1012" s="3">
        <v>0</v>
      </c>
      <c r="R1012" s="3">
        <f t="shared" si="279"/>
        <v>0</v>
      </c>
      <c r="S1012" s="3">
        <v>0</v>
      </c>
      <c r="T1012" s="5">
        <v>0</v>
      </c>
      <c r="U1012" s="3">
        <v>0</v>
      </c>
      <c r="V1012" s="6">
        <f t="shared" si="283"/>
        <v>6600</v>
      </c>
    </row>
    <row r="1013" spans="1:258" ht="25.15" customHeight="1" x14ac:dyDescent="0.25">
      <c r="A1013" s="53" t="s">
        <v>1874</v>
      </c>
      <c r="B1013" s="8" t="s">
        <v>822</v>
      </c>
      <c r="C1013" s="2">
        <f t="shared" si="285"/>
        <v>4436205</v>
      </c>
      <c r="D1013" s="3">
        <f t="shared" si="284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5">
        <v>996.9</v>
      </c>
      <c r="N1013" s="3">
        <f>M1013*4450</f>
        <v>4436205</v>
      </c>
      <c r="O1013" s="3">
        <v>0</v>
      </c>
      <c r="P1013" s="3">
        <v>0</v>
      </c>
      <c r="Q1013" s="3">
        <v>0</v>
      </c>
      <c r="R1013" s="3">
        <f t="shared" si="279"/>
        <v>0</v>
      </c>
      <c r="S1013" s="3">
        <v>0</v>
      </c>
      <c r="T1013" s="5">
        <v>0</v>
      </c>
      <c r="U1013" s="3">
        <v>0</v>
      </c>
      <c r="V1013" s="6">
        <f t="shared" si="283"/>
        <v>4450</v>
      </c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  <c r="BG1013" s="17"/>
      <c r="BH1013" s="17"/>
      <c r="BI1013" s="17"/>
      <c r="BJ1013" s="17"/>
      <c r="BK1013" s="17"/>
      <c r="BL1013" s="17"/>
      <c r="BM1013" s="17"/>
      <c r="BN1013" s="17"/>
      <c r="BO1013" s="17"/>
      <c r="BP1013" s="17"/>
      <c r="BQ1013" s="17"/>
      <c r="BR1013" s="17"/>
      <c r="BS1013" s="17"/>
      <c r="BT1013" s="17"/>
      <c r="BU1013" s="17"/>
      <c r="BV1013" s="17"/>
      <c r="BW1013" s="17"/>
      <c r="BX1013" s="17"/>
      <c r="BY1013" s="17"/>
      <c r="BZ1013" s="17"/>
      <c r="CA1013" s="17"/>
      <c r="CB1013" s="17"/>
      <c r="CC1013" s="17"/>
      <c r="CD1013" s="17"/>
      <c r="CE1013" s="17"/>
      <c r="CF1013" s="17"/>
      <c r="CG1013" s="17"/>
      <c r="CH1013" s="17"/>
      <c r="CI1013" s="17"/>
      <c r="CJ1013" s="17"/>
      <c r="CK1013" s="17"/>
      <c r="CL1013" s="17"/>
      <c r="CM1013" s="17"/>
      <c r="CN1013" s="17"/>
      <c r="CO1013" s="17"/>
      <c r="CP1013" s="17"/>
      <c r="CQ1013" s="17"/>
      <c r="CR1013" s="17"/>
      <c r="CS1013" s="17"/>
      <c r="CT1013" s="17"/>
      <c r="CU1013" s="17"/>
      <c r="CV1013" s="17"/>
      <c r="CW1013" s="17"/>
      <c r="CX1013" s="17"/>
      <c r="CY1013" s="17"/>
      <c r="CZ1013" s="17"/>
      <c r="DA1013" s="17"/>
      <c r="DB1013" s="17"/>
      <c r="DC1013" s="17"/>
      <c r="DD1013" s="17"/>
      <c r="DE1013" s="17"/>
      <c r="DF1013" s="17"/>
      <c r="DG1013" s="17"/>
      <c r="DH1013" s="17"/>
      <c r="DI1013" s="17"/>
      <c r="DJ1013" s="17"/>
      <c r="DK1013" s="17"/>
      <c r="DL1013" s="17"/>
      <c r="DM1013" s="17"/>
      <c r="DN1013" s="17"/>
      <c r="DO1013" s="17"/>
      <c r="DP1013" s="17"/>
      <c r="DQ1013" s="17"/>
      <c r="DR1013" s="17"/>
      <c r="DS1013" s="17"/>
      <c r="DT1013" s="17"/>
      <c r="DU1013" s="17"/>
      <c r="DV1013" s="17"/>
      <c r="DW1013" s="17"/>
      <c r="DX1013" s="17"/>
      <c r="DY1013" s="17"/>
      <c r="DZ1013" s="17"/>
      <c r="EA1013" s="17"/>
      <c r="EB1013" s="17"/>
      <c r="EC1013" s="17"/>
      <c r="ED1013" s="17"/>
      <c r="EE1013" s="17"/>
      <c r="EF1013" s="17"/>
      <c r="EG1013" s="17"/>
      <c r="EH1013" s="17"/>
      <c r="EI1013" s="17"/>
      <c r="EJ1013" s="17"/>
      <c r="EK1013" s="17"/>
      <c r="EL1013" s="17"/>
      <c r="EM1013" s="17"/>
      <c r="EN1013" s="17"/>
      <c r="EO1013" s="17"/>
      <c r="EP1013" s="17"/>
      <c r="EQ1013" s="17"/>
      <c r="ER1013" s="17"/>
      <c r="ES1013" s="17"/>
      <c r="ET1013" s="17"/>
      <c r="EU1013" s="17"/>
      <c r="EV1013" s="17"/>
      <c r="EW1013" s="17"/>
      <c r="EX1013" s="17"/>
      <c r="EY1013" s="17"/>
      <c r="EZ1013" s="17"/>
      <c r="FA1013" s="17"/>
      <c r="FB1013" s="17"/>
      <c r="FC1013" s="17"/>
      <c r="FD1013" s="17"/>
      <c r="FE1013" s="17"/>
      <c r="FF1013" s="17"/>
      <c r="FG1013" s="17"/>
      <c r="FH1013" s="17"/>
      <c r="FI1013" s="17"/>
      <c r="FJ1013" s="17"/>
      <c r="FK1013" s="17"/>
      <c r="FL1013" s="17"/>
      <c r="FM1013" s="17"/>
      <c r="FN1013" s="17"/>
      <c r="FO1013" s="17"/>
      <c r="FP1013" s="17"/>
      <c r="FQ1013" s="17"/>
      <c r="FR1013" s="17"/>
      <c r="FS1013" s="17"/>
      <c r="FT1013" s="17"/>
      <c r="FU1013" s="17"/>
      <c r="FV1013" s="17"/>
      <c r="FW1013" s="17"/>
      <c r="FX1013" s="17"/>
      <c r="FY1013" s="17"/>
      <c r="FZ1013" s="17"/>
      <c r="GA1013" s="17"/>
      <c r="GB1013" s="17"/>
      <c r="GC1013" s="17"/>
      <c r="GD1013" s="17"/>
      <c r="GE1013" s="17"/>
      <c r="GF1013" s="17"/>
      <c r="GG1013" s="17"/>
      <c r="GH1013" s="17"/>
      <c r="GI1013" s="17"/>
      <c r="GJ1013" s="17"/>
      <c r="GK1013" s="17"/>
      <c r="GL1013" s="17"/>
      <c r="GM1013" s="17"/>
      <c r="GN1013" s="17"/>
      <c r="GO1013" s="17"/>
      <c r="GP1013" s="17"/>
      <c r="GQ1013" s="17"/>
      <c r="GR1013" s="17"/>
      <c r="GS1013" s="17"/>
      <c r="GT1013" s="17"/>
      <c r="GU1013" s="17"/>
      <c r="GV1013" s="17"/>
      <c r="GW1013" s="17"/>
      <c r="GX1013" s="17"/>
      <c r="GY1013" s="17"/>
      <c r="GZ1013" s="17"/>
      <c r="HA1013" s="17"/>
      <c r="HB1013" s="17"/>
      <c r="HC1013" s="17"/>
      <c r="HD1013" s="17"/>
      <c r="HE1013" s="17"/>
      <c r="HF1013" s="17"/>
      <c r="HG1013" s="17"/>
      <c r="HH1013" s="17"/>
      <c r="HI1013" s="17"/>
      <c r="HJ1013" s="17"/>
      <c r="HK1013" s="17"/>
      <c r="HL1013" s="17"/>
      <c r="HM1013" s="17"/>
      <c r="HN1013" s="17"/>
      <c r="HO1013" s="17"/>
      <c r="HP1013" s="17"/>
      <c r="HQ1013" s="17"/>
      <c r="HR1013" s="17"/>
      <c r="HS1013" s="17"/>
      <c r="HT1013" s="17"/>
      <c r="HU1013" s="17"/>
      <c r="HV1013" s="17"/>
      <c r="HW1013" s="17"/>
      <c r="HX1013" s="17"/>
      <c r="HY1013" s="17"/>
      <c r="HZ1013" s="17"/>
      <c r="IA1013" s="17"/>
      <c r="IB1013" s="17"/>
      <c r="IC1013" s="17"/>
      <c r="ID1013" s="17"/>
      <c r="IE1013" s="17"/>
      <c r="IF1013" s="17"/>
      <c r="IG1013" s="17"/>
      <c r="IH1013" s="17"/>
      <c r="II1013" s="17"/>
      <c r="IJ1013" s="17"/>
      <c r="IK1013" s="17"/>
      <c r="IL1013" s="17"/>
      <c r="IM1013" s="17"/>
      <c r="IN1013" s="17"/>
      <c r="IO1013" s="17"/>
      <c r="IP1013" s="17"/>
      <c r="IQ1013" s="17"/>
      <c r="IR1013" s="17"/>
      <c r="IS1013" s="17"/>
      <c r="IT1013" s="17"/>
      <c r="IU1013" s="17"/>
      <c r="IV1013" s="17"/>
      <c r="IW1013" s="17"/>
      <c r="IX1013" s="17"/>
    </row>
    <row r="1014" spans="1:258" ht="25.15" customHeight="1" x14ac:dyDescent="0.25">
      <c r="A1014" s="53" t="s">
        <v>1875</v>
      </c>
      <c r="B1014" s="8" t="s">
        <v>717</v>
      </c>
      <c r="C1014" s="2">
        <f t="shared" si="285"/>
        <v>3352800</v>
      </c>
      <c r="D1014" s="3">
        <f t="shared" si="284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">
        <v>508</v>
      </c>
      <c r="N1014" s="3">
        <f t="shared" ref="N1014:N1018" si="290">M1014*6600</f>
        <v>3352800</v>
      </c>
      <c r="O1014" s="3">
        <v>0</v>
      </c>
      <c r="P1014" s="3">
        <v>0</v>
      </c>
      <c r="Q1014" s="3">
        <v>0</v>
      </c>
      <c r="R1014" s="3">
        <f t="shared" si="279"/>
        <v>0</v>
      </c>
      <c r="S1014" s="3">
        <v>0</v>
      </c>
      <c r="T1014" s="5">
        <v>0</v>
      </c>
      <c r="U1014" s="3">
        <v>0</v>
      </c>
      <c r="V1014" s="6">
        <f t="shared" si="283"/>
        <v>6600</v>
      </c>
    </row>
    <row r="1015" spans="1:258" ht="25.15" customHeight="1" x14ac:dyDescent="0.25">
      <c r="A1015" s="53" t="s">
        <v>1876</v>
      </c>
      <c r="B1015" s="8" t="s">
        <v>787</v>
      </c>
      <c r="C1015" s="2">
        <f t="shared" si="285"/>
        <v>1650000</v>
      </c>
      <c r="D1015" s="3">
        <f t="shared" si="284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5">
        <v>250</v>
      </c>
      <c r="N1015" s="3">
        <f t="shared" si="290"/>
        <v>1650000</v>
      </c>
      <c r="O1015" s="3">
        <v>0</v>
      </c>
      <c r="P1015" s="3">
        <v>0</v>
      </c>
      <c r="Q1015" s="3">
        <v>0</v>
      </c>
      <c r="R1015" s="3">
        <f t="shared" si="279"/>
        <v>0</v>
      </c>
      <c r="S1015" s="3">
        <v>0</v>
      </c>
      <c r="T1015" s="5">
        <v>0</v>
      </c>
      <c r="U1015" s="3">
        <v>0</v>
      </c>
      <c r="V1015" s="6">
        <f t="shared" si="283"/>
        <v>6600</v>
      </c>
    </row>
    <row r="1016" spans="1:258" ht="25.15" customHeight="1" x14ac:dyDescent="0.25">
      <c r="A1016" s="53" t="s">
        <v>1877</v>
      </c>
      <c r="B1016" s="8" t="s">
        <v>610</v>
      </c>
      <c r="C1016" s="2">
        <f t="shared" si="285"/>
        <v>1953600</v>
      </c>
      <c r="D1016" s="3">
        <f t="shared" si="284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11">
        <v>0</v>
      </c>
      <c r="L1016" s="5">
        <v>0</v>
      </c>
      <c r="M1016" s="5">
        <v>296</v>
      </c>
      <c r="N1016" s="3">
        <f t="shared" si="290"/>
        <v>1953600</v>
      </c>
      <c r="O1016" s="5">
        <v>0</v>
      </c>
      <c r="P1016" s="5">
        <v>0</v>
      </c>
      <c r="Q1016" s="5">
        <v>0</v>
      </c>
      <c r="R1016" s="3">
        <f t="shared" si="279"/>
        <v>0</v>
      </c>
      <c r="S1016" s="5">
        <v>0</v>
      </c>
      <c r="T1016" s="5">
        <v>0</v>
      </c>
      <c r="U1016" s="5">
        <v>0</v>
      </c>
      <c r="V1016" s="6">
        <f t="shared" si="283"/>
        <v>6600</v>
      </c>
    </row>
    <row r="1017" spans="1:258" ht="25.15" customHeight="1" x14ac:dyDescent="0.25">
      <c r="A1017" s="53" t="s">
        <v>1878</v>
      </c>
      <c r="B1017" s="8" t="s">
        <v>611</v>
      </c>
      <c r="C1017" s="2">
        <f t="shared" si="285"/>
        <v>1947000</v>
      </c>
      <c r="D1017" s="3">
        <f t="shared" si="284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11">
        <v>0</v>
      </c>
      <c r="L1017" s="5">
        <v>0</v>
      </c>
      <c r="M1017" s="5">
        <v>295</v>
      </c>
      <c r="N1017" s="3">
        <f t="shared" si="290"/>
        <v>1947000</v>
      </c>
      <c r="O1017" s="5">
        <v>0</v>
      </c>
      <c r="P1017" s="5">
        <v>0</v>
      </c>
      <c r="Q1017" s="5">
        <v>0</v>
      </c>
      <c r="R1017" s="3">
        <f t="shared" si="279"/>
        <v>0</v>
      </c>
      <c r="S1017" s="5">
        <v>0</v>
      </c>
      <c r="T1017" s="5">
        <v>0</v>
      </c>
      <c r="U1017" s="5">
        <v>0</v>
      </c>
      <c r="V1017" s="6">
        <f t="shared" si="283"/>
        <v>6600</v>
      </c>
    </row>
    <row r="1018" spans="1:258" ht="25.15" customHeight="1" x14ac:dyDescent="0.25">
      <c r="A1018" s="53" t="s">
        <v>1879</v>
      </c>
      <c r="B1018" s="23" t="s">
        <v>788</v>
      </c>
      <c r="C1018" s="2">
        <f t="shared" si="285"/>
        <v>3786420.0000000005</v>
      </c>
      <c r="D1018" s="3">
        <f t="shared" si="284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5">
        <v>573.70000000000005</v>
      </c>
      <c r="N1018" s="3">
        <f t="shared" si="290"/>
        <v>3786420.0000000005</v>
      </c>
      <c r="O1018" s="3">
        <v>0</v>
      </c>
      <c r="P1018" s="3">
        <v>0</v>
      </c>
      <c r="Q1018" s="3">
        <v>0</v>
      </c>
      <c r="R1018" s="3">
        <f t="shared" si="279"/>
        <v>0</v>
      </c>
      <c r="S1018" s="3">
        <v>0</v>
      </c>
      <c r="T1018" s="5">
        <v>0</v>
      </c>
      <c r="U1018" s="3">
        <v>0</v>
      </c>
      <c r="V1018" s="6">
        <f t="shared" si="283"/>
        <v>6600</v>
      </c>
    </row>
    <row r="1019" spans="1:258" ht="25.15" customHeight="1" x14ac:dyDescent="0.25">
      <c r="A1019" s="53" t="s">
        <v>1880</v>
      </c>
      <c r="B1019" s="24" t="s">
        <v>1219</v>
      </c>
      <c r="C1019" s="2">
        <f t="shared" ref="C1019:C1029" si="291">D1019+L1019+N1019+P1019+R1019+S1019+T1019+U1019</f>
        <v>4890600</v>
      </c>
      <c r="D1019" s="3">
        <f>SUM(E1019:J1019)</f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741</v>
      </c>
      <c r="N1019" s="3">
        <f t="shared" ref="N1019:N1025" si="292">M1019*6600</f>
        <v>4890600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6">
        <f t="shared" ref="V1019:V1027" si="293">N1019/M1019</f>
        <v>6600</v>
      </c>
    </row>
    <row r="1020" spans="1:258" ht="25.15" customHeight="1" x14ac:dyDescent="0.25">
      <c r="A1020" s="53" t="s">
        <v>1881</v>
      </c>
      <c r="B1020" s="8" t="s">
        <v>612</v>
      </c>
      <c r="C1020" s="2">
        <f t="shared" si="291"/>
        <v>5002720</v>
      </c>
      <c r="D1020" s="3">
        <f>SUM(E1020:J1020)</f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11">
        <v>0</v>
      </c>
      <c r="L1020" s="5">
        <v>0</v>
      </c>
      <c r="M1020" s="5">
        <v>629.20000000000005</v>
      </c>
      <c r="N1020" s="3">
        <f t="shared" si="292"/>
        <v>4152720.0000000005</v>
      </c>
      <c r="O1020" s="5">
        <v>0</v>
      </c>
      <c r="P1020" s="5">
        <v>0</v>
      </c>
      <c r="Q1020" s="5">
        <v>0</v>
      </c>
      <c r="R1020" s="3">
        <f>Q1020*3000</f>
        <v>0</v>
      </c>
      <c r="S1020" s="5">
        <v>0</v>
      </c>
      <c r="T1020" s="5">
        <v>0</v>
      </c>
      <c r="U1020" s="5">
        <v>850000</v>
      </c>
      <c r="V1020" s="6">
        <f t="shared" si="293"/>
        <v>6600</v>
      </c>
    </row>
    <row r="1021" spans="1:258" ht="25.15" customHeight="1" x14ac:dyDescent="0.25">
      <c r="A1021" s="53" t="s">
        <v>1882</v>
      </c>
      <c r="B1021" s="8" t="s">
        <v>719</v>
      </c>
      <c r="C1021" s="2">
        <f t="shared" si="291"/>
        <v>3709200</v>
      </c>
      <c r="D1021" s="3">
        <f t="shared" ref="D1021:D1029" si="294">SUM(E1021:J1021)</f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5">
        <v>562</v>
      </c>
      <c r="N1021" s="3">
        <f t="shared" si="292"/>
        <v>3709200</v>
      </c>
      <c r="O1021" s="3">
        <v>0</v>
      </c>
      <c r="P1021" s="3">
        <v>0</v>
      </c>
      <c r="Q1021" s="3">
        <v>0</v>
      </c>
      <c r="R1021" s="3">
        <f>Q1021*3200</f>
        <v>0</v>
      </c>
      <c r="S1021" s="3">
        <v>0</v>
      </c>
      <c r="T1021" s="5">
        <v>0</v>
      </c>
      <c r="U1021" s="3">
        <v>0</v>
      </c>
      <c r="V1021" s="6">
        <f t="shared" si="293"/>
        <v>6600</v>
      </c>
    </row>
    <row r="1022" spans="1:258" ht="25.15" customHeight="1" x14ac:dyDescent="0.25">
      <c r="A1022" s="53" t="s">
        <v>1883</v>
      </c>
      <c r="B1022" s="8" t="s">
        <v>718</v>
      </c>
      <c r="C1022" s="2">
        <f t="shared" si="291"/>
        <v>10766000</v>
      </c>
      <c r="D1022" s="3">
        <f t="shared" si="294"/>
        <v>5866800</v>
      </c>
      <c r="E1022" s="3">
        <f>700*1955.6</f>
        <v>1368920</v>
      </c>
      <c r="F1022" s="3">
        <f>1300*1955.6</f>
        <v>2542280</v>
      </c>
      <c r="G1022" s="3">
        <f>300*1955.6</f>
        <v>586680</v>
      </c>
      <c r="H1022" s="3">
        <f>400*1955.6</f>
        <v>782240</v>
      </c>
      <c r="I1022" s="3">
        <f>300*1955.6</f>
        <v>586680</v>
      </c>
      <c r="J1022" s="3">
        <v>0</v>
      </c>
      <c r="K1022" s="4">
        <v>0</v>
      </c>
      <c r="L1022" s="3">
        <v>0</v>
      </c>
      <c r="M1022" s="3">
        <v>576</v>
      </c>
      <c r="N1022" s="3">
        <f t="shared" si="292"/>
        <v>3801600</v>
      </c>
      <c r="O1022" s="3">
        <v>438</v>
      </c>
      <c r="P1022" s="3">
        <f>O1022*1200</f>
        <v>525600</v>
      </c>
      <c r="Q1022" s="3">
        <v>0</v>
      </c>
      <c r="R1022" s="3">
        <f>Q1022*3200</f>
        <v>0</v>
      </c>
      <c r="S1022" s="3">
        <v>472000</v>
      </c>
      <c r="T1022" s="5">
        <v>0</v>
      </c>
      <c r="U1022" s="3">
        <v>100000</v>
      </c>
      <c r="V1022" s="6">
        <f t="shared" si="293"/>
        <v>6600</v>
      </c>
    </row>
    <row r="1023" spans="1:258" ht="25.15" customHeight="1" x14ac:dyDescent="0.25">
      <c r="A1023" s="53" t="s">
        <v>1884</v>
      </c>
      <c r="B1023" s="8" t="s">
        <v>614</v>
      </c>
      <c r="C1023" s="2">
        <f>D1023+L1023+N1023+P1023+R1023+S1023+T1023+U1023</f>
        <v>2645500</v>
      </c>
      <c r="D1023" s="3">
        <f>SUM(E1023:J1023)</f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11">
        <v>0</v>
      </c>
      <c r="L1023" s="5">
        <v>0</v>
      </c>
      <c r="M1023" s="5">
        <v>481</v>
      </c>
      <c r="N1023" s="3">
        <f>M1023*5500</f>
        <v>2645500</v>
      </c>
      <c r="O1023" s="5">
        <v>0</v>
      </c>
      <c r="P1023" s="5">
        <v>0</v>
      </c>
      <c r="Q1023" s="5">
        <v>0</v>
      </c>
      <c r="R1023" s="3">
        <f>Q1023*3000</f>
        <v>0</v>
      </c>
      <c r="S1023" s="5">
        <v>0</v>
      </c>
      <c r="T1023" s="5">
        <v>0</v>
      </c>
      <c r="U1023" s="5">
        <v>0</v>
      </c>
      <c r="V1023" s="6">
        <f>N1023/M1023</f>
        <v>5500</v>
      </c>
    </row>
    <row r="1024" spans="1:258" ht="25.15" customHeight="1" x14ac:dyDescent="0.25">
      <c r="A1024" s="53" t="s">
        <v>1885</v>
      </c>
      <c r="B1024" s="8" t="s">
        <v>789</v>
      </c>
      <c r="C1024" s="2">
        <f t="shared" si="291"/>
        <v>7117440.0000000009</v>
      </c>
      <c r="D1024" s="3">
        <f t="shared" si="294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11">
        <v>0</v>
      </c>
      <c r="L1024" s="5">
        <v>0</v>
      </c>
      <c r="M1024" s="5">
        <v>1078.4000000000001</v>
      </c>
      <c r="N1024" s="3">
        <f t="shared" si="292"/>
        <v>7117440.0000000009</v>
      </c>
      <c r="O1024" s="3">
        <v>0</v>
      </c>
      <c r="P1024" s="3">
        <v>0</v>
      </c>
      <c r="Q1024" s="3">
        <v>0</v>
      </c>
      <c r="R1024" s="3">
        <f>Q1024*3200</f>
        <v>0</v>
      </c>
      <c r="S1024" s="3">
        <v>0</v>
      </c>
      <c r="T1024" s="5">
        <v>0</v>
      </c>
      <c r="U1024" s="3">
        <v>0</v>
      </c>
      <c r="V1024" s="6">
        <f t="shared" si="293"/>
        <v>6600</v>
      </c>
    </row>
    <row r="1025" spans="1:258" s="17" customFormat="1" ht="25.15" customHeight="1" x14ac:dyDescent="0.25">
      <c r="A1025" s="53" t="s">
        <v>1886</v>
      </c>
      <c r="B1025" s="8" t="s">
        <v>790</v>
      </c>
      <c r="C1025" s="2">
        <f t="shared" si="291"/>
        <v>7167600</v>
      </c>
      <c r="D1025" s="3">
        <f t="shared" si="294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5">
        <v>1086</v>
      </c>
      <c r="N1025" s="3">
        <f t="shared" si="292"/>
        <v>7167600</v>
      </c>
      <c r="O1025" s="3">
        <v>0</v>
      </c>
      <c r="P1025" s="3">
        <v>0</v>
      </c>
      <c r="Q1025" s="3">
        <v>0</v>
      </c>
      <c r="R1025" s="3">
        <f>Q1025*3200</f>
        <v>0</v>
      </c>
      <c r="S1025" s="3">
        <v>0</v>
      </c>
      <c r="T1025" s="5">
        <v>0</v>
      </c>
      <c r="U1025" s="3">
        <v>0</v>
      </c>
      <c r="V1025" s="6">
        <f t="shared" si="293"/>
        <v>6600</v>
      </c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  <c r="EP1025" s="7"/>
      <c r="EQ1025" s="7"/>
      <c r="ER1025" s="7"/>
      <c r="ES1025" s="7"/>
      <c r="ET1025" s="7"/>
      <c r="EU1025" s="7"/>
      <c r="EV1025" s="7"/>
      <c r="EW1025" s="7"/>
      <c r="EX1025" s="7"/>
      <c r="EY1025" s="7"/>
      <c r="EZ1025" s="7"/>
      <c r="FA1025" s="7"/>
      <c r="FB1025" s="7"/>
      <c r="FC1025" s="7"/>
      <c r="FD1025" s="7"/>
      <c r="FE1025" s="7"/>
      <c r="FF1025" s="7"/>
      <c r="FG1025" s="7"/>
      <c r="FH1025" s="7"/>
      <c r="FI1025" s="7"/>
      <c r="FJ1025" s="7"/>
      <c r="FK1025" s="7"/>
      <c r="FL1025" s="7"/>
      <c r="FM1025" s="7"/>
      <c r="FN1025" s="7"/>
      <c r="FO1025" s="7"/>
      <c r="FP1025" s="7"/>
      <c r="FQ1025" s="7"/>
      <c r="FR1025" s="7"/>
      <c r="FS1025" s="7"/>
      <c r="FT1025" s="7"/>
      <c r="FU1025" s="7"/>
      <c r="FV1025" s="7"/>
      <c r="FW1025" s="7"/>
      <c r="FX1025" s="7"/>
      <c r="FY1025" s="7"/>
      <c r="FZ1025" s="7"/>
      <c r="GA1025" s="7"/>
      <c r="GB1025" s="7"/>
      <c r="GC1025" s="7"/>
      <c r="GD1025" s="7"/>
      <c r="GE1025" s="7"/>
      <c r="GF1025" s="7"/>
      <c r="GG1025" s="7"/>
      <c r="GH1025" s="7"/>
      <c r="GI1025" s="7"/>
      <c r="GJ1025" s="7"/>
      <c r="GK1025" s="7"/>
      <c r="GL1025" s="7"/>
      <c r="GM1025" s="7"/>
      <c r="GN1025" s="7"/>
      <c r="GO1025" s="7"/>
      <c r="GP1025" s="7"/>
      <c r="GQ1025" s="7"/>
      <c r="GR1025" s="7"/>
      <c r="GS1025" s="7"/>
      <c r="GT1025" s="7"/>
      <c r="GU1025" s="7"/>
      <c r="GV1025" s="7"/>
      <c r="GW1025" s="7"/>
      <c r="GX1025" s="7"/>
      <c r="GY1025" s="7"/>
      <c r="GZ1025" s="7"/>
      <c r="HA1025" s="7"/>
      <c r="HB1025" s="7"/>
      <c r="HC1025" s="7"/>
      <c r="HD1025" s="7"/>
      <c r="HE1025" s="7"/>
      <c r="HF1025" s="7"/>
      <c r="HG1025" s="7"/>
      <c r="HH1025" s="7"/>
      <c r="HI1025" s="7"/>
      <c r="HJ1025" s="7"/>
      <c r="HK1025" s="7"/>
      <c r="HL1025" s="7"/>
      <c r="HM1025" s="7"/>
      <c r="HN1025" s="7"/>
      <c r="HO1025" s="7"/>
      <c r="HP1025" s="7"/>
      <c r="HQ1025" s="7"/>
      <c r="HR1025" s="7"/>
      <c r="HS1025" s="7"/>
      <c r="HT1025" s="7"/>
      <c r="HU1025" s="7"/>
      <c r="HV1025" s="7"/>
      <c r="HW1025" s="7"/>
      <c r="HX1025" s="7"/>
      <c r="HY1025" s="7"/>
      <c r="HZ1025" s="7"/>
      <c r="IA1025" s="7"/>
      <c r="IB1025" s="7"/>
      <c r="IC1025" s="7"/>
      <c r="ID1025" s="7"/>
      <c r="IE1025" s="7"/>
      <c r="IF1025" s="7"/>
      <c r="IG1025" s="7"/>
      <c r="IH1025" s="7"/>
      <c r="II1025" s="7"/>
      <c r="IJ1025" s="7"/>
      <c r="IK1025" s="7"/>
      <c r="IL1025" s="7"/>
      <c r="IM1025" s="7"/>
      <c r="IN1025" s="7"/>
      <c r="IO1025" s="7"/>
      <c r="IP1025" s="7"/>
      <c r="IQ1025" s="7"/>
      <c r="IR1025" s="7"/>
      <c r="IS1025" s="7"/>
      <c r="IT1025" s="7"/>
      <c r="IU1025" s="7"/>
      <c r="IV1025" s="7"/>
      <c r="IW1025" s="7"/>
      <c r="IX1025" s="7"/>
    </row>
    <row r="1026" spans="1:258" s="17" customFormat="1" ht="25.15" customHeight="1" x14ac:dyDescent="0.25">
      <c r="A1026" s="53" t="s">
        <v>1887</v>
      </c>
      <c r="B1026" s="8" t="s">
        <v>1226</v>
      </c>
      <c r="C1026" s="2">
        <f t="shared" ref="C1026" si="295">D1026+L1026+N1026+P1026+R1026+S1026+T1026+U1026</f>
        <v>300000</v>
      </c>
      <c r="D1026" s="3">
        <f t="shared" ref="D1026" si="296">SUM(E1026:J1026)</f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5">
        <v>0</v>
      </c>
      <c r="U1026" s="3">
        <v>300000</v>
      </c>
      <c r="V1026" s="6" t="e">
        <f t="shared" si="293"/>
        <v>#DIV/0!</v>
      </c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  <c r="GT1026" s="7"/>
      <c r="GU1026" s="7"/>
      <c r="GV1026" s="7"/>
      <c r="GW1026" s="7"/>
      <c r="GX1026" s="7"/>
      <c r="GY1026" s="7"/>
      <c r="GZ1026" s="7"/>
      <c r="HA1026" s="7"/>
      <c r="HB1026" s="7"/>
      <c r="HC1026" s="7"/>
      <c r="HD1026" s="7"/>
      <c r="HE1026" s="7"/>
      <c r="HF1026" s="7"/>
      <c r="HG1026" s="7"/>
      <c r="HH1026" s="7"/>
      <c r="HI1026" s="7"/>
      <c r="HJ1026" s="7"/>
      <c r="HK1026" s="7"/>
      <c r="HL1026" s="7"/>
      <c r="HM1026" s="7"/>
      <c r="HN1026" s="7"/>
      <c r="HO1026" s="7"/>
      <c r="HP1026" s="7"/>
      <c r="HQ1026" s="7"/>
      <c r="HR1026" s="7"/>
      <c r="HS1026" s="7"/>
      <c r="HT1026" s="7"/>
      <c r="HU1026" s="7"/>
      <c r="HV1026" s="7"/>
      <c r="HW1026" s="7"/>
      <c r="HX1026" s="7"/>
      <c r="HY1026" s="7"/>
      <c r="HZ1026" s="7"/>
      <c r="IA1026" s="7"/>
      <c r="IB1026" s="7"/>
      <c r="IC1026" s="7"/>
      <c r="ID1026" s="7"/>
      <c r="IE1026" s="7"/>
      <c r="IF1026" s="7"/>
      <c r="IG1026" s="7"/>
      <c r="IH1026" s="7"/>
      <c r="II1026" s="7"/>
      <c r="IJ1026" s="7"/>
      <c r="IK1026" s="7"/>
      <c r="IL1026" s="7"/>
      <c r="IM1026" s="7"/>
      <c r="IN1026" s="7"/>
      <c r="IO1026" s="7"/>
      <c r="IP1026" s="7"/>
      <c r="IQ1026" s="7"/>
      <c r="IR1026" s="7"/>
      <c r="IS1026" s="7"/>
      <c r="IT1026" s="7"/>
      <c r="IU1026" s="7"/>
      <c r="IV1026" s="7"/>
      <c r="IW1026" s="7"/>
      <c r="IX1026" s="7"/>
    </row>
    <row r="1027" spans="1:258" ht="25.15" customHeight="1" x14ac:dyDescent="0.25">
      <c r="A1027" s="53" t="s">
        <v>1888</v>
      </c>
      <c r="B1027" s="8" t="s">
        <v>370</v>
      </c>
      <c r="C1027" s="2">
        <f t="shared" si="291"/>
        <v>400000</v>
      </c>
      <c r="D1027" s="3">
        <f>SUM(E1027:J1027)</f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3">
        <v>0</v>
      </c>
      <c r="N1027" s="3">
        <f>M1027*5500</f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400000</v>
      </c>
      <c r="V1027" s="6" t="e">
        <f t="shared" si="293"/>
        <v>#DIV/0!</v>
      </c>
    </row>
    <row r="1028" spans="1:258" s="17" customFormat="1" ht="25.15" customHeight="1" x14ac:dyDescent="0.25">
      <c r="A1028" s="53" t="s">
        <v>1889</v>
      </c>
      <c r="B1028" s="8" t="s">
        <v>1197</v>
      </c>
      <c r="C1028" s="2">
        <f t="shared" si="291"/>
        <v>11184310</v>
      </c>
      <c r="D1028" s="3">
        <f t="shared" si="294"/>
        <v>11084310</v>
      </c>
      <c r="E1028" s="3">
        <f>700*3694.77</f>
        <v>2586339</v>
      </c>
      <c r="F1028" s="3">
        <f>1300*3694.77</f>
        <v>4803201</v>
      </c>
      <c r="G1028" s="3">
        <f>300*3694.77</f>
        <v>1108431</v>
      </c>
      <c r="H1028" s="3">
        <f>400*3694.77</f>
        <v>1477908</v>
      </c>
      <c r="I1028" s="3">
        <f>300*3694.77</f>
        <v>1108431</v>
      </c>
      <c r="J1028" s="3">
        <v>0</v>
      </c>
      <c r="K1028" s="4">
        <v>0</v>
      </c>
      <c r="L1028" s="3">
        <v>0</v>
      </c>
      <c r="M1028" s="5">
        <v>0</v>
      </c>
      <c r="N1028" s="3">
        <v>0</v>
      </c>
      <c r="O1028" s="3">
        <v>0</v>
      </c>
      <c r="P1028" s="3">
        <v>0</v>
      </c>
      <c r="Q1028" s="3">
        <v>0</v>
      </c>
      <c r="R1028" s="3">
        <f t="shared" ref="R1028:R1109" si="297">Q1028*3200</f>
        <v>0</v>
      </c>
      <c r="S1028" s="3">
        <v>0</v>
      </c>
      <c r="T1028" s="5">
        <v>0</v>
      </c>
      <c r="U1028" s="3">
        <v>100000</v>
      </c>
      <c r="V1028" s="6" t="e">
        <f t="shared" si="283"/>
        <v>#DIV/0!</v>
      </c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  <c r="GT1028" s="7"/>
      <c r="GU1028" s="7"/>
      <c r="GV1028" s="7"/>
      <c r="GW1028" s="7"/>
      <c r="GX1028" s="7"/>
      <c r="GY1028" s="7"/>
      <c r="GZ1028" s="7"/>
      <c r="HA1028" s="7"/>
      <c r="HB1028" s="7"/>
      <c r="HC1028" s="7"/>
      <c r="HD1028" s="7"/>
      <c r="HE1028" s="7"/>
      <c r="HF1028" s="7"/>
      <c r="HG1028" s="7"/>
      <c r="HH1028" s="7"/>
      <c r="HI1028" s="7"/>
      <c r="HJ1028" s="7"/>
      <c r="HK1028" s="7"/>
      <c r="HL1028" s="7"/>
      <c r="HM1028" s="7"/>
      <c r="HN1028" s="7"/>
      <c r="HO1028" s="7"/>
      <c r="HP1028" s="7"/>
      <c r="HQ1028" s="7"/>
      <c r="HR1028" s="7"/>
      <c r="HS1028" s="7"/>
      <c r="HT1028" s="7"/>
      <c r="HU1028" s="7"/>
      <c r="HV1028" s="7"/>
      <c r="HW1028" s="7"/>
      <c r="HX1028" s="7"/>
      <c r="HY1028" s="7"/>
      <c r="HZ1028" s="7"/>
      <c r="IA1028" s="7"/>
      <c r="IB1028" s="7"/>
      <c r="IC1028" s="7"/>
      <c r="ID1028" s="7"/>
      <c r="IE1028" s="7"/>
      <c r="IF1028" s="7"/>
      <c r="IG1028" s="7"/>
      <c r="IH1028" s="7"/>
      <c r="II1028" s="7"/>
      <c r="IJ1028" s="7"/>
      <c r="IK1028" s="7"/>
      <c r="IL1028" s="7"/>
      <c r="IM1028" s="7"/>
      <c r="IN1028" s="7"/>
      <c r="IO1028" s="7"/>
      <c r="IP1028" s="7"/>
      <c r="IQ1028" s="7"/>
      <c r="IR1028" s="7"/>
      <c r="IS1028" s="7"/>
      <c r="IT1028" s="7"/>
      <c r="IU1028" s="7"/>
      <c r="IV1028" s="7"/>
      <c r="IW1028" s="7"/>
      <c r="IX1028" s="7"/>
    </row>
    <row r="1029" spans="1:258" ht="25.15" customHeight="1" x14ac:dyDescent="0.25">
      <c r="A1029" s="53" t="s">
        <v>1890</v>
      </c>
      <c r="B1029" s="8" t="s">
        <v>720</v>
      </c>
      <c r="C1029" s="2">
        <f t="shared" si="291"/>
        <v>106321700</v>
      </c>
      <c r="D1029" s="3">
        <f t="shared" si="294"/>
        <v>47609700</v>
      </c>
      <c r="E1029" s="3">
        <f>700*15869.9</f>
        <v>11108930</v>
      </c>
      <c r="F1029" s="3">
        <f>1300*15869.9</f>
        <v>20630870</v>
      </c>
      <c r="G1029" s="3">
        <f>300*15869.9</f>
        <v>4760970</v>
      </c>
      <c r="H1029" s="3">
        <f>400*15869.9</f>
        <v>6347960</v>
      </c>
      <c r="I1029" s="3">
        <f>300*15869.9</f>
        <v>4760970</v>
      </c>
      <c r="J1029" s="3">
        <v>0</v>
      </c>
      <c r="K1029" s="4">
        <v>0</v>
      </c>
      <c r="L1029" s="3">
        <v>0</v>
      </c>
      <c r="M1029" s="5">
        <v>5060</v>
      </c>
      <c r="N1029" s="3">
        <f>M1029*6600</f>
        <v>33396000</v>
      </c>
      <c r="O1029" s="3">
        <v>0</v>
      </c>
      <c r="P1029" s="3">
        <v>0</v>
      </c>
      <c r="Q1029" s="3">
        <v>7880</v>
      </c>
      <c r="R1029" s="3">
        <f t="shared" si="297"/>
        <v>25216000</v>
      </c>
      <c r="S1029" s="3">
        <v>0</v>
      </c>
      <c r="T1029" s="5">
        <v>0</v>
      </c>
      <c r="U1029" s="3">
        <v>100000</v>
      </c>
      <c r="V1029" s="6">
        <f>N1029/M1029</f>
        <v>6600</v>
      </c>
    </row>
    <row r="1030" spans="1:258" ht="25.15" customHeight="1" x14ac:dyDescent="0.25">
      <c r="A1030" s="53" t="s">
        <v>1891</v>
      </c>
      <c r="B1030" s="8" t="s">
        <v>807</v>
      </c>
      <c r="C1030" s="2">
        <f t="shared" si="285"/>
        <v>6686080</v>
      </c>
      <c r="D1030" s="3">
        <f t="shared" si="284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5">
        <v>0</v>
      </c>
      <c r="N1030" s="5">
        <v>0</v>
      </c>
      <c r="O1030" s="3">
        <v>0</v>
      </c>
      <c r="P1030" s="3">
        <v>0</v>
      </c>
      <c r="Q1030" s="3">
        <v>2089.4</v>
      </c>
      <c r="R1030" s="3">
        <f t="shared" si="297"/>
        <v>6686080</v>
      </c>
      <c r="S1030" s="3">
        <v>0</v>
      </c>
      <c r="T1030" s="5">
        <v>0</v>
      </c>
      <c r="U1030" s="3">
        <v>0</v>
      </c>
      <c r="V1030" s="6" t="e">
        <f t="shared" si="283"/>
        <v>#DIV/0!</v>
      </c>
    </row>
    <row r="1031" spans="1:258" ht="25.15" customHeight="1" x14ac:dyDescent="0.25">
      <c r="A1031" s="53" t="s">
        <v>1892</v>
      </c>
      <c r="B1031" s="8" t="s">
        <v>534</v>
      </c>
      <c r="C1031" s="2">
        <f t="shared" si="285"/>
        <v>3516479.9999999995</v>
      </c>
      <c r="D1031" s="3">
        <f>SUM(E1031:J1031)</f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11">
        <v>0</v>
      </c>
      <c r="L1031" s="5">
        <v>0</v>
      </c>
      <c r="M1031" s="5">
        <v>532.79999999999995</v>
      </c>
      <c r="N1031" s="3">
        <f>M1031*6600</f>
        <v>3516479.9999999995</v>
      </c>
      <c r="O1031" s="5">
        <v>0</v>
      </c>
      <c r="P1031" s="5">
        <v>0</v>
      </c>
      <c r="Q1031" s="5">
        <v>0</v>
      </c>
      <c r="R1031" s="3">
        <f t="shared" si="297"/>
        <v>0</v>
      </c>
      <c r="S1031" s="5">
        <v>0</v>
      </c>
      <c r="T1031" s="5">
        <v>0</v>
      </c>
      <c r="U1031" s="5">
        <v>0</v>
      </c>
      <c r="V1031" s="6">
        <f t="shared" si="283"/>
        <v>6600</v>
      </c>
    </row>
    <row r="1032" spans="1:258" ht="25.15" customHeight="1" x14ac:dyDescent="0.25">
      <c r="A1032" s="53" t="s">
        <v>1893</v>
      </c>
      <c r="B1032" s="8" t="s">
        <v>791</v>
      </c>
      <c r="C1032" s="2">
        <f t="shared" si="285"/>
        <v>2131800</v>
      </c>
      <c r="D1032" s="3">
        <f t="shared" si="284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5">
        <v>323</v>
      </c>
      <c r="N1032" s="3">
        <f>M1032*6600</f>
        <v>2131800</v>
      </c>
      <c r="O1032" s="3">
        <v>0</v>
      </c>
      <c r="P1032" s="3">
        <v>0</v>
      </c>
      <c r="Q1032" s="3">
        <v>0</v>
      </c>
      <c r="R1032" s="3">
        <f t="shared" si="297"/>
        <v>0</v>
      </c>
      <c r="S1032" s="3">
        <v>0</v>
      </c>
      <c r="T1032" s="5">
        <v>0</v>
      </c>
      <c r="U1032" s="3">
        <v>0</v>
      </c>
      <c r="V1032" s="6">
        <f t="shared" si="283"/>
        <v>6600</v>
      </c>
    </row>
    <row r="1033" spans="1:258" ht="25.15" customHeight="1" x14ac:dyDescent="0.25">
      <c r="A1033" s="53" t="s">
        <v>1894</v>
      </c>
      <c r="B1033" s="23" t="s">
        <v>535</v>
      </c>
      <c r="C1033" s="2">
        <f t="shared" si="285"/>
        <v>1848000</v>
      </c>
      <c r="D1033" s="3">
        <f>SUM(E1033:J1033)</f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11">
        <v>0</v>
      </c>
      <c r="L1033" s="5">
        <v>0</v>
      </c>
      <c r="M1033" s="5">
        <v>280</v>
      </c>
      <c r="N1033" s="3">
        <f>M1033*6600</f>
        <v>1848000</v>
      </c>
      <c r="O1033" s="5">
        <v>0</v>
      </c>
      <c r="P1033" s="5">
        <v>0</v>
      </c>
      <c r="Q1033" s="5">
        <v>0</v>
      </c>
      <c r="R1033" s="3">
        <f t="shared" si="297"/>
        <v>0</v>
      </c>
      <c r="S1033" s="5">
        <v>0</v>
      </c>
      <c r="T1033" s="5">
        <v>0</v>
      </c>
      <c r="U1033" s="5">
        <v>0</v>
      </c>
      <c r="V1033" s="6">
        <f t="shared" si="283"/>
        <v>6600</v>
      </c>
    </row>
    <row r="1034" spans="1:258" ht="25.15" customHeight="1" x14ac:dyDescent="0.25">
      <c r="A1034" s="53" t="s">
        <v>1895</v>
      </c>
      <c r="B1034" s="23" t="s">
        <v>721</v>
      </c>
      <c r="C1034" s="2">
        <f t="shared" si="285"/>
        <v>1859880</v>
      </c>
      <c r="D1034" s="3">
        <f t="shared" si="284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5">
        <v>281.8</v>
      </c>
      <c r="N1034" s="3">
        <f>M1034*6600</f>
        <v>1859880</v>
      </c>
      <c r="O1034" s="3">
        <v>0</v>
      </c>
      <c r="P1034" s="3">
        <v>0</v>
      </c>
      <c r="Q1034" s="3">
        <v>0</v>
      </c>
      <c r="R1034" s="3">
        <f t="shared" si="297"/>
        <v>0</v>
      </c>
      <c r="S1034" s="3">
        <v>0</v>
      </c>
      <c r="T1034" s="5">
        <v>0</v>
      </c>
      <c r="U1034" s="3">
        <v>0</v>
      </c>
      <c r="V1034" s="6">
        <f t="shared" si="283"/>
        <v>6600</v>
      </c>
    </row>
    <row r="1035" spans="1:258" s="17" customFormat="1" ht="25.15" customHeight="1" x14ac:dyDescent="0.25">
      <c r="A1035" s="53" t="s">
        <v>1896</v>
      </c>
      <c r="B1035" s="8" t="s">
        <v>792</v>
      </c>
      <c r="C1035" s="2">
        <f t="shared" si="285"/>
        <v>4272000</v>
      </c>
      <c r="D1035" s="3">
        <f t="shared" si="284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5">
        <v>960</v>
      </c>
      <c r="N1035" s="3">
        <f>M1035*4450</f>
        <v>4272000</v>
      </c>
      <c r="O1035" s="3">
        <v>0</v>
      </c>
      <c r="P1035" s="3">
        <v>0</v>
      </c>
      <c r="Q1035" s="3">
        <v>0</v>
      </c>
      <c r="R1035" s="3">
        <f t="shared" si="297"/>
        <v>0</v>
      </c>
      <c r="S1035" s="3">
        <v>0</v>
      </c>
      <c r="T1035" s="5">
        <v>0</v>
      </c>
      <c r="U1035" s="3">
        <v>0</v>
      </c>
      <c r="V1035" s="6">
        <f t="shared" si="283"/>
        <v>4450</v>
      </c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  <c r="EP1035" s="7"/>
      <c r="EQ1035" s="7"/>
      <c r="ER1035" s="7"/>
      <c r="ES1035" s="7"/>
      <c r="ET1035" s="7"/>
      <c r="EU1035" s="7"/>
      <c r="EV1035" s="7"/>
      <c r="EW1035" s="7"/>
      <c r="EX1035" s="7"/>
      <c r="EY1035" s="7"/>
      <c r="EZ1035" s="7"/>
      <c r="FA1035" s="7"/>
      <c r="FB1035" s="7"/>
      <c r="FC1035" s="7"/>
      <c r="FD1035" s="7"/>
      <c r="FE1035" s="7"/>
      <c r="FF1035" s="7"/>
      <c r="FG1035" s="7"/>
      <c r="FH1035" s="7"/>
      <c r="FI1035" s="7"/>
      <c r="FJ1035" s="7"/>
      <c r="FK1035" s="7"/>
      <c r="FL1035" s="7"/>
      <c r="FM1035" s="7"/>
      <c r="FN1035" s="7"/>
      <c r="FO1035" s="7"/>
      <c r="FP1035" s="7"/>
      <c r="FQ1035" s="7"/>
      <c r="FR1035" s="7"/>
      <c r="FS1035" s="7"/>
      <c r="FT1035" s="7"/>
      <c r="FU1035" s="7"/>
      <c r="FV1035" s="7"/>
      <c r="FW1035" s="7"/>
      <c r="FX1035" s="7"/>
      <c r="FY1035" s="7"/>
      <c r="FZ1035" s="7"/>
      <c r="GA1035" s="7"/>
      <c r="GB1035" s="7"/>
      <c r="GC1035" s="7"/>
      <c r="GD1035" s="7"/>
      <c r="GE1035" s="7"/>
      <c r="GF1035" s="7"/>
      <c r="GG1035" s="7"/>
      <c r="GH1035" s="7"/>
      <c r="GI1035" s="7"/>
      <c r="GJ1035" s="7"/>
      <c r="GK1035" s="7"/>
      <c r="GL1035" s="7"/>
      <c r="GM1035" s="7"/>
      <c r="GN1035" s="7"/>
      <c r="GO1035" s="7"/>
      <c r="GP1035" s="7"/>
      <c r="GQ1035" s="7"/>
      <c r="GR1035" s="7"/>
      <c r="GS1035" s="7"/>
      <c r="GT1035" s="7"/>
      <c r="GU1035" s="7"/>
      <c r="GV1035" s="7"/>
      <c r="GW1035" s="7"/>
      <c r="GX1035" s="7"/>
      <c r="GY1035" s="7"/>
      <c r="GZ1035" s="7"/>
      <c r="HA1035" s="7"/>
      <c r="HB1035" s="7"/>
      <c r="HC1035" s="7"/>
      <c r="HD1035" s="7"/>
      <c r="HE1035" s="7"/>
      <c r="HF1035" s="7"/>
      <c r="HG1035" s="7"/>
      <c r="HH1035" s="7"/>
      <c r="HI1035" s="7"/>
      <c r="HJ1035" s="7"/>
      <c r="HK1035" s="7"/>
      <c r="HL1035" s="7"/>
      <c r="HM1035" s="7"/>
      <c r="HN1035" s="7"/>
      <c r="HO1035" s="7"/>
      <c r="HP1035" s="7"/>
      <c r="HQ1035" s="7"/>
      <c r="HR1035" s="7"/>
      <c r="HS1035" s="7"/>
      <c r="HT1035" s="7"/>
      <c r="HU1035" s="7"/>
      <c r="HV1035" s="7"/>
      <c r="HW1035" s="7"/>
      <c r="HX1035" s="7"/>
      <c r="HY1035" s="7"/>
      <c r="HZ1035" s="7"/>
      <c r="IA1035" s="7"/>
      <c r="IB1035" s="7"/>
      <c r="IC1035" s="7"/>
      <c r="ID1035" s="7"/>
      <c r="IE1035" s="7"/>
      <c r="IF1035" s="7"/>
      <c r="IG1035" s="7"/>
      <c r="IH1035" s="7"/>
      <c r="II1035" s="7"/>
      <c r="IJ1035" s="7"/>
      <c r="IK1035" s="7"/>
      <c r="IL1035" s="7"/>
      <c r="IM1035" s="7"/>
      <c r="IN1035" s="7"/>
      <c r="IO1035" s="7"/>
      <c r="IP1035" s="7"/>
      <c r="IQ1035" s="7"/>
      <c r="IR1035" s="7"/>
      <c r="IS1035" s="7"/>
      <c r="IT1035" s="7"/>
      <c r="IU1035" s="7"/>
      <c r="IV1035" s="7"/>
      <c r="IW1035" s="7"/>
      <c r="IX1035" s="7"/>
    </row>
    <row r="1036" spans="1:258" ht="25.15" customHeight="1" x14ac:dyDescent="0.25">
      <c r="A1036" s="53" t="s">
        <v>1897</v>
      </c>
      <c r="B1036" s="8" t="s">
        <v>458</v>
      </c>
      <c r="C1036" s="2">
        <f>D1036+L1036+N1036+P1036+R1036+S1036+T1036+U1036</f>
        <v>14689000</v>
      </c>
      <c r="D1036" s="3">
        <f>SUM(E1036:J1036)</f>
        <v>14589000</v>
      </c>
      <c r="E1036" s="3">
        <f>700*4863</f>
        <v>3404100</v>
      </c>
      <c r="F1036" s="3">
        <f>1300*4863</f>
        <v>6321900</v>
      </c>
      <c r="G1036" s="3">
        <f>300*4863</f>
        <v>1458900</v>
      </c>
      <c r="H1036" s="3">
        <f>400*4863</f>
        <v>1945200</v>
      </c>
      <c r="I1036" s="3">
        <f>300*4863</f>
        <v>1458900</v>
      </c>
      <c r="J1036" s="3">
        <v>0</v>
      </c>
      <c r="K1036" s="4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f t="shared" si="297"/>
        <v>0</v>
      </c>
      <c r="S1036" s="3">
        <v>0</v>
      </c>
      <c r="T1036" s="5">
        <v>0</v>
      </c>
      <c r="U1036" s="3">
        <v>100000</v>
      </c>
      <c r="V1036" s="6" t="e">
        <f>N1036/M1036</f>
        <v>#DIV/0!</v>
      </c>
    </row>
    <row r="1037" spans="1:258" ht="25.15" customHeight="1" x14ac:dyDescent="0.25">
      <c r="A1037" s="53" t="s">
        <v>1898</v>
      </c>
      <c r="B1037" s="8" t="s">
        <v>444</v>
      </c>
      <c r="C1037" s="2">
        <f>D1037+L1037+N1037+P1037+R1037+S1037+T1037+U1037</f>
        <v>24707500</v>
      </c>
      <c r="D1037" s="3">
        <f>SUM(E1037:J1037)</f>
        <v>24607500</v>
      </c>
      <c r="E1037" s="3">
        <f>700*8202.5</f>
        <v>5741750</v>
      </c>
      <c r="F1037" s="3">
        <f>1300*8202.5</f>
        <v>10663250</v>
      </c>
      <c r="G1037" s="3">
        <f>300*8202.5</f>
        <v>2460750</v>
      </c>
      <c r="H1037" s="3">
        <f>400*8202.5</f>
        <v>3281000</v>
      </c>
      <c r="I1037" s="3">
        <f>300*8202.5</f>
        <v>2460750</v>
      </c>
      <c r="J1037" s="3">
        <v>0</v>
      </c>
      <c r="K1037" s="4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f t="shared" si="297"/>
        <v>0</v>
      </c>
      <c r="S1037" s="3">
        <v>0</v>
      </c>
      <c r="T1037" s="5">
        <v>0</v>
      </c>
      <c r="U1037" s="3">
        <v>100000</v>
      </c>
      <c r="V1037" s="6" t="e">
        <f>N1037/M1037</f>
        <v>#DIV/0!</v>
      </c>
    </row>
    <row r="1038" spans="1:258" ht="25.15" customHeight="1" x14ac:dyDescent="0.25">
      <c r="A1038" s="53" t="s">
        <v>1899</v>
      </c>
      <c r="B1038" s="8" t="s">
        <v>536</v>
      </c>
      <c r="C1038" s="2">
        <f t="shared" ref="C1038" si="298">D1038+L1038+N1038+P1038+R1038+S1038+T1038+U1038</f>
        <v>500000</v>
      </c>
      <c r="D1038" s="3">
        <f t="shared" ref="D1038" si="299">SUM(E1038:J1038)</f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11">
        <v>0</v>
      </c>
      <c r="L1038" s="5">
        <v>0</v>
      </c>
      <c r="M1038" s="5">
        <v>0</v>
      </c>
      <c r="N1038" s="3">
        <v>0</v>
      </c>
      <c r="O1038" s="5">
        <v>0</v>
      </c>
      <c r="P1038" s="5">
        <v>0</v>
      </c>
      <c r="Q1038" s="5">
        <v>0</v>
      </c>
      <c r="R1038" s="3">
        <f t="shared" ref="R1038" si="300">Q1038*3000</f>
        <v>0</v>
      </c>
      <c r="S1038" s="5">
        <v>500000</v>
      </c>
      <c r="T1038" s="5">
        <v>0</v>
      </c>
      <c r="U1038" s="5">
        <v>0</v>
      </c>
      <c r="V1038" s="6" t="e">
        <f t="shared" ref="V1038" si="301">N1038/M1038</f>
        <v>#DIV/0!</v>
      </c>
    </row>
    <row r="1039" spans="1:258" ht="25.15" customHeight="1" x14ac:dyDescent="0.25">
      <c r="A1039" s="53" t="s">
        <v>1900</v>
      </c>
      <c r="B1039" s="8" t="s">
        <v>722</v>
      </c>
      <c r="C1039" s="2">
        <f t="shared" si="285"/>
        <v>3646200</v>
      </c>
      <c r="D1039" s="3">
        <f t="shared" si="284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3">
        <v>507</v>
      </c>
      <c r="N1039" s="3">
        <f>M1039*6600</f>
        <v>3346200</v>
      </c>
      <c r="O1039" s="3">
        <v>0</v>
      </c>
      <c r="P1039" s="3">
        <v>0</v>
      </c>
      <c r="Q1039" s="3">
        <v>0</v>
      </c>
      <c r="R1039" s="3">
        <f t="shared" si="297"/>
        <v>0</v>
      </c>
      <c r="S1039" s="3">
        <v>0</v>
      </c>
      <c r="T1039" s="5">
        <v>0</v>
      </c>
      <c r="U1039" s="3">
        <v>300000</v>
      </c>
      <c r="V1039" s="6">
        <f t="shared" si="283"/>
        <v>6600</v>
      </c>
    </row>
    <row r="1040" spans="1:258" ht="25.15" customHeight="1" x14ac:dyDescent="0.25">
      <c r="A1040" s="53" t="s">
        <v>1901</v>
      </c>
      <c r="B1040" s="8" t="s">
        <v>793</v>
      </c>
      <c r="C1040" s="2">
        <f t="shared" si="285"/>
        <v>300000</v>
      </c>
      <c r="D1040" s="3">
        <f t="shared" si="284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5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f t="shared" si="297"/>
        <v>0</v>
      </c>
      <c r="S1040" s="3">
        <v>0</v>
      </c>
      <c r="T1040" s="5">
        <v>0</v>
      </c>
      <c r="U1040" s="3">
        <v>300000</v>
      </c>
      <c r="V1040" s="6" t="e">
        <f t="shared" si="283"/>
        <v>#DIV/0!</v>
      </c>
    </row>
    <row r="1041" spans="1:258" ht="25.15" customHeight="1" x14ac:dyDescent="0.25">
      <c r="A1041" s="53" t="s">
        <v>1902</v>
      </c>
      <c r="B1041" s="8" t="s">
        <v>624</v>
      </c>
      <c r="C1041" s="2">
        <f t="shared" si="285"/>
        <v>1111960</v>
      </c>
      <c r="D1041" s="3">
        <f>SUM(E1041:J1041)</f>
        <v>1011960</v>
      </c>
      <c r="E1041" s="5">
        <f>700*337.32</f>
        <v>236124</v>
      </c>
      <c r="F1041" s="5">
        <f>1300*337.32</f>
        <v>438516</v>
      </c>
      <c r="G1041" s="5">
        <f>300*337.32</f>
        <v>101196</v>
      </c>
      <c r="H1041" s="5">
        <f>400*337.32</f>
        <v>134928</v>
      </c>
      <c r="I1041" s="5">
        <f>300*337.32</f>
        <v>101196</v>
      </c>
      <c r="J1041" s="5">
        <f>350*0</f>
        <v>0</v>
      </c>
      <c r="K1041" s="11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3">
        <f t="shared" si="297"/>
        <v>0</v>
      </c>
      <c r="S1041" s="5">
        <v>0</v>
      </c>
      <c r="T1041" s="5">
        <v>0</v>
      </c>
      <c r="U1041" s="5">
        <v>100000</v>
      </c>
      <c r="V1041" s="6" t="e">
        <f t="shared" si="283"/>
        <v>#DIV/0!</v>
      </c>
    </row>
    <row r="1042" spans="1:258" s="26" customFormat="1" ht="25.15" customHeight="1" x14ac:dyDescent="0.25">
      <c r="A1042" s="53" t="s">
        <v>1903</v>
      </c>
      <c r="B1042" s="8" t="s">
        <v>723</v>
      </c>
      <c r="C1042" s="2">
        <f t="shared" si="285"/>
        <v>1841400</v>
      </c>
      <c r="D1042" s="3">
        <f t="shared" si="284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5">
        <v>279</v>
      </c>
      <c r="N1042" s="3">
        <f t="shared" ref="N1042:N1075" si="302">M1042*6600</f>
        <v>1841400</v>
      </c>
      <c r="O1042" s="3">
        <v>0</v>
      </c>
      <c r="P1042" s="3">
        <v>0</v>
      </c>
      <c r="Q1042" s="3">
        <v>0</v>
      </c>
      <c r="R1042" s="3">
        <f t="shared" si="297"/>
        <v>0</v>
      </c>
      <c r="S1042" s="3">
        <v>0</v>
      </c>
      <c r="T1042" s="5">
        <v>0</v>
      </c>
      <c r="U1042" s="3">
        <v>0</v>
      </c>
      <c r="V1042" s="6">
        <f t="shared" si="283"/>
        <v>6600</v>
      </c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  <c r="BR1042" s="7"/>
      <c r="BS1042" s="7"/>
      <c r="BT1042" s="7"/>
      <c r="BU1042" s="7"/>
      <c r="BV1042" s="7"/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K1042" s="7"/>
      <c r="CL1042" s="7"/>
      <c r="CM1042" s="7"/>
      <c r="CN1042" s="7"/>
      <c r="CO1042" s="7"/>
      <c r="CP1042" s="7"/>
      <c r="CQ1042" s="7"/>
      <c r="CR1042" s="7"/>
      <c r="CS1042" s="7"/>
      <c r="CT1042" s="7"/>
      <c r="CU1042" s="7"/>
      <c r="CV1042" s="7"/>
      <c r="CW1042" s="7"/>
      <c r="CX1042" s="7"/>
      <c r="CY1042" s="7"/>
      <c r="CZ1042" s="7"/>
      <c r="DA1042" s="7"/>
      <c r="DB1042" s="7"/>
      <c r="DC1042" s="7"/>
      <c r="DD1042" s="7"/>
      <c r="DE1042" s="7"/>
      <c r="DF1042" s="7"/>
      <c r="DG1042" s="7"/>
      <c r="DH1042" s="7"/>
      <c r="DI1042" s="7"/>
      <c r="DJ1042" s="7"/>
      <c r="DK1042" s="7"/>
      <c r="DL1042" s="7"/>
      <c r="DM1042" s="7"/>
      <c r="DN1042" s="7"/>
      <c r="DO1042" s="7"/>
      <c r="DP1042" s="7"/>
      <c r="DQ1042" s="7"/>
      <c r="DR1042" s="7"/>
      <c r="DS1042" s="7"/>
      <c r="DT1042" s="7"/>
      <c r="DU1042" s="7"/>
      <c r="DV1042" s="7"/>
      <c r="DW1042" s="7"/>
      <c r="DX1042" s="7"/>
      <c r="DY1042" s="7"/>
      <c r="DZ1042" s="7"/>
      <c r="EA1042" s="7"/>
      <c r="EB1042" s="7"/>
      <c r="EC1042" s="7"/>
      <c r="ED1042" s="7"/>
      <c r="EE1042" s="7"/>
      <c r="EF1042" s="7"/>
      <c r="EG1042" s="7"/>
      <c r="EH1042" s="7"/>
      <c r="EI1042" s="7"/>
      <c r="EJ1042" s="7"/>
      <c r="EK1042" s="7"/>
      <c r="EL1042" s="7"/>
      <c r="EM1042" s="7"/>
      <c r="EN1042" s="7"/>
      <c r="EO1042" s="7"/>
      <c r="EP1042" s="7"/>
      <c r="EQ1042" s="7"/>
      <c r="ER1042" s="7"/>
      <c r="ES1042" s="7"/>
      <c r="ET1042" s="7"/>
      <c r="EU1042" s="7"/>
      <c r="EV1042" s="7"/>
      <c r="EW1042" s="7"/>
      <c r="EX1042" s="7"/>
      <c r="EY1042" s="7"/>
      <c r="EZ1042" s="7"/>
      <c r="FA1042" s="7"/>
      <c r="FB1042" s="7"/>
      <c r="FC1042" s="7"/>
      <c r="FD1042" s="7"/>
      <c r="FE1042" s="7"/>
      <c r="FF1042" s="7"/>
      <c r="FG1042" s="7"/>
      <c r="FH1042" s="7"/>
      <c r="FI1042" s="7"/>
      <c r="FJ1042" s="7"/>
      <c r="FK1042" s="7"/>
      <c r="FL1042" s="7"/>
      <c r="FM1042" s="7"/>
      <c r="FN1042" s="7"/>
      <c r="FO1042" s="7"/>
      <c r="FP1042" s="7"/>
      <c r="FQ1042" s="7"/>
      <c r="FR1042" s="7"/>
      <c r="FS1042" s="7"/>
      <c r="FT1042" s="7"/>
      <c r="FU1042" s="7"/>
      <c r="FV1042" s="7"/>
      <c r="FW1042" s="7"/>
      <c r="FX1042" s="7"/>
      <c r="FY1042" s="7"/>
      <c r="FZ1042" s="7"/>
      <c r="GA1042" s="7"/>
      <c r="GB1042" s="7"/>
      <c r="GC1042" s="7"/>
      <c r="GD1042" s="7"/>
      <c r="GE1042" s="7"/>
      <c r="GF1042" s="7"/>
      <c r="GG1042" s="7"/>
      <c r="GH1042" s="7"/>
      <c r="GI1042" s="7"/>
      <c r="GJ1042" s="7"/>
      <c r="GK1042" s="7"/>
      <c r="GL1042" s="7"/>
      <c r="GM1042" s="7"/>
      <c r="GN1042" s="7"/>
      <c r="GO1042" s="7"/>
      <c r="GP1042" s="7"/>
      <c r="GQ1042" s="7"/>
      <c r="GR1042" s="7"/>
      <c r="GS1042" s="7"/>
      <c r="GT1042" s="7"/>
      <c r="GU1042" s="7"/>
      <c r="GV1042" s="7"/>
      <c r="GW1042" s="7"/>
      <c r="GX1042" s="7"/>
      <c r="GY1042" s="7"/>
      <c r="GZ1042" s="7"/>
      <c r="HA1042" s="7"/>
      <c r="HB1042" s="7"/>
      <c r="HC1042" s="7"/>
      <c r="HD1042" s="7"/>
      <c r="HE1042" s="7"/>
      <c r="HF1042" s="7"/>
      <c r="HG1042" s="7"/>
      <c r="HH1042" s="7"/>
      <c r="HI1042" s="7"/>
      <c r="HJ1042" s="7"/>
      <c r="HK1042" s="7"/>
      <c r="HL1042" s="7"/>
      <c r="HM1042" s="7"/>
      <c r="HN1042" s="7"/>
      <c r="HO1042" s="7"/>
      <c r="HP1042" s="7"/>
      <c r="HQ1042" s="7"/>
      <c r="HR1042" s="7"/>
      <c r="HS1042" s="7"/>
      <c r="HT1042" s="7"/>
      <c r="HU1042" s="7"/>
      <c r="HV1042" s="7"/>
      <c r="HW1042" s="7"/>
      <c r="HX1042" s="7"/>
      <c r="HY1042" s="7"/>
      <c r="HZ1042" s="7"/>
      <c r="IA1042" s="7"/>
      <c r="IB1042" s="7"/>
      <c r="IC1042" s="7"/>
      <c r="ID1042" s="7"/>
      <c r="IE1042" s="7"/>
      <c r="IF1042" s="7"/>
      <c r="IG1042" s="7"/>
      <c r="IH1042" s="7"/>
      <c r="II1042" s="7"/>
      <c r="IJ1042" s="7"/>
      <c r="IK1042" s="7"/>
      <c r="IL1042" s="7"/>
      <c r="IM1042" s="7"/>
      <c r="IN1042" s="7"/>
      <c r="IO1042" s="7"/>
      <c r="IP1042" s="7"/>
      <c r="IQ1042" s="7"/>
      <c r="IR1042" s="7"/>
      <c r="IS1042" s="7"/>
      <c r="IT1042" s="7"/>
      <c r="IU1042" s="7"/>
      <c r="IV1042" s="7"/>
      <c r="IW1042" s="7"/>
      <c r="IX1042" s="7"/>
    </row>
    <row r="1043" spans="1:258" ht="25.15" customHeight="1" x14ac:dyDescent="0.25">
      <c r="A1043" s="53" t="s">
        <v>1904</v>
      </c>
      <c r="B1043" s="8" t="s">
        <v>724</v>
      </c>
      <c r="C1043" s="2">
        <f t="shared" si="285"/>
        <v>4205420</v>
      </c>
      <c r="D1043" s="3">
        <f t="shared" si="284"/>
        <v>1009620</v>
      </c>
      <c r="E1043" s="3">
        <f>700*336.54</f>
        <v>235578</v>
      </c>
      <c r="F1043" s="3">
        <f>1300*336.54</f>
        <v>437502</v>
      </c>
      <c r="G1043" s="3">
        <f>300*336.54</f>
        <v>100962</v>
      </c>
      <c r="H1043" s="3">
        <f>400*336.54</f>
        <v>134616</v>
      </c>
      <c r="I1043" s="3">
        <f>300*336.54</f>
        <v>100962</v>
      </c>
      <c r="J1043" s="3">
        <v>0</v>
      </c>
      <c r="K1043" s="4">
        <v>0</v>
      </c>
      <c r="L1043" s="3">
        <v>0</v>
      </c>
      <c r="M1043" s="5">
        <v>279</v>
      </c>
      <c r="N1043" s="3">
        <f t="shared" si="302"/>
        <v>1841400</v>
      </c>
      <c r="O1043" s="3">
        <v>0</v>
      </c>
      <c r="P1043" s="3">
        <v>0</v>
      </c>
      <c r="Q1043" s="3">
        <v>392</v>
      </c>
      <c r="R1043" s="3">
        <f t="shared" si="297"/>
        <v>1254400</v>
      </c>
      <c r="S1043" s="3">
        <v>0</v>
      </c>
      <c r="T1043" s="5">
        <v>0</v>
      </c>
      <c r="U1043" s="3">
        <v>100000</v>
      </c>
      <c r="V1043" s="6">
        <f t="shared" si="283"/>
        <v>6600</v>
      </c>
    </row>
    <row r="1044" spans="1:258" ht="25.15" customHeight="1" x14ac:dyDescent="0.25">
      <c r="A1044" s="53" t="s">
        <v>1905</v>
      </c>
      <c r="B1044" s="23" t="s">
        <v>794</v>
      </c>
      <c r="C1044" s="2">
        <f t="shared" si="285"/>
        <v>6204000</v>
      </c>
      <c r="D1044" s="3">
        <f t="shared" si="284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940</v>
      </c>
      <c r="N1044" s="3">
        <f t="shared" si="302"/>
        <v>6204000</v>
      </c>
      <c r="O1044" s="3">
        <v>0</v>
      </c>
      <c r="P1044" s="3">
        <v>0</v>
      </c>
      <c r="Q1044" s="3">
        <v>0</v>
      </c>
      <c r="R1044" s="3">
        <f t="shared" si="297"/>
        <v>0</v>
      </c>
      <c r="S1044" s="3">
        <v>0</v>
      </c>
      <c r="T1044" s="5">
        <v>0</v>
      </c>
      <c r="U1044" s="3">
        <v>0</v>
      </c>
      <c r="V1044" s="6">
        <f t="shared" si="283"/>
        <v>6600</v>
      </c>
    </row>
    <row r="1045" spans="1:258" ht="25.15" customHeight="1" x14ac:dyDescent="0.25">
      <c r="A1045" s="53" t="s">
        <v>1906</v>
      </c>
      <c r="B1045" s="23" t="s">
        <v>795</v>
      </c>
      <c r="C1045" s="2">
        <f t="shared" si="285"/>
        <v>6237000</v>
      </c>
      <c r="D1045" s="3">
        <f t="shared" si="284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5">
        <v>945</v>
      </c>
      <c r="N1045" s="3">
        <f t="shared" si="302"/>
        <v>6237000</v>
      </c>
      <c r="O1045" s="3">
        <v>0</v>
      </c>
      <c r="P1045" s="3">
        <v>0</v>
      </c>
      <c r="Q1045" s="3">
        <v>0</v>
      </c>
      <c r="R1045" s="3">
        <f t="shared" si="297"/>
        <v>0</v>
      </c>
      <c r="S1045" s="3">
        <v>0</v>
      </c>
      <c r="T1045" s="5">
        <v>0</v>
      </c>
      <c r="U1045" s="3">
        <v>0</v>
      </c>
      <c r="V1045" s="6">
        <f t="shared" si="283"/>
        <v>6600</v>
      </c>
    </row>
    <row r="1046" spans="1:258" ht="25.15" customHeight="1" x14ac:dyDescent="0.25">
      <c r="A1046" s="53" t="s">
        <v>1907</v>
      </c>
      <c r="B1046" s="8" t="s">
        <v>628</v>
      </c>
      <c r="C1046" s="2">
        <f>D1046+L1046+N1046+P1046+R1046+S1046+T1046+U1046</f>
        <v>4871380</v>
      </c>
      <c r="D1046" s="3">
        <f>SUM(E1046:J1046)</f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11">
        <v>0</v>
      </c>
      <c r="L1046" s="5">
        <v>0</v>
      </c>
      <c r="M1046" s="5">
        <v>609.29999999999995</v>
      </c>
      <c r="N1046" s="3">
        <f>M1046*6600</f>
        <v>4021379.9999999995</v>
      </c>
      <c r="O1046" s="5">
        <v>0</v>
      </c>
      <c r="P1046" s="5">
        <v>0</v>
      </c>
      <c r="Q1046" s="5">
        <v>0</v>
      </c>
      <c r="R1046" s="3">
        <f>Q1046*3000</f>
        <v>0</v>
      </c>
      <c r="S1046" s="5">
        <v>0</v>
      </c>
      <c r="T1046" s="5">
        <v>0</v>
      </c>
      <c r="U1046" s="5">
        <v>850000</v>
      </c>
      <c r="V1046" s="6">
        <f>N1046/M1046</f>
        <v>6600</v>
      </c>
    </row>
    <row r="1047" spans="1:258" ht="25.15" customHeight="1" x14ac:dyDescent="0.25">
      <c r="A1047" s="53" t="s">
        <v>1908</v>
      </c>
      <c r="B1047" s="24" t="s">
        <v>872</v>
      </c>
      <c r="C1047" s="2">
        <f>D1047+L1047+N1047+P1047+R1047+S1047+T1047+U1047</f>
        <v>2060454</v>
      </c>
      <c r="D1047" s="3">
        <f>SUM(E1047:J1047)</f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3">
        <v>312.19</v>
      </c>
      <c r="N1047" s="3">
        <f>M1047*6600</f>
        <v>2060454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6">
        <f>N1047/M1047</f>
        <v>6600</v>
      </c>
    </row>
    <row r="1048" spans="1:258" ht="25.15" customHeight="1" x14ac:dyDescent="0.25">
      <c r="A1048" s="53" t="s">
        <v>1909</v>
      </c>
      <c r="B1048" s="8" t="s">
        <v>796</v>
      </c>
      <c r="C1048" s="2">
        <f t="shared" si="285"/>
        <v>4158000</v>
      </c>
      <c r="D1048" s="3">
        <f t="shared" si="284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630</v>
      </c>
      <c r="N1048" s="3">
        <f t="shared" si="302"/>
        <v>4158000</v>
      </c>
      <c r="O1048" s="3">
        <v>0</v>
      </c>
      <c r="P1048" s="3">
        <v>0</v>
      </c>
      <c r="Q1048" s="3">
        <v>0</v>
      </c>
      <c r="R1048" s="3">
        <f t="shared" si="297"/>
        <v>0</v>
      </c>
      <c r="S1048" s="3">
        <v>0</v>
      </c>
      <c r="T1048" s="5">
        <v>0</v>
      </c>
      <c r="U1048" s="3">
        <v>0</v>
      </c>
      <c r="V1048" s="6">
        <f t="shared" si="283"/>
        <v>6600</v>
      </c>
    </row>
    <row r="1049" spans="1:258" ht="25.15" customHeight="1" x14ac:dyDescent="0.25">
      <c r="A1049" s="53" t="s">
        <v>1910</v>
      </c>
      <c r="B1049" s="8" t="s">
        <v>797</v>
      </c>
      <c r="C1049" s="2">
        <f t="shared" si="285"/>
        <v>1993200</v>
      </c>
      <c r="D1049" s="3">
        <f t="shared" si="284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302</v>
      </c>
      <c r="N1049" s="3">
        <f t="shared" si="302"/>
        <v>1993200</v>
      </c>
      <c r="O1049" s="3">
        <v>0</v>
      </c>
      <c r="P1049" s="3">
        <v>0</v>
      </c>
      <c r="Q1049" s="3">
        <v>0</v>
      </c>
      <c r="R1049" s="3">
        <f t="shared" si="297"/>
        <v>0</v>
      </c>
      <c r="S1049" s="3">
        <v>0</v>
      </c>
      <c r="T1049" s="5">
        <v>0</v>
      </c>
      <c r="U1049" s="3">
        <v>0</v>
      </c>
      <c r="V1049" s="6">
        <f t="shared" si="283"/>
        <v>6600</v>
      </c>
    </row>
    <row r="1050" spans="1:258" ht="25.15" customHeight="1" x14ac:dyDescent="0.25">
      <c r="A1050" s="53" t="s">
        <v>1911</v>
      </c>
      <c r="B1050" s="8" t="s">
        <v>725</v>
      </c>
      <c r="C1050" s="2">
        <f t="shared" si="285"/>
        <v>1907400</v>
      </c>
      <c r="D1050" s="3">
        <f t="shared" si="284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5">
        <v>289</v>
      </c>
      <c r="N1050" s="3">
        <f t="shared" si="302"/>
        <v>1907400</v>
      </c>
      <c r="O1050" s="3">
        <v>0</v>
      </c>
      <c r="P1050" s="3">
        <v>0</v>
      </c>
      <c r="Q1050" s="3">
        <v>0</v>
      </c>
      <c r="R1050" s="3">
        <f t="shared" si="297"/>
        <v>0</v>
      </c>
      <c r="S1050" s="3">
        <v>0</v>
      </c>
      <c r="T1050" s="5">
        <v>0</v>
      </c>
      <c r="U1050" s="3">
        <v>0</v>
      </c>
      <c r="V1050" s="6">
        <f t="shared" si="283"/>
        <v>6600</v>
      </c>
    </row>
    <row r="1051" spans="1:258" ht="25.15" customHeight="1" x14ac:dyDescent="0.25">
      <c r="A1051" s="53" t="s">
        <v>1912</v>
      </c>
      <c r="B1051" s="8" t="s">
        <v>798</v>
      </c>
      <c r="C1051" s="2">
        <f t="shared" si="285"/>
        <v>1907400</v>
      </c>
      <c r="D1051" s="3">
        <f t="shared" si="284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5">
        <v>289</v>
      </c>
      <c r="N1051" s="3">
        <f t="shared" si="302"/>
        <v>1907400</v>
      </c>
      <c r="O1051" s="3">
        <v>0</v>
      </c>
      <c r="P1051" s="3">
        <v>0</v>
      </c>
      <c r="Q1051" s="3">
        <v>0</v>
      </c>
      <c r="R1051" s="3">
        <f t="shared" si="297"/>
        <v>0</v>
      </c>
      <c r="S1051" s="3">
        <v>0</v>
      </c>
      <c r="T1051" s="5">
        <v>0</v>
      </c>
      <c r="U1051" s="3">
        <v>0</v>
      </c>
      <c r="V1051" s="6">
        <f t="shared" si="283"/>
        <v>6600</v>
      </c>
    </row>
    <row r="1052" spans="1:258" ht="25.15" customHeight="1" x14ac:dyDescent="0.25">
      <c r="A1052" s="53" t="s">
        <v>1913</v>
      </c>
      <c r="B1052" s="8" t="s">
        <v>799</v>
      </c>
      <c r="C1052" s="2">
        <f t="shared" si="285"/>
        <v>1907400</v>
      </c>
      <c r="D1052" s="3">
        <f t="shared" si="284"/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289</v>
      </c>
      <c r="N1052" s="3">
        <f t="shared" si="302"/>
        <v>1907400</v>
      </c>
      <c r="O1052" s="3">
        <v>0</v>
      </c>
      <c r="P1052" s="3">
        <v>0</v>
      </c>
      <c r="Q1052" s="3">
        <v>0</v>
      </c>
      <c r="R1052" s="3">
        <f t="shared" si="297"/>
        <v>0</v>
      </c>
      <c r="S1052" s="3">
        <v>0</v>
      </c>
      <c r="T1052" s="5">
        <v>0</v>
      </c>
      <c r="U1052" s="3">
        <v>0</v>
      </c>
      <c r="V1052" s="6">
        <f t="shared" si="283"/>
        <v>6600</v>
      </c>
    </row>
    <row r="1053" spans="1:258" ht="25.15" customHeight="1" x14ac:dyDescent="0.25">
      <c r="A1053" s="53" t="s">
        <v>1914</v>
      </c>
      <c r="B1053" s="8" t="s">
        <v>726</v>
      </c>
      <c r="C1053" s="2">
        <f t="shared" si="285"/>
        <v>2590500</v>
      </c>
      <c r="D1053" s="3">
        <f t="shared" si="284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3">
        <v>392.5</v>
      </c>
      <c r="N1053" s="3">
        <f t="shared" si="302"/>
        <v>2590500</v>
      </c>
      <c r="O1053" s="3">
        <v>0</v>
      </c>
      <c r="P1053" s="3">
        <v>0</v>
      </c>
      <c r="Q1053" s="3">
        <v>0</v>
      </c>
      <c r="R1053" s="3">
        <f t="shared" si="297"/>
        <v>0</v>
      </c>
      <c r="S1053" s="3">
        <v>0</v>
      </c>
      <c r="T1053" s="5">
        <v>0</v>
      </c>
      <c r="U1053" s="3">
        <v>0</v>
      </c>
      <c r="V1053" s="6">
        <f t="shared" ref="V1053:V1121" si="303">N1053/M1053</f>
        <v>6600</v>
      </c>
    </row>
    <row r="1054" spans="1:258" ht="25.15" customHeight="1" x14ac:dyDescent="0.25">
      <c r="A1054" s="53" t="s">
        <v>1915</v>
      </c>
      <c r="B1054" s="24" t="s">
        <v>1220</v>
      </c>
      <c r="C1054" s="2">
        <f>D1054+L1054+N1054+P1054+R1054+S1054+T1054+U1054</f>
        <v>4554000</v>
      </c>
      <c r="D1054" s="3">
        <f>SUM(E1054:J1054)</f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3">
        <v>690</v>
      </c>
      <c r="N1054" s="3">
        <f>M1054*6600</f>
        <v>4554000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6">
        <f>N1054/M1054</f>
        <v>6600</v>
      </c>
    </row>
    <row r="1055" spans="1:258" ht="25.15" customHeight="1" x14ac:dyDescent="0.25">
      <c r="A1055" s="53" t="s">
        <v>1916</v>
      </c>
      <c r="B1055" s="8" t="s">
        <v>800</v>
      </c>
      <c r="C1055" s="2">
        <f>D1055+L1055+N1055+P1055+R1055+S1055+T1055+U1055</f>
        <v>3026000</v>
      </c>
      <c r="D1055" s="3">
        <f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5">
        <v>680</v>
      </c>
      <c r="N1055" s="3">
        <f>M1055*4450</f>
        <v>3026000</v>
      </c>
      <c r="O1055" s="3">
        <v>0</v>
      </c>
      <c r="P1055" s="3">
        <v>0</v>
      </c>
      <c r="Q1055" s="3">
        <v>0</v>
      </c>
      <c r="R1055" s="3">
        <f t="shared" si="297"/>
        <v>0</v>
      </c>
      <c r="S1055" s="3">
        <v>0</v>
      </c>
      <c r="T1055" s="5">
        <v>0</v>
      </c>
      <c r="U1055" s="3">
        <v>0</v>
      </c>
      <c r="V1055" s="6">
        <f>N1055/M1055</f>
        <v>4450</v>
      </c>
    </row>
    <row r="1056" spans="1:258" ht="25.15" customHeight="1" x14ac:dyDescent="0.25">
      <c r="A1056" s="53" t="s">
        <v>1917</v>
      </c>
      <c r="B1056" s="8" t="s">
        <v>731</v>
      </c>
      <c r="C1056" s="2">
        <f>D1056+L1056+N1056+P1056+R1056+S1056+T1056+U1056</f>
        <v>9060480</v>
      </c>
      <c r="D1056" s="3">
        <f>SUM(E1056:J1056)</f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5">
        <v>1372.8</v>
      </c>
      <c r="N1056" s="3">
        <f t="shared" si="302"/>
        <v>9060480</v>
      </c>
      <c r="O1056" s="3">
        <v>0</v>
      </c>
      <c r="P1056" s="3">
        <v>0</v>
      </c>
      <c r="Q1056" s="3">
        <v>0</v>
      </c>
      <c r="R1056" s="3">
        <f t="shared" si="297"/>
        <v>0</v>
      </c>
      <c r="S1056" s="3">
        <v>0</v>
      </c>
      <c r="T1056" s="5">
        <v>0</v>
      </c>
      <c r="U1056" s="3">
        <v>0</v>
      </c>
      <c r="V1056" s="6">
        <f>N1056/M1056</f>
        <v>6600</v>
      </c>
    </row>
    <row r="1057" spans="1:258" ht="25.15" customHeight="1" x14ac:dyDescent="0.25">
      <c r="A1057" s="53" t="s">
        <v>1918</v>
      </c>
      <c r="B1057" s="8" t="s">
        <v>727</v>
      </c>
      <c r="C1057" s="2">
        <f t="shared" si="285"/>
        <v>4425000</v>
      </c>
      <c r="D1057" s="3">
        <f t="shared" ref="D1057:D1121" si="304">SUM(E1057:J1057)</f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5">
        <v>625</v>
      </c>
      <c r="N1057" s="3">
        <f t="shared" si="302"/>
        <v>4125000</v>
      </c>
      <c r="O1057" s="3">
        <v>0</v>
      </c>
      <c r="P1057" s="3">
        <v>0</v>
      </c>
      <c r="Q1057" s="3">
        <v>0</v>
      </c>
      <c r="R1057" s="3">
        <f t="shared" si="297"/>
        <v>0</v>
      </c>
      <c r="S1057" s="3">
        <v>0</v>
      </c>
      <c r="T1057" s="5">
        <v>0</v>
      </c>
      <c r="U1057" s="3">
        <v>300000</v>
      </c>
      <c r="V1057" s="6">
        <f t="shared" si="303"/>
        <v>6600</v>
      </c>
    </row>
    <row r="1058" spans="1:258" ht="25.15" customHeight="1" x14ac:dyDescent="0.25">
      <c r="A1058" s="53" t="s">
        <v>1919</v>
      </c>
      <c r="B1058" s="8" t="s">
        <v>728</v>
      </c>
      <c r="C1058" s="2">
        <f t="shared" si="285"/>
        <v>2706000</v>
      </c>
      <c r="D1058" s="3">
        <f t="shared" si="304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410</v>
      </c>
      <c r="N1058" s="3">
        <f t="shared" si="302"/>
        <v>2706000</v>
      </c>
      <c r="O1058" s="3">
        <v>0</v>
      </c>
      <c r="P1058" s="3">
        <v>0</v>
      </c>
      <c r="Q1058" s="3">
        <v>0</v>
      </c>
      <c r="R1058" s="3">
        <f t="shared" si="297"/>
        <v>0</v>
      </c>
      <c r="S1058" s="3">
        <v>0</v>
      </c>
      <c r="T1058" s="5">
        <v>0</v>
      </c>
      <c r="U1058" s="3">
        <v>0</v>
      </c>
      <c r="V1058" s="6">
        <f t="shared" si="303"/>
        <v>6600</v>
      </c>
    </row>
    <row r="1059" spans="1:258" ht="25.15" customHeight="1" x14ac:dyDescent="0.25">
      <c r="A1059" s="53" t="s">
        <v>1920</v>
      </c>
      <c r="B1059" s="8" t="s">
        <v>729</v>
      </c>
      <c r="C1059" s="2">
        <f t="shared" si="285"/>
        <v>1750320</v>
      </c>
      <c r="D1059" s="3">
        <f t="shared" si="304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5">
        <v>265.2</v>
      </c>
      <c r="N1059" s="3">
        <f t="shared" si="302"/>
        <v>1750320</v>
      </c>
      <c r="O1059" s="3">
        <v>0</v>
      </c>
      <c r="P1059" s="3">
        <v>0</v>
      </c>
      <c r="Q1059" s="3">
        <v>0</v>
      </c>
      <c r="R1059" s="3">
        <f t="shared" si="297"/>
        <v>0</v>
      </c>
      <c r="S1059" s="3">
        <v>0</v>
      </c>
      <c r="T1059" s="5">
        <v>0</v>
      </c>
      <c r="U1059" s="3">
        <v>0</v>
      </c>
      <c r="V1059" s="6">
        <f t="shared" si="303"/>
        <v>6600</v>
      </c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  <c r="BY1059" s="6"/>
      <c r="BZ1059" s="6"/>
      <c r="CA1059" s="6"/>
      <c r="CB1059" s="6"/>
      <c r="CC1059" s="6"/>
      <c r="CD1059" s="6"/>
      <c r="CE1059" s="6"/>
      <c r="CF1059" s="6"/>
      <c r="CG1059" s="6"/>
      <c r="CH1059" s="6"/>
      <c r="CI1059" s="6"/>
      <c r="CJ1059" s="6"/>
      <c r="CK1059" s="6"/>
      <c r="CL1059" s="6"/>
      <c r="CM1059" s="6"/>
      <c r="CN1059" s="6"/>
      <c r="CO1059" s="6"/>
      <c r="CP1059" s="6"/>
      <c r="CQ1059" s="6"/>
      <c r="CR1059" s="6"/>
      <c r="CS1059" s="6"/>
      <c r="CT1059" s="6"/>
      <c r="CU1059" s="6"/>
      <c r="CV1059" s="6"/>
      <c r="CW1059" s="6"/>
      <c r="CX1059" s="6"/>
      <c r="CY1059" s="6"/>
      <c r="CZ1059" s="6"/>
      <c r="DA1059" s="6"/>
      <c r="DB1059" s="6"/>
      <c r="DC1059" s="6"/>
      <c r="DD1059" s="6"/>
      <c r="DE1059" s="6"/>
      <c r="DF1059" s="6"/>
      <c r="DG1059" s="6"/>
      <c r="DH1059" s="6"/>
      <c r="DI1059" s="6"/>
      <c r="DJ1059" s="6"/>
      <c r="DK1059" s="6"/>
      <c r="DL1059" s="6"/>
      <c r="DM1059" s="6"/>
      <c r="DN1059" s="6"/>
      <c r="DO1059" s="6"/>
      <c r="DP1059" s="6"/>
      <c r="DQ1059" s="6"/>
      <c r="DR1059" s="6"/>
      <c r="DS1059" s="6"/>
      <c r="DT1059" s="6"/>
      <c r="DU1059" s="6"/>
      <c r="DV1059" s="6"/>
      <c r="DW1059" s="6"/>
      <c r="DX1059" s="6"/>
      <c r="DY1059" s="6"/>
      <c r="DZ1059" s="6"/>
      <c r="EA1059" s="6"/>
      <c r="EB1059" s="6"/>
      <c r="EC1059" s="6"/>
      <c r="ED1059" s="6"/>
      <c r="EE1059" s="6"/>
      <c r="EF1059" s="6"/>
      <c r="EG1059" s="6"/>
      <c r="EH1059" s="6"/>
      <c r="EI1059" s="6"/>
      <c r="EJ1059" s="6"/>
      <c r="EK1059" s="6"/>
      <c r="EL1059" s="6"/>
      <c r="EM1059" s="6"/>
      <c r="EN1059" s="6"/>
      <c r="EO1059" s="6"/>
      <c r="EP1059" s="6"/>
      <c r="EQ1059" s="6"/>
      <c r="ER1059" s="6"/>
      <c r="ES1059" s="6"/>
      <c r="ET1059" s="6"/>
      <c r="EU1059" s="6"/>
      <c r="EV1059" s="6"/>
      <c r="EW1059" s="6"/>
      <c r="EX1059" s="6"/>
      <c r="EY1059" s="6"/>
      <c r="EZ1059" s="6"/>
      <c r="FA1059" s="6"/>
      <c r="FB1059" s="6"/>
      <c r="FC1059" s="6"/>
      <c r="FD1059" s="6"/>
      <c r="FE1059" s="6"/>
      <c r="FF1059" s="6"/>
      <c r="FG1059" s="6"/>
      <c r="FH1059" s="6"/>
      <c r="FI1059" s="6"/>
      <c r="FJ1059" s="6"/>
      <c r="FK1059" s="6"/>
      <c r="FL1059" s="6"/>
      <c r="FM1059" s="6"/>
      <c r="FN1059" s="6"/>
      <c r="FO1059" s="6"/>
      <c r="FP1059" s="6"/>
      <c r="FQ1059" s="6"/>
      <c r="FR1059" s="6"/>
      <c r="FS1059" s="6"/>
      <c r="FT1059" s="6"/>
      <c r="FU1059" s="6"/>
      <c r="FV1059" s="6"/>
      <c r="FW1059" s="6"/>
      <c r="FX1059" s="6"/>
      <c r="FY1059" s="6"/>
      <c r="FZ1059" s="6"/>
      <c r="GA1059" s="6"/>
      <c r="GB1059" s="6"/>
      <c r="GC1059" s="6"/>
      <c r="GD1059" s="6"/>
      <c r="GE1059" s="6"/>
      <c r="GF1059" s="6"/>
      <c r="GG1059" s="6"/>
      <c r="GH1059" s="6"/>
      <c r="GI1059" s="6"/>
      <c r="GJ1059" s="6"/>
      <c r="GK1059" s="6"/>
      <c r="GL1059" s="6"/>
      <c r="GM1059" s="6"/>
      <c r="GN1059" s="6"/>
      <c r="GO1059" s="6"/>
      <c r="GP1059" s="6"/>
      <c r="GQ1059" s="6"/>
      <c r="GR1059" s="6"/>
      <c r="GS1059" s="6"/>
      <c r="GT1059" s="6"/>
      <c r="GU1059" s="6"/>
      <c r="GV1059" s="6"/>
      <c r="GW1059" s="6"/>
      <c r="GX1059" s="6"/>
      <c r="GY1059" s="6"/>
      <c r="GZ1059" s="6"/>
      <c r="HA1059" s="6"/>
      <c r="HB1059" s="6"/>
      <c r="HC1059" s="6"/>
      <c r="HD1059" s="6"/>
      <c r="HE1059" s="6"/>
      <c r="HF1059" s="6"/>
      <c r="HG1059" s="6"/>
      <c r="HH1059" s="6"/>
      <c r="HI1059" s="6"/>
      <c r="HJ1059" s="6"/>
      <c r="HK1059" s="6"/>
      <c r="HL1059" s="6"/>
      <c r="HM1059" s="6"/>
      <c r="HN1059" s="6"/>
      <c r="HO1059" s="6"/>
      <c r="HP1059" s="6"/>
      <c r="HQ1059" s="6"/>
      <c r="HR1059" s="6"/>
      <c r="HS1059" s="6"/>
      <c r="HT1059" s="6"/>
      <c r="HU1059" s="6"/>
      <c r="HV1059" s="6"/>
      <c r="HW1059" s="6"/>
      <c r="HX1059" s="6"/>
      <c r="HY1059" s="6"/>
      <c r="HZ1059" s="6"/>
      <c r="IA1059" s="6"/>
      <c r="IB1059" s="6"/>
      <c r="IC1059" s="6"/>
      <c r="ID1059" s="6"/>
      <c r="IE1059" s="6"/>
      <c r="IF1059" s="6"/>
      <c r="IG1059" s="6"/>
      <c r="IH1059" s="6"/>
      <c r="II1059" s="6"/>
      <c r="IJ1059" s="6"/>
      <c r="IK1059" s="6"/>
      <c r="IL1059" s="6"/>
      <c r="IM1059" s="6"/>
      <c r="IN1059" s="6"/>
      <c r="IO1059" s="6"/>
      <c r="IP1059" s="6"/>
      <c r="IQ1059" s="6"/>
      <c r="IR1059" s="6"/>
      <c r="IS1059" s="6"/>
      <c r="IT1059" s="6"/>
      <c r="IU1059" s="6"/>
      <c r="IV1059" s="6"/>
      <c r="IW1059" s="6"/>
      <c r="IX1059" s="6"/>
    </row>
    <row r="1060" spans="1:258" ht="25.15" customHeight="1" x14ac:dyDescent="0.25">
      <c r="A1060" s="53" t="s">
        <v>1921</v>
      </c>
      <c r="B1060" s="8" t="s">
        <v>730</v>
      </c>
      <c r="C1060" s="2">
        <f t="shared" ref="C1060:C1157" si="305">D1060+L1060+N1060+P1060+R1060+S1060+T1060+U1060</f>
        <v>1747680</v>
      </c>
      <c r="D1060" s="3">
        <f t="shared" si="304"/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4">
        <v>0</v>
      </c>
      <c r="L1060" s="3">
        <v>0</v>
      </c>
      <c r="M1060" s="5">
        <v>264.8</v>
      </c>
      <c r="N1060" s="3">
        <f t="shared" si="302"/>
        <v>1747680</v>
      </c>
      <c r="O1060" s="3">
        <v>0</v>
      </c>
      <c r="P1060" s="3">
        <v>0</v>
      </c>
      <c r="Q1060" s="3">
        <v>0</v>
      </c>
      <c r="R1060" s="3">
        <f t="shared" si="297"/>
        <v>0</v>
      </c>
      <c r="S1060" s="3">
        <v>0</v>
      </c>
      <c r="T1060" s="5">
        <v>0</v>
      </c>
      <c r="U1060" s="3">
        <v>0</v>
      </c>
      <c r="V1060" s="6">
        <f t="shared" si="303"/>
        <v>6600</v>
      </c>
    </row>
    <row r="1061" spans="1:258" ht="25.15" customHeight="1" x14ac:dyDescent="0.25">
      <c r="A1061" s="53" t="s">
        <v>1922</v>
      </c>
      <c r="B1061" s="8" t="s">
        <v>801</v>
      </c>
      <c r="C1061" s="2">
        <f t="shared" si="305"/>
        <v>2504400</v>
      </c>
      <c r="D1061" s="3">
        <f t="shared" si="304"/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4">
        <v>0</v>
      </c>
      <c r="L1061" s="3">
        <v>0</v>
      </c>
      <c r="M1061" s="3">
        <v>334</v>
      </c>
      <c r="N1061" s="3">
        <f t="shared" si="302"/>
        <v>2204400</v>
      </c>
      <c r="O1061" s="3">
        <v>0</v>
      </c>
      <c r="P1061" s="3">
        <v>0</v>
      </c>
      <c r="Q1061" s="3">
        <v>0</v>
      </c>
      <c r="R1061" s="3">
        <f t="shared" si="297"/>
        <v>0</v>
      </c>
      <c r="S1061" s="3">
        <v>0</v>
      </c>
      <c r="T1061" s="5">
        <v>0</v>
      </c>
      <c r="U1061" s="3">
        <v>300000</v>
      </c>
      <c r="V1061" s="6">
        <f t="shared" si="303"/>
        <v>6600</v>
      </c>
    </row>
    <row r="1062" spans="1:258" ht="25.15" customHeight="1" x14ac:dyDescent="0.25">
      <c r="A1062" s="53" t="s">
        <v>1923</v>
      </c>
      <c r="B1062" s="8" t="s">
        <v>636</v>
      </c>
      <c r="C1062" s="2">
        <f t="shared" si="305"/>
        <v>3339600</v>
      </c>
      <c r="D1062" s="3">
        <f>SUM(E1062:J1062)</f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11">
        <v>0</v>
      </c>
      <c r="L1062" s="5">
        <v>0</v>
      </c>
      <c r="M1062" s="5">
        <v>506</v>
      </c>
      <c r="N1062" s="3">
        <f t="shared" si="302"/>
        <v>3339600</v>
      </c>
      <c r="O1062" s="5">
        <v>0</v>
      </c>
      <c r="P1062" s="5">
        <v>0</v>
      </c>
      <c r="Q1062" s="5">
        <v>0</v>
      </c>
      <c r="R1062" s="3">
        <f t="shared" si="297"/>
        <v>0</v>
      </c>
      <c r="S1062" s="5">
        <v>0</v>
      </c>
      <c r="T1062" s="5">
        <v>0</v>
      </c>
      <c r="U1062" s="5">
        <v>0</v>
      </c>
      <c r="V1062" s="6">
        <f t="shared" si="303"/>
        <v>6600</v>
      </c>
    </row>
    <row r="1063" spans="1:258" ht="25.15" customHeight="1" x14ac:dyDescent="0.25">
      <c r="A1063" s="53" t="s">
        <v>1924</v>
      </c>
      <c r="B1063" s="8" t="s">
        <v>426</v>
      </c>
      <c r="C1063" s="2">
        <f>D1063+L1063+N1063+P1063+R1063+S1063+T1063+U1063</f>
        <v>8074500</v>
      </c>
      <c r="D1063" s="3">
        <f>SUM(E1063:J1063)</f>
        <v>2566500</v>
      </c>
      <c r="E1063" s="3">
        <f>700*855.5</f>
        <v>598850</v>
      </c>
      <c r="F1063" s="3">
        <f>1300*855.5</f>
        <v>1112150</v>
      </c>
      <c r="G1063" s="3">
        <f>300*855.5</f>
        <v>256650</v>
      </c>
      <c r="H1063" s="3">
        <f>400*855.5</f>
        <v>342200</v>
      </c>
      <c r="I1063" s="3">
        <f>300*855.5</f>
        <v>256650</v>
      </c>
      <c r="J1063" s="3">
        <v>0</v>
      </c>
      <c r="K1063" s="4">
        <v>0</v>
      </c>
      <c r="L1063" s="3">
        <v>0</v>
      </c>
      <c r="M1063" s="3">
        <v>480</v>
      </c>
      <c r="N1063" s="3">
        <f>M1063*6600</f>
        <v>3168000</v>
      </c>
      <c r="O1063" s="3">
        <v>0</v>
      </c>
      <c r="P1063" s="3">
        <v>0</v>
      </c>
      <c r="Q1063" s="3">
        <v>700</v>
      </c>
      <c r="R1063" s="3">
        <f>Q1063*3200</f>
        <v>2240000</v>
      </c>
      <c r="S1063" s="3">
        <v>0</v>
      </c>
      <c r="T1063" s="5">
        <v>0</v>
      </c>
      <c r="U1063" s="3">
        <v>100000</v>
      </c>
      <c r="V1063" s="6">
        <f>N1063/M1063</f>
        <v>6600</v>
      </c>
    </row>
    <row r="1064" spans="1:258" ht="25.15" customHeight="1" x14ac:dyDescent="0.25">
      <c r="A1064" s="53" t="s">
        <v>1925</v>
      </c>
      <c r="B1064" s="23" t="s">
        <v>732</v>
      </c>
      <c r="C1064" s="2">
        <f t="shared" si="305"/>
        <v>9884820</v>
      </c>
      <c r="D1064" s="3">
        <f t="shared" si="304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4">
        <v>0</v>
      </c>
      <c r="L1064" s="3">
        <v>0</v>
      </c>
      <c r="M1064" s="3">
        <v>1497.7</v>
      </c>
      <c r="N1064" s="3">
        <f t="shared" si="302"/>
        <v>9884820</v>
      </c>
      <c r="O1064" s="3">
        <v>0</v>
      </c>
      <c r="P1064" s="3">
        <v>0</v>
      </c>
      <c r="Q1064" s="3">
        <v>0</v>
      </c>
      <c r="R1064" s="3">
        <f t="shared" si="297"/>
        <v>0</v>
      </c>
      <c r="S1064" s="3">
        <v>0</v>
      </c>
      <c r="T1064" s="5">
        <v>0</v>
      </c>
      <c r="U1064" s="3">
        <v>0</v>
      </c>
      <c r="V1064" s="6">
        <f t="shared" si="303"/>
        <v>6600</v>
      </c>
    </row>
    <row r="1065" spans="1:258" ht="25.15" customHeight="1" x14ac:dyDescent="0.25">
      <c r="A1065" s="53" t="s">
        <v>1926</v>
      </c>
      <c r="B1065" s="24" t="s">
        <v>881</v>
      </c>
      <c r="C1065" s="2">
        <f t="shared" si="305"/>
        <v>17105800</v>
      </c>
      <c r="D1065" s="3">
        <f t="shared" ref="D1065:D1067" si="306">SUM(E1065:J1065)</f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3">
        <v>1081</v>
      </c>
      <c r="N1065" s="3">
        <f>M1065*6600</f>
        <v>7134600</v>
      </c>
      <c r="O1065" s="3">
        <v>0</v>
      </c>
      <c r="P1065" s="3">
        <v>0</v>
      </c>
      <c r="Q1065" s="3">
        <v>3116</v>
      </c>
      <c r="R1065" s="3">
        <f>Q1065*3200</f>
        <v>9971200</v>
      </c>
      <c r="S1065" s="3">
        <v>0</v>
      </c>
      <c r="T1065" s="3">
        <v>0</v>
      </c>
      <c r="U1065" s="3">
        <v>0</v>
      </c>
      <c r="V1065" s="6">
        <f t="shared" si="303"/>
        <v>6600</v>
      </c>
    </row>
    <row r="1066" spans="1:258" ht="25.15" customHeight="1" x14ac:dyDescent="0.25">
      <c r="A1066" s="53" t="s">
        <v>1927</v>
      </c>
      <c r="B1066" s="8" t="s">
        <v>377</v>
      </c>
      <c r="C1066" s="2">
        <f t="shared" si="305"/>
        <v>29372500</v>
      </c>
      <c r="D1066" s="3">
        <f t="shared" si="306"/>
        <v>11154900</v>
      </c>
      <c r="E1066" s="3">
        <f>700*3718.3</f>
        <v>2602810</v>
      </c>
      <c r="F1066" s="3">
        <f>1300*3718.3</f>
        <v>4833790</v>
      </c>
      <c r="G1066" s="3">
        <f>300*3718.3</f>
        <v>1115490</v>
      </c>
      <c r="H1066" s="3">
        <f>400*3718.3</f>
        <v>1487320</v>
      </c>
      <c r="I1066" s="3">
        <f>300*3718.3</f>
        <v>1115490</v>
      </c>
      <c r="J1066" s="3">
        <f>350*0</f>
        <v>0</v>
      </c>
      <c r="K1066" s="4">
        <v>0</v>
      </c>
      <c r="L1066" s="3">
        <v>0</v>
      </c>
      <c r="M1066" s="3">
        <v>1296</v>
      </c>
      <c r="N1066" s="3">
        <f>M1066*6600</f>
        <v>8553600</v>
      </c>
      <c r="O1066" s="3">
        <v>0</v>
      </c>
      <c r="P1066" s="3">
        <v>0</v>
      </c>
      <c r="Q1066" s="3">
        <v>3020</v>
      </c>
      <c r="R1066" s="3">
        <f>Q1066*3200</f>
        <v>9664000</v>
      </c>
      <c r="S1066" s="3">
        <v>0</v>
      </c>
      <c r="T1066" s="3">
        <v>0</v>
      </c>
      <c r="U1066" s="3">
        <v>0</v>
      </c>
      <c r="V1066" s="6">
        <f t="shared" si="303"/>
        <v>6600</v>
      </c>
    </row>
    <row r="1067" spans="1:258" ht="25.15" customHeight="1" x14ac:dyDescent="0.25">
      <c r="A1067" s="53" t="s">
        <v>1928</v>
      </c>
      <c r="B1067" s="24" t="s">
        <v>1221</v>
      </c>
      <c r="C1067" s="2">
        <f t="shared" si="305"/>
        <v>12671120</v>
      </c>
      <c r="D1067" s="3">
        <f t="shared" si="306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3">
        <v>853.2</v>
      </c>
      <c r="N1067" s="3">
        <f>M1067*6600</f>
        <v>5631120</v>
      </c>
      <c r="O1067" s="3">
        <v>0</v>
      </c>
      <c r="P1067" s="3">
        <v>0</v>
      </c>
      <c r="Q1067" s="3">
        <v>2200</v>
      </c>
      <c r="R1067" s="3">
        <f>Q1067*3200</f>
        <v>7040000</v>
      </c>
      <c r="S1067" s="3">
        <v>0</v>
      </c>
      <c r="T1067" s="3">
        <v>0</v>
      </c>
      <c r="U1067" s="3">
        <v>0</v>
      </c>
      <c r="V1067" s="6">
        <f t="shared" si="303"/>
        <v>6600</v>
      </c>
    </row>
    <row r="1068" spans="1:258" ht="25.15" customHeight="1" x14ac:dyDescent="0.25">
      <c r="A1068" s="53" t="s">
        <v>1929</v>
      </c>
      <c r="B1068" s="8" t="s">
        <v>384</v>
      </c>
      <c r="C1068" s="2">
        <f t="shared" ref="C1068:C1074" si="307">D1068+L1068+N1068+P1068+R1068+S1068+T1068+U1068</f>
        <v>9328900</v>
      </c>
      <c r="D1068" s="3">
        <f t="shared" ref="D1068:D1074" si="308">SUM(E1068:J1068)</f>
        <v>8478900</v>
      </c>
      <c r="E1068" s="3">
        <f>700*2826.3</f>
        <v>1978410.0000000002</v>
      </c>
      <c r="F1068" s="3">
        <f>1300*2826.3</f>
        <v>3674190.0000000005</v>
      </c>
      <c r="G1068" s="3">
        <f>300*2826.3</f>
        <v>847890</v>
      </c>
      <c r="H1068" s="3">
        <f>400*2826.3</f>
        <v>1130520</v>
      </c>
      <c r="I1068" s="3">
        <f>300*2826.3</f>
        <v>847890</v>
      </c>
      <c r="J1068" s="3">
        <f>350*0</f>
        <v>0</v>
      </c>
      <c r="K1068" s="4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850000</v>
      </c>
      <c r="V1068" s="6" t="e">
        <f t="shared" ref="V1068:V1074" si="309">N1068/M1068</f>
        <v>#DIV/0!</v>
      </c>
    </row>
    <row r="1069" spans="1:258" ht="25.15" customHeight="1" x14ac:dyDescent="0.25">
      <c r="A1069" s="53" t="s">
        <v>1930</v>
      </c>
      <c r="B1069" s="8" t="s">
        <v>447</v>
      </c>
      <c r="C1069" s="2">
        <f t="shared" si="307"/>
        <v>16148800.000000002</v>
      </c>
      <c r="D1069" s="3">
        <f t="shared" si="308"/>
        <v>15298800.000000002</v>
      </c>
      <c r="E1069" s="3">
        <f>700*5099.6</f>
        <v>3569720.0000000005</v>
      </c>
      <c r="F1069" s="3">
        <f>1300*5099.6</f>
        <v>6629480.0000000009</v>
      </c>
      <c r="G1069" s="3">
        <f>300*5099.6</f>
        <v>1529880</v>
      </c>
      <c r="H1069" s="3">
        <f>400*5099.6</f>
        <v>2039840.0000000002</v>
      </c>
      <c r="I1069" s="3">
        <f>300*5099.6</f>
        <v>1529880</v>
      </c>
      <c r="J1069" s="3">
        <f>350*0</f>
        <v>0</v>
      </c>
      <c r="K1069" s="4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850000</v>
      </c>
      <c r="V1069" s="6" t="e">
        <f t="shared" si="309"/>
        <v>#DIV/0!</v>
      </c>
    </row>
    <row r="1070" spans="1:258" ht="25.15" customHeight="1" x14ac:dyDescent="0.25">
      <c r="A1070" s="53" t="s">
        <v>1931</v>
      </c>
      <c r="B1070" s="8" t="s">
        <v>544</v>
      </c>
      <c r="C1070" s="2">
        <f t="shared" si="307"/>
        <v>12693000</v>
      </c>
      <c r="D1070" s="3">
        <f t="shared" ref="D1070" si="310">SUM(E1070:J1070)</f>
        <v>12693000</v>
      </c>
      <c r="E1070" s="3">
        <f>700*4231</f>
        <v>2961700</v>
      </c>
      <c r="F1070" s="3">
        <f>1300*4231</f>
        <v>5500300</v>
      </c>
      <c r="G1070" s="3">
        <f>300*4231</f>
        <v>1269300</v>
      </c>
      <c r="H1070" s="3">
        <f>400*4231</f>
        <v>1692400</v>
      </c>
      <c r="I1070" s="3">
        <f>300*4231</f>
        <v>1269300</v>
      </c>
      <c r="J1070" s="3">
        <v>0</v>
      </c>
      <c r="K1070" s="11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3">
        <v>0</v>
      </c>
      <c r="S1070" s="5">
        <v>0</v>
      </c>
      <c r="T1070" s="5">
        <v>0</v>
      </c>
      <c r="U1070" s="5">
        <v>0</v>
      </c>
      <c r="V1070" s="6" t="e">
        <f t="shared" si="309"/>
        <v>#DIV/0!</v>
      </c>
    </row>
    <row r="1071" spans="1:258" ht="25.15" customHeight="1" x14ac:dyDescent="0.25">
      <c r="A1071" s="53" t="s">
        <v>1932</v>
      </c>
      <c r="B1071" s="8" t="s">
        <v>371</v>
      </c>
      <c r="C1071" s="2">
        <f t="shared" si="307"/>
        <v>4108500</v>
      </c>
      <c r="D1071" s="3">
        <f t="shared" si="308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622.5</v>
      </c>
      <c r="N1071" s="3">
        <f>M1071*6600</f>
        <v>4108500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  <c r="V1071" s="6">
        <f t="shared" si="309"/>
        <v>6600</v>
      </c>
    </row>
    <row r="1072" spans="1:258" ht="25.15" customHeight="1" x14ac:dyDescent="0.25">
      <c r="A1072" s="53" t="s">
        <v>1933</v>
      </c>
      <c r="B1072" s="23" t="s">
        <v>638</v>
      </c>
      <c r="C1072" s="2">
        <f t="shared" si="307"/>
        <v>6098400</v>
      </c>
      <c r="D1072" s="3">
        <f t="shared" si="308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11">
        <v>0</v>
      </c>
      <c r="L1072" s="5">
        <v>0</v>
      </c>
      <c r="M1072" s="5">
        <v>924</v>
      </c>
      <c r="N1072" s="3">
        <f>M1072*6600</f>
        <v>6098400</v>
      </c>
      <c r="O1072" s="5">
        <v>0</v>
      </c>
      <c r="P1072" s="5">
        <v>0</v>
      </c>
      <c r="Q1072" s="5">
        <v>0</v>
      </c>
      <c r="R1072" s="3">
        <f>Q1072*3000</f>
        <v>0</v>
      </c>
      <c r="S1072" s="5">
        <v>0</v>
      </c>
      <c r="T1072" s="5">
        <v>0</v>
      </c>
      <c r="U1072" s="5">
        <v>0</v>
      </c>
      <c r="V1072" s="6">
        <f t="shared" si="309"/>
        <v>6600</v>
      </c>
    </row>
    <row r="1073" spans="1:258" ht="25.15" customHeight="1" x14ac:dyDescent="0.25">
      <c r="A1073" s="53" t="s">
        <v>1934</v>
      </c>
      <c r="B1073" s="23" t="s">
        <v>734</v>
      </c>
      <c r="C1073" s="2">
        <f t="shared" si="307"/>
        <v>7854000</v>
      </c>
      <c r="D1073" s="3">
        <f t="shared" si="308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3">
        <v>1190</v>
      </c>
      <c r="N1073" s="3">
        <f t="shared" si="302"/>
        <v>7854000</v>
      </c>
      <c r="O1073" s="3">
        <v>0</v>
      </c>
      <c r="P1073" s="3">
        <v>0</v>
      </c>
      <c r="Q1073" s="3">
        <v>0</v>
      </c>
      <c r="R1073" s="3">
        <f t="shared" si="297"/>
        <v>0</v>
      </c>
      <c r="S1073" s="3">
        <v>0</v>
      </c>
      <c r="T1073" s="5">
        <v>0</v>
      </c>
      <c r="U1073" s="3">
        <v>0</v>
      </c>
      <c r="V1073" s="6">
        <f t="shared" si="309"/>
        <v>6600</v>
      </c>
    </row>
    <row r="1074" spans="1:258" ht="25.15" customHeight="1" x14ac:dyDescent="0.25">
      <c r="A1074" s="53" t="s">
        <v>1935</v>
      </c>
      <c r="B1074" s="23" t="s">
        <v>735</v>
      </c>
      <c r="C1074" s="2">
        <f t="shared" si="307"/>
        <v>7854000</v>
      </c>
      <c r="D1074" s="3">
        <f t="shared" si="308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4">
        <v>0</v>
      </c>
      <c r="L1074" s="3">
        <v>0</v>
      </c>
      <c r="M1074" s="3">
        <v>1190</v>
      </c>
      <c r="N1074" s="3">
        <f t="shared" si="302"/>
        <v>7854000</v>
      </c>
      <c r="O1074" s="3">
        <v>0</v>
      </c>
      <c r="P1074" s="3">
        <v>0</v>
      </c>
      <c r="Q1074" s="3">
        <v>0</v>
      </c>
      <c r="R1074" s="3">
        <f t="shared" si="297"/>
        <v>0</v>
      </c>
      <c r="S1074" s="3">
        <v>0</v>
      </c>
      <c r="T1074" s="5">
        <v>0</v>
      </c>
      <c r="U1074" s="3">
        <v>0</v>
      </c>
      <c r="V1074" s="6">
        <f t="shared" si="309"/>
        <v>6600</v>
      </c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7"/>
      <c r="BF1074" s="17"/>
      <c r="BG1074" s="17"/>
      <c r="BH1074" s="17"/>
      <c r="BI1074" s="17"/>
      <c r="BJ1074" s="17"/>
      <c r="BK1074" s="17"/>
      <c r="BL1074" s="17"/>
      <c r="BM1074" s="17"/>
      <c r="BN1074" s="17"/>
      <c r="BO1074" s="17"/>
      <c r="BP1074" s="17"/>
      <c r="BQ1074" s="17"/>
      <c r="BR1074" s="17"/>
      <c r="BS1074" s="17"/>
      <c r="BT1074" s="17"/>
      <c r="BU1074" s="17"/>
      <c r="BV1074" s="17"/>
      <c r="BW1074" s="17"/>
      <c r="BX1074" s="17"/>
      <c r="BY1074" s="17"/>
      <c r="BZ1074" s="17"/>
      <c r="CA1074" s="17"/>
      <c r="CB1074" s="17"/>
      <c r="CC1074" s="17"/>
      <c r="CD1074" s="17"/>
      <c r="CE1074" s="17"/>
      <c r="CF1074" s="17"/>
      <c r="CG1074" s="17"/>
      <c r="CH1074" s="17"/>
      <c r="CI1074" s="17"/>
      <c r="CJ1074" s="17"/>
      <c r="CK1074" s="17"/>
      <c r="CL1074" s="17"/>
      <c r="CM1074" s="17"/>
      <c r="CN1074" s="17"/>
      <c r="CO1074" s="17"/>
      <c r="CP1074" s="17"/>
      <c r="CQ1074" s="17"/>
      <c r="CR1074" s="17"/>
      <c r="CS1074" s="17"/>
      <c r="CT1074" s="17"/>
      <c r="CU1074" s="17"/>
      <c r="CV1074" s="17"/>
      <c r="CW1074" s="17"/>
      <c r="CX1074" s="17"/>
      <c r="CY1074" s="17"/>
      <c r="CZ1074" s="17"/>
      <c r="DA1074" s="17"/>
      <c r="DB1074" s="17"/>
      <c r="DC1074" s="17"/>
      <c r="DD1074" s="17"/>
      <c r="DE1074" s="17"/>
      <c r="DF1074" s="17"/>
      <c r="DG1074" s="17"/>
      <c r="DH1074" s="17"/>
      <c r="DI1074" s="17"/>
      <c r="DJ1074" s="17"/>
      <c r="DK1074" s="17"/>
      <c r="DL1074" s="17"/>
      <c r="DM1074" s="17"/>
      <c r="DN1074" s="17"/>
      <c r="DO1074" s="17"/>
      <c r="DP1074" s="17"/>
      <c r="DQ1074" s="17"/>
      <c r="DR1074" s="17"/>
      <c r="DS1074" s="17"/>
      <c r="DT1074" s="17"/>
      <c r="DU1074" s="17"/>
      <c r="DV1074" s="17"/>
      <c r="DW1074" s="17"/>
      <c r="DX1074" s="17"/>
      <c r="DY1074" s="17"/>
      <c r="DZ1074" s="17"/>
      <c r="EA1074" s="17"/>
      <c r="EB1074" s="17"/>
      <c r="EC1074" s="17"/>
      <c r="ED1074" s="17"/>
      <c r="EE1074" s="17"/>
      <c r="EF1074" s="17"/>
      <c r="EG1074" s="17"/>
      <c r="EH1074" s="17"/>
      <c r="EI1074" s="17"/>
      <c r="EJ1074" s="17"/>
      <c r="EK1074" s="17"/>
      <c r="EL1074" s="17"/>
      <c r="EM1074" s="17"/>
      <c r="EN1074" s="17"/>
      <c r="EO1074" s="17"/>
      <c r="EP1074" s="17"/>
      <c r="EQ1074" s="17"/>
      <c r="ER1074" s="17"/>
      <c r="ES1074" s="17"/>
      <c r="ET1074" s="17"/>
      <c r="EU1074" s="17"/>
      <c r="EV1074" s="17"/>
      <c r="EW1074" s="17"/>
      <c r="EX1074" s="17"/>
      <c r="EY1074" s="17"/>
      <c r="EZ1074" s="17"/>
      <c r="FA1074" s="17"/>
      <c r="FB1074" s="17"/>
      <c r="FC1074" s="17"/>
      <c r="FD1074" s="17"/>
      <c r="FE1074" s="17"/>
      <c r="FF1074" s="17"/>
      <c r="FG1074" s="17"/>
      <c r="FH1074" s="17"/>
      <c r="FI1074" s="17"/>
      <c r="FJ1074" s="17"/>
      <c r="FK1074" s="17"/>
      <c r="FL1074" s="17"/>
      <c r="FM1074" s="17"/>
      <c r="FN1074" s="17"/>
      <c r="FO1074" s="17"/>
      <c r="FP1074" s="17"/>
      <c r="FQ1074" s="17"/>
      <c r="FR1074" s="17"/>
      <c r="FS1074" s="17"/>
      <c r="FT1074" s="17"/>
      <c r="FU1074" s="17"/>
      <c r="FV1074" s="17"/>
      <c r="FW1074" s="17"/>
      <c r="FX1074" s="17"/>
      <c r="FY1074" s="17"/>
      <c r="FZ1074" s="17"/>
      <c r="GA1074" s="17"/>
      <c r="GB1074" s="17"/>
      <c r="GC1074" s="17"/>
      <c r="GD1074" s="17"/>
      <c r="GE1074" s="17"/>
      <c r="GF1074" s="17"/>
      <c r="GG1074" s="17"/>
      <c r="GH1074" s="17"/>
      <c r="GI1074" s="17"/>
      <c r="GJ1074" s="17"/>
      <c r="GK1074" s="17"/>
      <c r="GL1074" s="17"/>
      <c r="GM1074" s="17"/>
      <c r="GN1074" s="17"/>
      <c r="GO1074" s="17"/>
      <c r="GP1074" s="17"/>
      <c r="GQ1074" s="17"/>
      <c r="GR1074" s="17"/>
      <c r="GS1074" s="17"/>
      <c r="GT1074" s="17"/>
      <c r="GU1074" s="17"/>
      <c r="GV1074" s="17"/>
      <c r="GW1074" s="17"/>
      <c r="GX1074" s="17"/>
      <c r="GY1074" s="17"/>
      <c r="GZ1074" s="17"/>
      <c r="HA1074" s="17"/>
      <c r="HB1074" s="17"/>
      <c r="HC1074" s="17"/>
      <c r="HD1074" s="17"/>
      <c r="HE1074" s="17"/>
      <c r="HF1074" s="17"/>
      <c r="HG1074" s="17"/>
      <c r="HH1074" s="17"/>
      <c r="HI1074" s="17"/>
      <c r="HJ1074" s="17"/>
      <c r="HK1074" s="17"/>
      <c r="HL1074" s="17"/>
      <c r="HM1074" s="17"/>
      <c r="HN1074" s="17"/>
      <c r="HO1074" s="17"/>
      <c r="HP1074" s="17"/>
      <c r="HQ1074" s="17"/>
      <c r="HR1074" s="17"/>
      <c r="HS1074" s="17"/>
      <c r="HT1074" s="17"/>
      <c r="HU1074" s="17"/>
      <c r="HV1074" s="17"/>
      <c r="HW1074" s="17"/>
      <c r="HX1074" s="17"/>
      <c r="HY1074" s="17"/>
      <c r="HZ1074" s="17"/>
      <c r="IA1074" s="17"/>
      <c r="IB1074" s="17"/>
      <c r="IC1074" s="17"/>
      <c r="ID1074" s="17"/>
      <c r="IE1074" s="17"/>
      <c r="IF1074" s="17"/>
      <c r="IG1074" s="17"/>
      <c r="IH1074" s="17"/>
      <c r="II1074" s="17"/>
      <c r="IJ1074" s="17"/>
      <c r="IK1074" s="17"/>
      <c r="IL1074" s="17"/>
      <c r="IM1074" s="17"/>
      <c r="IN1074" s="17"/>
      <c r="IO1074" s="17"/>
      <c r="IP1074" s="17"/>
      <c r="IQ1074" s="17"/>
      <c r="IR1074" s="17"/>
      <c r="IS1074" s="17"/>
      <c r="IT1074" s="17"/>
      <c r="IU1074" s="17"/>
      <c r="IV1074" s="17"/>
      <c r="IW1074" s="17"/>
      <c r="IX1074" s="17"/>
    </row>
    <row r="1075" spans="1:258" ht="25.15" customHeight="1" x14ac:dyDescent="0.25">
      <c r="A1075" s="53" t="s">
        <v>1936</v>
      </c>
      <c r="B1075" s="23" t="s">
        <v>733</v>
      </c>
      <c r="C1075" s="2">
        <f t="shared" si="305"/>
        <v>5973000</v>
      </c>
      <c r="D1075" s="3">
        <f t="shared" si="304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4">
        <v>0</v>
      </c>
      <c r="L1075" s="3">
        <v>0</v>
      </c>
      <c r="M1075" s="3">
        <v>905</v>
      </c>
      <c r="N1075" s="3">
        <f t="shared" si="302"/>
        <v>5973000</v>
      </c>
      <c r="O1075" s="3">
        <v>0</v>
      </c>
      <c r="P1075" s="3">
        <v>0</v>
      </c>
      <c r="Q1075" s="3">
        <v>0</v>
      </c>
      <c r="R1075" s="3">
        <f t="shared" si="297"/>
        <v>0</v>
      </c>
      <c r="S1075" s="3">
        <v>0</v>
      </c>
      <c r="T1075" s="5">
        <v>0</v>
      </c>
      <c r="U1075" s="3">
        <v>0</v>
      </c>
      <c r="V1075" s="6">
        <f t="shared" si="303"/>
        <v>6600</v>
      </c>
    </row>
    <row r="1076" spans="1:258" ht="25.15" customHeight="1" x14ac:dyDescent="0.25">
      <c r="A1076" s="53" t="s">
        <v>1937</v>
      </c>
      <c r="B1076" s="8" t="s">
        <v>396</v>
      </c>
      <c r="C1076" s="2">
        <f>D1076+L1076+N1076+P1076+R1076+S1076+T1076+U1076</f>
        <v>6291056</v>
      </c>
      <c r="D1076" s="3">
        <f>SUM(E1076:J1076)</f>
        <v>1291056</v>
      </c>
      <c r="E1076" s="5">
        <f>700*496.56</f>
        <v>347592</v>
      </c>
      <c r="F1076" s="5">
        <f>1300*496.56</f>
        <v>645528</v>
      </c>
      <c r="G1076" s="5">
        <f>300*496.56</f>
        <v>148968</v>
      </c>
      <c r="H1076" s="5">
        <f>400*0</f>
        <v>0</v>
      </c>
      <c r="I1076" s="5">
        <f>300*496.56</f>
        <v>148968</v>
      </c>
      <c r="J1076" s="5">
        <f>350*0</f>
        <v>0</v>
      </c>
      <c r="K1076" s="4">
        <v>0</v>
      </c>
      <c r="L1076" s="3">
        <v>0</v>
      </c>
      <c r="M1076" s="3">
        <v>500</v>
      </c>
      <c r="N1076" s="3">
        <f>M1076*6600</f>
        <v>3300000</v>
      </c>
      <c r="O1076" s="3">
        <v>0</v>
      </c>
      <c r="P1076" s="3">
        <v>0</v>
      </c>
      <c r="Q1076" s="3">
        <v>500</v>
      </c>
      <c r="R1076" s="3">
        <f>Q1076*3200</f>
        <v>1600000</v>
      </c>
      <c r="S1076" s="3">
        <v>0</v>
      </c>
      <c r="T1076" s="5">
        <v>0</v>
      </c>
      <c r="U1076" s="3">
        <v>100000</v>
      </c>
      <c r="V1076" s="6">
        <f>N1076/M1076</f>
        <v>6600</v>
      </c>
    </row>
    <row r="1077" spans="1:258" ht="24.6" customHeight="1" x14ac:dyDescent="0.25">
      <c r="A1077" s="53" t="s">
        <v>1938</v>
      </c>
      <c r="B1077" s="8" t="s">
        <v>639</v>
      </c>
      <c r="C1077" s="2">
        <f t="shared" ref="C1077:C1080" si="311">D1077+L1077+N1077+P1077+R1077+S1077+T1077+U1077</f>
        <v>4151100</v>
      </c>
      <c r="D1077" s="3">
        <f t="shared" ref="D1077:D1080" si="312">SUM(E1077:J1077)</f>
        <v>4151100</v>
      </c>
      <c r="E1077" s="3">
        <f>700*1383.7</f>
        <v>968590</v>
      </c>
      <c r="F1077" s="3">
        <f>1300*1383.7</f>
        <v>1798810</v>
      </c>
      <c r="G1077" s="3">
        <f>300*1383.7</f>
        <v>415110</v>
      </c>
      <c r="H1077" s="3">
        <f>400*1383.7</f>
        <v>553480</v>
      </c>
      <c r="I1077" s="3">
        <f>300*1383.7</f>
        <v>415110</v>
      </c>
      <c r="J1077" s="3">
        <v>0</v>
      </c>
      <c r="K1077" s="11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3">
        <f t="shared" ref="R1077:R1080" si="313">Q1077*3000</f>
        <v>0</v>
      </c>
      <c r="S1077" s="5">
        <v>0</v>
      </c>
      <c r="T1077" s="5">
        <v>0</v>
      </c>
      <c r="U1077" s="5">
        <v>0</v>
      </c>
      <c r="V1077" s="6" t="e">
        <f t="shared" ref="V1077:V1080" si="314">N1077/M1077</f>
        <v>#DIV/0!</v>
      </c>
    </row>
    <row r="1078" spans="1:258" ht="25.15" customHeight="1" x14ac:dyDescent="0.25">
      <c r="A1078" s="53" t="s">
        <v>1939</v>
      </c>
      <c r="B1078" s="8" t="s">
        <v>545</v>
      </c>
      <c r="C1078" s="2">
        <f t="shared" si="311"/>
        <v>7439159.9999999991</v>
      </c>
      <c r="D1078" s="3">
        <f t="shared" si="312"/>
        <v>7439159.9999999991</v>
      </c>
      <c r="E1078" s="3">
        <f>700*2479.72</f>
        <v>1735803.9999999998</v>
      </c>
      <c r="F1078" s="3">
        <f>1300*2479.72</f>
        <v>3223635.9999999995</v>
      </c>
      <c r="G1078" s="3">
        <f>300*2479.72</f>
        <v>743915.99999999988</v>
      </c>
      <c r="H1078" s="3">
        <f>400*2479.72</f>
        <v>991887.99999999988</v>
      </c>
      <c r="I1078" s="3">
        <f>300*2479.72</f>
        <v>743915.99999999988</v>
      </c>
      <c r="J1078" s="3">
        <v>0</v>
      </c>
      <c r="K1078" s="11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3">
        <f t="shared" si="313"/>
        <v>0</v>
      </c>
      <c r="S1078" s="5">
        <v>0</v>
      </c>
      <c r="T1078" s="5">
        <v>0</v>
      </c>
      <c r="U1078" s="5">
        <v>0</v>
      </c>
      <c r="V1078" s="6" t="e">
        <f t="shared" si="314"/>
        <v>#DIV/0!</v>
      </c>
    </row>
    <row r="1079" spans="1:258" ht="25.15" customHeight="1" x14ac:dyDescent="0.25">
      <c r="A1079" s="53" t="s">
        <v>1940</v>
      </c>
      <c r="B1079" s="8" t="s">
        <v>640</v>
      </c>
      <c r="C1079" s="2">
        <f t="shared" si="311"/>
        <v>975869.99999999988</v>
      </c>
      <c r="D1079" s="3">
        <f t="shared" si="312"/>
        <v>975869.99999999988</v>
      </c>
      <c r="E1079" s="3">
        <f>700*1394.1</f>
        <v>975869.99999999988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11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3">
        <f t="shared" si="313"/>
        <v>0</v>
      </c>
      <c r="S1079" s="5">
        <v>0</v>
      </c>
      <c r="T1079" s="5">
        <v>0</v>
      </c>
      <c r="U1079" s="5">
        <v>0</v>
      </c>
      <c r="V1079" s="6" t="e">
        <f t="shared" si="314"/>
        <v>#DIV/0!</v>
      </c>
    </row>
    <row r="1080" spans="1:258" ht="25.15" customHeight="1" x14ac:dyDescent="0.25">
      <c r="A1080" s="53" t="s">
        <v>1941</v>
      </c>
      <c r="B1080" s="8" t="s">
        <v>641</v>
      </c>
      <c r="C1080" s="2">
        <f t="shared" si="311"/>
        <v>973455.00000000012</v>
      </c>
      <c r="D1080" s="3">
        <f t="shared" si="312"/>
        <v>973455.00000000012</v>
      </c>
      <c r="E1080" s="3">
        <f>700*1390.65</f>
        <v>973455.00000000012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11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3">
        <f t="shared" si="313"/>
        <v>0</v>
      </c>
      <c r="S1080" s="5">
        <v>0</v>
      </c>
      <c r="T1080" s="5">
        <v>0</v>
      </c>
      <c r="U1080" s="5">
        <v>0</v>
      </c>
      <c r="V1080" s="6" t="e">
        <f t="shared" si="314"/>
        <v>#DIV/0!</v>
      </c>
    </row>
    <row r="1081" spans="1:258" ht="25.15" customHeight="1" x14ac:dyDescent="0.25">
      <c r="A1081" s="53" t="s">
        <v>1942</v>
      </c>
      <c r="B1081" s="8" t="s">
        <v>736</v>
      </c>
      <c r="C1081" s="2">
        <f t="shared" si="305"/>
        <v>3381730</v>
      </c>
      <c r="D1081" s="3">
        <f t="shared" si="304"/>
        <v>3281730</v>
      </c>
      <c r="E1081" s="3">
        <f>700*1093.91</f>
        <v>765737</v>
      </c>
      <c r="F1081" s="3">
        <f>1300*1093.91</f>
        <v>1422083</v>
      </c>
      <c r="G1081" s="3">
        <f>300*1093.91</f>
        <v>328173</v>
      </c>
      <c r="H1081" s="3">
        <f>400*1093.91</f>
        <v>437564.00000000006</v>
      </c>
      <c r="I1081" s="3">
        <f>300*1093.91</f>
        <v>328173</v>
      </c>
      <c r="J1081" s="3">
        <v>0</v>
      </c>
      <c r="K1081" s="4">
        <v>0</v>
      </c>
      <c r="L1081" s="3">
        <v>0</v>
      </c>
      <c r="M1081" s="5">
        <v>0</v>
      </c>
      <c r="N1081" s="5">
        <v>0</v>
      </c>
      <c r="O1081" s="3">
        <v>0</v>
      </c>
      <c r="P1081" s="3">
        <v>0</v>
      </c>
      <c r="Q1081" s="3">
        <v>0</v>
      </c>
      <c r="R1081" s="3">
        <f t="shared" si="297"/>
        <v>0</v>
      </c>
      <c r="S1081" s="3">
        <v>0</v>
      </c>
      <c r="T1081" s="5">
        <v>0</v>
      </c>
      <c r="U1081" s="3">
        <v>100000</v>
      </c>
      <c r="V1081" s="6" t="e">
        <f t="shared" si="303"/>
        <v>#DIV/0!</v>
      </c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  <c r="BU1081" s="6"/>
      <c r="BV1081" s="6"/>
      <c r="BW1081" s="6"/>
      <c r="BX1081" s="6"/>
      <c r="BY1081" s="6"/>
      <c r="BZ1081" s="6"/>
      <c r="CA1081" s="6"/>
      <c r="CB1081" s="6"/>
      <c r="CC1081" s="6"/>
      <c r="CD1081" s="6"/>
      <c r="CE1081" s="6"/>
      <c r="CF1081" s="6"/>
      <c r="CG1081" s="6"/>
      <c r="CH1081" s="6"/>
      <c r="CI1081" s="6"/>
      <c r="CJ1081" s="6"/>
      <c r="CK1081" s="6"/>
      <c r="CL1081" s="6"/>
      <c r="CM1081" s="6"/>
      <c r="CN1081" s="6"/>
      <c r="CO1081" s="6"/>
      <c r="CP1081" s="6"/>
      <c r="CQ1081" s="6"/>
      <c r="CR1081" s="6"/>
      <c r="CS1081" s="6"/>
      <c r="CT1081" s="6"/>
      <c r="CU1081" s="6"/>
      <c r="CV1081" s="6"/>
      <c r="CW1081" s="6"/>
      <c r="CX1081" s="6"/>
      <c r="CY1081" s="6"/>
      <c r="CZ1081" s="6"/>
      <c r="DA1081" s="6"/>
      <c r="DB1081" s="6"/>
      <c r="DC1081" s="6"/>
      <c r="DD1081" s="6"/>
      <c r="DE1081" s="6"/>
      <c r="DF1081" s="6"/>
      <c r="DG1081" s="6"/>
      <c r="DH1081" s="6"/>
      <c r="DI1081" s="6"/>
      <c r="DJ1081" s="6"/>
      <c r="DK1081" s="6"/>
      <c r="DL1081" s="6"/>
      <c r="DM1081" s="6"/>
      <c r="DN1081" s="6"/>
      <c r="DO1081" s="6"/>
      <c r="DP1081" s="6"/>
      <c r="DQ1081" s="6"/>
      <c r="DR1081" s="6"/>
      <c r="DS1081" s="6"/>
      <c r="DT1081" s="6"/>
      <c r="DU1081" s="6"/>
      <c r="DV1081" s="6"/>
      <c r="DW1081" s="6"/>
      <c r="DX1081" s="6"/>
      <c r="DY1081" s="6"/>
      <c r="DZ1081" s="6"/>
      <c r="EA1081" s="6"/>
      <c r="EB1081" s="6"/>
      <c r="EC1081" s="6"/>
      <c r="ED1081" s="6"/>
      <c r="EE1081" s="6"/>
      <c r="EF1081" s="6"/>
      <c r="EG1081" s="6"/>
      <c r="EH1081" s="6"/>
      <c r="EI1081" s="6"/>
      <c r="EJ1081" s="6"/>
      <c r="EK1081" s="6"/>
      <c r="EL1081" s="6"/>
      <c r="EM1081" s="6"/>
      <c r="EN1081" s="6"/>
      <c r="EO1081" s="6"/>
      <c r="EP1081" s="6"/>
      <c r="EQ1081" s="6"/>
      <c r="ER1081" s="6"/>
      <c r="ES1081" s="6"/>
      <c r="ET1081" s="6"/>
      <c r="EU1081" s="6"/>
      <c r="EV1081" s="6"/>
      <c r="EW1081" s="6"/>
      <c r="EX1081" s="6"/>
      <c r="EY1081" s="6"/>
      <c r="EZ1081" s="6"/>
      <c r="FA1081" s="6"/>
      <c r="FB1081" s="6"/>
      <c r="FC1081" s="6"/>
      <c r="FD1081" s="6"/>
      <c r="FE1081" s="6"/>
      <c r="FF1081" s="6"/>
      <c r="FG1081" s="6"/>
      <c r="FH1081" s="6"/>
      <c r="FI1081" s="6"/>
      <c r="FJ1081" s="6"/>
      <c r="FK1081" s="6"/>
      <c r="FL1081" s="6"/>
      <c r="FM1081" s="6"/>
      <c r="FN1081" s="6"/>
      <c r="FO1081" s="6"/>
      <c r="FP1081" s="6"/>
      <c r="FQ1081" s="6"/>
      <c r="FR1081" s="6"/>
      <c r="FS1081" s="6"/>
      <c r="FT1081" s="6"/>
      <c r="FU1081" s="6"/>
      <c r="FV1081" s="6"/>
      <c r="FW1081" s="6"/>
      <c r="FX1081" s="6"/>
      <c r="FY1081" s="6"/>
      <c r="FZ1081" s="6"/>
      <c r="GA1081" s="6"/>
      <c r="GB1081" s="6"/>
      <c r="GC1081" s="6"/>
      <c r="GD1081" s="6"/>
      <c r="GE1081" s="6"/>
      <c r="GF1081" s="6"/>
      <c r="GG1081" s="6"/>
      <c r="GH1081" s="6"/>
      <c r="GI1081" s="6"/>
      <c r="GJ1081" s="6"/>
      <c r="GK1081" s="6"/>
      <c r="GL1081" s="6"/>
      <c r="GM1081" s="6"/>
      <c r="GN1081" s="6"/>
      <c r="GO1081" s="6"/>
      <c r="GP1081" s="6"/>
      <c r="GQ1081" s="6"/>
      <c r="GR1081" s="6"/>
      <c r="GS1081" s="6"/>
      <c r="GT1081" s="6"/>
      <c r="GU1081" s="6"/>
      <c r="GV1081" s="6"/>
      <c r="GW1081" s="6"/>
      <c r="GX1081" s="6"/>
      <c r="GY1081" s="6"/>
      <c r="GZ1081" s="6"/>
      <c r="HA1081" s="6"/>
      <c r="HB1081" s="6"/>
      <c r="HC1081" s="6"/>
      <c r="HD1081" s="6"/>
      <c r="HE1081" s="6"/>
      <c r="HF1081" s="6"/>
      <c r="HG1081" s="6"/>
      <c r="HH1081" s="6"/>
      <c r="HI1081" s="6"/>
      <c r="HJ1081" s="6"/>
      <c r="HK1081" s="6"/>
      <c r="HL1081" s="6"/>
      <c r="HM1081" s="6"/>
      <c r="HN1081" s="6"/>
      <c r="HO1081" s="6"/>
      <c r="HP1081" s="6"/>
      <c r="HQ1081" s="6"/>
      <c r="HR1081" s="6"/>
      <c r="HS1081" s="6"/>
      <c r="HT1081" s="6"/>
      <c r="HU1081" s="6"/>
      <c r="HV1081" s="6"/>
      <c r="HW1081" s="6"/>
      <c r="HX1081" s="6"/>
      <c r="HY1081" s="6"/>
      <c r="HZ1081" s="6"/>
      <c r="IA1081" s="6"/>
      <c r="IB1081" s="6"/>
      <c r="IC1081" s="6"/>
      <c r="ID1081" s="6"/>
      <c r="IE1081" s="6"/>
      <c r="IF1081" s="6"/>
      <c r="IG1081" s="6"/>
      <c r="IH1081" s="6"/>
      <c r="II1081" s="6"/>
      <c r="IJ1081" s="6"/>
      <c r="IK1081" s="6"/>
      <c r="IL1081" s="6"/>
      <c r="IM1081" s="6"/>
      <c r="IN1081" s="6"/>
      <c r="IO1081" s="6"/>
      <c r="IP1081" s="6"/>
      <c r="IQ1081" s="6"/>
      <c r="IR1081" s="6"/>
      <c r="IS1081" s="6"/>
      <c r="IT1081" s="6"/>
      <c r="IU1081" s="6"/>
      <c r="IV1081" s="6"/>
      <c r="IW1081" s="6"/>
      <c r="IX1081" s="6"/>
    </row>
    <row r="1082" spans="1:258" ht="25.15" customHeight="1" x14ac:dyDescent="0.25">
      <c r="A1082" s="53" t="s">
        <v>1943</v>
      </c>
      <c r="B1082" s="8" t="s">
        <v>737</v>
      </c>
      <c r="C1082" s="2">
        <f t="shared" si="305"/>
        <v>3564000</v>
      </c>
      <c r="D1082" s="3">
        <f t="shared" si="304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3">
        <v>540</v>
      </c>
      <c r="N1082" s="3">
        <f t="shared" ref="N1082:N1087" si="315">M1082*6600</f>
        <v>3564000</v>
      </c>
      <c r="O1082" s="3">
        <v>0</v>
      </c>
      <c r="P1082" s="3">
        <v>0</v>
      </c>
      <c r="Q1082" s="3">
        <v>0</v>
      </c>
      <c r="R1082" s="3">
        <f t="shared" si="297"/>
        <v>0</v>
      </c>
      <c r="S1082" s="3">
        <v>0</v>
      </c>
      <c r="T1082" s="5">
        <v>0</v>
      </c>
      <c r="U1082" s="3">
        <v>0</v>
      </c>
      <c r="V1082" s="6">
        <f t="shared" si="303"/>
        <v>6600</v>
      </c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  <c r="BO1082" s="17"/>
      <c r="BP1082" s="17"/>
      <c r="BQ1082" s="17"/>
      <c r="BR1082" s="17"/>
      <c r="BS1082" s="17"/>
      <c r="BT1082" s="17"/>
      <c r="BU1082" s="17"/>
      <c r="BV1082" s="17"/>
      <c r="BW1082" s="17"/>
      <c r="BX1082" s="17"/>
      <c r="BY1082" s="17"/>
      <c r="BZ1082" s="17"/>
      <c r="CA1082" s="17"/>
      <c r="CB1082" s="17"/>
      <c r="CC1082" s="17"/>
      <c r="CD1082" s="17"/>
      <c r="CE1082" s="17"/>
      <c r="CF1082" s="17"/>
      <c r="CG1082" s="17"/>
      <c r="CH1082" s="17"/>
      <c r="CI1082" s="17"/>
      <c r="CJ1082" s="17"/>
      <c r="CK1082" s="17"/>
      <c r="CL1082" s="17"/>
      <c r="CM1082" s="17"/>
      <c r="CN1082" s="17"/>
      <c r="CO1082" s="17"/>
      <c r="CP1082" s="17"/>
      <c r="CQ1082" s="17"/>
      <c r="CR1082" s="17"/>
      <c r="CS1082" s="17"/>
      <c r="CT1082" s="17"/>
      <c r="CU1082" s="17"/>
      <c r="CV1082" s="17"/>
      <c r="CW1082" s="17"/>
      <c r="CX1082" s="17"/>
      <c r="CY1082" s="17"/>
      <c r="CZ1082" s="17"/>
      <c r="DA1082" s="17"/>
      <c r="DB1082" s="17"/>
      <c r="DC1082" s="17"/>
      <c r="DD1082" s="17"/>
      <c r="DE1082" s="17"/>
      <c r="DF1082" s="17"/>
      <c r="DG1082" s="17"/>
      <c r="DH1082" s="17"/>
      <c r="DI1082" s="17"/>
      <c r="DJ1082" s="17"/>
      <c r="DK1082" s="17"/>
      <c r="DL1082" s="17"/>
      <c r="DM1082" s="17"/>
      <c r="DN1082" s="17"/>
      <c r="DO1082" s="17"/>
      <c r="DP1082" s="17"/>
      <c r="DQ1082" s="17"/>
      <c r="DR1082" s="17"/>
      <c r="DS1082" s="17"/>
      <c r="DT1082" s="17"/>
      <c r="DU1082" s="17"/>
      <c r="DV1082" s="17"/>
      <c r="DW1082" s="17"/>
      <c r="DX1082" s="17"/>
      <c r="DY1082" s="17"/>
      <c r="DZ1082" s="17"/>
      <c r="EA1082" s="17"/>
      <c r="EB1082" s="17"/>
      <c r="EC1082" s="17"/>
      <c r="ED1082" s="17"/>
      <c r="EE1082" s="17"/>
      <c r="EF1082" s="17"/>
      <c r="EG1082" s="17"/>
      <c r="EH1082" s="17"/>
      <c r="EI1082" s="17"/>
      <c r="EJ1082" s="17"/>
      <c r="EK1082" s="17"/>
      <c r="EL1082" s="17"/>
      <c r="EM1082" s="17"/>
      <c r="EN1082" s="17"/>
      <c r="EO1082" s="17"/>
      <c r="EP1082" s="17"/>
      <c r="EQ1082" s="17"/>
      <c r="ER1082" s="17"/>
      <c r="ES1082" s="17"/>
      <c r="ET1082" s="17"/>
      <c r="EU1082" s="17"/>
      <c r="EV1082" s="17"/>
      <c r="EW1082" s="17"/>
      <c r="EX1082" s="17"/>
      <c r="EY1082" s="17"/>
      <c r="EZ1082" s="17"/>
      <c r="FA1082" s="17"/>
      <c r="FB1082" s="17"/>
      <c r="FC1082" s="17"/>
      <c r="FD1082" s="17"/>
      <c r="FE1082" s="17"/>
      <c r="FF1082" s="17"/>
      <c r="FG1082" s="17"/>
      <c r="FH1082" s="17"/>
      <c r="FI1082" s="17"/>
      <c r="FJ1082" s="17"/>
      <c r="FK1082" s="17"/>
      <c r="FL1082" s="17"/>
      <c r="FM1082" s="17"/>
      <c r="FN1082" s="17"/>
      <c r="FO1082" s="17"/>
      <c r="FP1082" s="17"/>
      <c r="FQ1082" s="17"/>
      <c r="FR1082" s="17"/>
      <c r="FS1082" s="17"/>
      <c r="FT1082" s="17"/>
      <c r="FU1082" s="17"/>
      <c r="FV1082" s="17"/>
      <c r="FW1082" s="17"/>
      <c r="FX1082" s="17"/>
      <c r="FY1082" s="17"/>
      <c r="FZ1082" s="17"/>
      <c r="GA1082" s="17"/>
      <c r="GB1082" s="17"/>
      <c r="GC1082" s="17"/>
      <c r="GD1082" s="17"/>
      <c r="GE1082" s="17"/>
      <c r="GF1082" s="17"/>
      <c r="GG1082" s="17"/>
      <c r="GH1082" s="17"/>
      <c r="GI1082" s="17"/>
      <c r="GJ1082" s="17"/>
      <c r="GK1082" s="17"/>
      <c r="GL1082" s="17"/>
      <c r="GM1082" s="17"/>
      <c r="GN1082" s="17"/>
      <c r="GO1082" s="17"/>
      <c r="GP1082" s="17"/>
      <c r="GQ1082" s="17"/>
      <c r="GR1082" s="17"/>
      <c r="GS1082" s="17"/>
      <c r="GT1082" s="17"/>
      <c r="GU1082" s="17"/>
      <c r="GV1082" s="17"/>
      <c r="GW1082" s="17"/>
      <c r="GX1082" s="17"/>
      <c r="GY1082" s="17"/>
      <c r="GZ1082" s="17"/>
      <c r="HA1082" s="17"/>
      <c r="HB1082" s="17"/>
      <c r="HC1082" s="17"/>
      <c r="HD1082" s="17"/>
      <c r="HE1082" s="17"/>
      <c r="HF1082" s="17"/>
      <c r="HG1082" s="17"/>
      <c r="HH1082" s="17"/>
      <c r="HI1082" s="17"/>
      <c r="HJ1082" s="17"/>
      <c r="HK1082" s="17"/>
      <c r="HL1082" s="17"/>
      <c r="HM1082" s="17"/>
      <c r="HN1082" s="17"/>
      <c r="HO1082" s="17"/>
      <c r="HP1082" s="17"/>
      <c r="HQ1082" s="17"/>
      <c r="HR1082" s="17"/>
      <c r="HS1082" s="17"/>
      <c r="HT1082" s="17"/>
      <c r="HU1082" s="17"/>
      <c r="HV1082" s="17"/>
      <c r="HW1082" s="17"/>
      <c r="HX1082" s="17"/>
      <c r="HY1082" s="17"/>
      <c r="HZ1082" s="17"/>
      <c r="IA1082" s="17"/>
      <c r="IB1082" s="17"/>
      <c r="IC1082" s="17"/>
      <c r="ID1082" s="17"/>
      <c r="IE1082" s="17"/>
      <c r="IF1082" s="17"/>
      <c r="IG1082" s="17"/>
      <c r="IH1082" s="17"/>
      <c r="II1082" s="17"/>
      <c r="IJ1082" s="17"/>
      <c r="IK1082" s="17"/>
      <c r="IL1082" s="17"/>
      <c r="IM1082" s="17"/>
      <c r="IN1082" s="17"/>
      <c r="IO1082" s="17"/>
      <c r="IP1082" s="17"/>
      <c r="IQ1082" s="17"/>
      <c r="IR1082" s="17"/>
      <c r="IS1082" s="17"/>
      <c r="IT1082" s="17"/>
      <c r="IU1082" s="17"/>
      <c r="IV1082" s="17"/>
      <c r="IW1082" s="17"/>
      <c r="IX1082" s="17"/>
    </row>
    <row r="1083" spans="1:258" ht="25.15" customHeight="1" x14ac:dyDescent="0.25">
      <c r="A1083" s="53" t="s">
        <v>1944</v>
      </c>
      <c r="B1083" s="8" t="s">
        <v>546</v>
      </c>
      <c r="C1083" s="2">
        <f t="shared" si="305"/>
        <v>1815000</v>
      </c>
      <c r="D1083" s="3">
        <f t="shared" ref="D1083:D1090" si="316">SUM(E1083:J1083)</f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11">
        <v>0</v>
      </c>
      <c r="L1083" s="5">
        <v>0</v>
      </c>
      <c r="M1083" s="5">
        <v>275</v>
      </c>
      <c r="N1083" s="3">
        <f t="shared" si="315"/>
        <v>1815000</v>
      </c>
      <c r="O1083" s="5">
        <v>0</v>
      </c>
      <c r="P1083" s="5">
        <v>0</v>
      </c>
      <c r="Q1083" s="5">
        <v>0</v>
      </c>
      <c r="R1083" s="3">
        <f t="shared" si="297"/>
        <v>0</v>
      </c>
      <c r="S1083" s="5">
        <v>0</v>
      </c>
      <c r="T1083" s="5">
        <v>0</v>
      </c>
      <c r="U1083" s="5">
        <v>0</v>
      </c>
      <c r="V1083" s="6">
        <f t="shared" si="303"/>
        <v>6600</v>
      </c>
    </row>
    <row r="1084" spans="1:258" ht="25.15" customHeight="1" x14ac:dyDescent="0.25">
      <c r="A1084" s="53" t="s">
        <v>1945</v>
      </c>
      <c r="B1084" s="8" t="s">
        <v>643</v>
      </c>
      <c r="C1084" s="2">
        <f t="shared" ref="C1084:C1090" si="317">D1084+L1084+N1084+P1084+R1084+S1084+T1084+U1084</f>
        <v>5979600</v>
      </c>
      <c r="D1084" s="3">
        <f>SUM(E1084:J1084)</f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11">
        <v>0</v>
      </c>
      <c r="L1084" s="5">
        <v>0</v>
      </c>
      <c r="M1084" s="5">
        <v>906</v>
      </c>
      <c r="N1084" s="3">
        <f t="shared" si="315"/>
        <v>5979600</v>
      </c>
      <c r="O1084" s="5">
        <v>0</v>
      </c>
      <c r="P1084" s="5">
        <v>0</v>
      </c>
      <c r="Q1084" s="5">
        <v>0</v>
      </c>
      <c r="R1084" s="3">
        <f>Q1084*3000</f>
        <v>0</v>
      </c>
      <c r="S1084" s="5">
        <v>0</v>
      </c>
      <c r="T1084" s="5">
        <v>0</v>
      </c>
      <c r="U1084" s="5">
        <v>0</v>
      </c>
      <c r="V1084" s="6">
        <f t="shared" ref="V1084:V1090" si="318">N1084/M1084</f>
        <v>6600</v>
      </c>
    </row>
    <row r="1085" spans="1:258" ht="25.15" customHeight="1" x14ac:dyDescent="0.25">
      <c r="A1085" s="53" t="s">
        <v>1946</v>
      </c>
      <c r="B1085" s="8" t="s">
        <v>548</v>
      </c>
      <c r="C1085" s="2">
        <f t="shared" si="317"/>
        <v>4187564</v>
      </c>
      <c r="D1085" s="3">
        <f>SUM(E1085:J1085)</f>
        <v>1115764</v>
      </c>
      <c r="E1085" s="3">
        <f>700*429.14</f>
        <v>300398</v>
      </c>
      <c r="F1085" s="3">
        <f>1300*429.14</f>
        <v>557882</v>
      </c>
      <c r="G1085" s="3">
        <f>300*429.14</f>
        <v>128742</v>
      </c>
      <c r="H1085" s="3">
        <v>0</v>
      </c>
      <c r="I1085" s="3">
        <f>300*429.14</f>
        <v>128742</v>
      </c>
      <c r="J1085" s="3">
        <v>0</v>
      </c>
      <c r="K1085" s="11">
        <v>0</v>
      </c>
      <c r="L1085" s="5">
        <v>0</v>
      </c>
      <c r="M1085" s="5">
        <v>251</v>
      </c>
      <c r="N1085" s="3">
        <f t="shared" si="315"/>
        <v>1656600</v>
      </c>
      <c r="O1085" s="5">
        <v>0</v>
      </c>
      <c r="P1085" s="5">
        <v>0</v>
      </c>
      <c r="Q1085" s="5">
        <v>411</v>
      </c>
      <c r="R1085" s="3">
        <f>Q1085*3200</f>
        <v>1315200</v>
      </c>
      <c r="S1085" s="5">
        <v>0</v>
      </c>
      <c r="T1085" s="5">
        <v>0</v>
      </c>
      <c r="U1085" s="5">
        <v>100000</v>
      </c>
      <c r="V1085" s="6">
        <f t="shared" si="318"/>
        <v>6600</v>
      </c>
    </row>
    <row r="1086" spans="1:258" ht="25.15" customHeight="1" x14ac:dyDescent="0.25">
      <c r="A1086" s="53" t="s">
        <v>1947</v>
      </c>
      <c r="B1086" s="8" t="s">
        <v>1204</v>
      </c>
      <c r="C1086" s="2">
        <f t="shared" si="317"/>
        <v>300000</v>
      </c>
      <c r="D1086" s="3">
        <f t="shared" si="316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5">
        <v>0</v>
      </c>
      <c r="N1086" s="3">
        <f t="shared" si="315"/>
        <v>0</v>
      </c>
      <c r="O1086" s="3">
        <v>0</v>
      </c>
      <c r="P1086" s="3">
        <v>0</v>
      </c>
      <c r="Q1086" s="3">
        <v>0</v>
      </c>
      <c r="R1086" s="3">
        <f t="shared" si="297"/>
        <v>0</v>
      </c>
      <c r="S1086" s="3">
        <v>0</v>
      </c>
      <c r="T1086" s="5">
        <v>0</v>
      </c>
      <c r="U1086" s="3">
        <v>300000</v>
      </c>
      <c r="V1086" s="6" t="e">
        <f t="shared" si="318"/>
        <v>#DIV/0!</v>
      </c>
    </row>
    <row r="1087" spans="1:258" ht="25.15" customHeight="1" x14ac:dyDescent="0.25">
      <c r="A1087" s="53" t="s">
        <v>1948</v>
      </c>
      <c r="B1087" s="8" t="s">
        <v>740</v>
      </c>
      <c r="C1087" s="2">
        <f t="shared" si="317"/>
        <v>1742400</v>
      </c>
      <c r="D1087" s="3">
        <f t="shared" si="316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5">
        <v>264</v>
      </c>
      <c r="N1087" s="3">
        <f t="shared" si="315"/>
        <v>1742400</v>
      </c>
      <c r="O1087" s="3">
        <v>0</v>
      </c>
      <c r="P1087" s="3">
        <v>0</v>
      </c>
      <c r="Q1087" s="3">
        <v>0</v>
      </c>
      <c r="R1087" s="3">
        <f t="shared" si="297"/>
        <v>0</v>
      </c>
      <c r="S1087" s="3">
        <v>0</v>
      </c>
      <c r="T1087" s="5">
        <v>0</v>
      </c>
      <c r="U1087" s="3">
        <v>0</v>
      </c>
      <c r="V1087" s="6">
        <f t="shared" si="318"/>
        <v>6600</v>
      </c>
    </row>
    <row r="1088" spans="1:258" ht="25.15" customHeight="1" x14ac:dyDescent="0.25">
      <c r="A1088" s="53" t="s">
        <v>1949</v>
      </c>
      <c r="B1088" s="8" t="s">
        <v>741</v>
      </c>
      <c r="C1088" s="2">
        <f t="shared" si="317"/>
        <v>1344000</v>
      </c>
      <c r="D1088" s="3">
        <f t="shared" si="316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11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420</v>
      </c>
      <c r="R1088" s="3">
        <f t="shared" si="297"/>
        <v>1344000</v>
      </c>
      <c r="S1088" s="5">
        <v>0</v>
      </c>
      <c r="T1088" s="5">
        <v>0</v>
      </c>
      <c r="U1088" s="5">
        <v>0</v>
      </c>
      <c r="V1088" s="6" t="e">
        <f t="shared" si="318"/>
        <v>#DIV/0!</v>
      </c>
    </row>
    <row r="1089" spans="1:258" ht="25.15" customHeight="1" x14ac:dyDescent="0.25">
      <c r="A1089" s="53" t="s">
        <v>1950</v>
      </c>
      <c r="B1089" s="8" t="s">
        <v>742</v>
      </c>
      <c r="C1089" s="2">
        <f t="shared" si="317"/>
        <v>1344000</v>
      </c>
      <c r="D1089" s="3">
        <f t="shared" si="316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5">
        <v>0</v>
      </c>
      <c r="N1089" s="5">
        <v>0</v>
      </c>
      <c r="O1089" s="3">
        <v>0</v>
      </c>
      <c r="P1089" s="3">
        <v>0</v>
      </c>
      <c r="Q1089" s="3">
        <v>420</v>
      </c>
      <c r="R1089" s="3">
        <f t="shared" si="297"/>
        <v>1344000</v>
      </c>
      <c r="S1089" s="3">
        <v>0</v>
      </c>
      <c r="T1089" s="5">
        <v>0</v>
      </c>
      <c r="U1089" s="3">
        <v>0</v>
      </c>
      <c r="V1089" s="6" t="e">
        <f t="shared" si="318"/>
        <v>#DIV/0!</v>
      </c>
      <c r="W1089" s="30"/>
      <c r="X1089" s="30"/>
      <c r="Y1089" s="30"/>
      <c r="Z1089" s="30"/>
      <c r="AA1089" s="30"/>
      <c r="AB1089" s="30"/>
      <c r="AC1089" s="30"/>
      <c r="AD1089" s="30"/>
      <c r="AE1089" s="30"/>
      <c r="AF1089" s="30"/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  <c r="AV1089" s="30"/>
      <c r="AW1089" s="30"/>
      <c r="AX1089" s="30"/>
      <c r="AY1089" s="30"/>
      <c r="AZ1089" s="30"/>
      <c r="BA1089" s="30"/>
      <c r="BB1089" s="30"/>
      <c r="BC1089" s="30"/>
      <c r="BD1089" s="30"/>
      <c r="BE1089" s="30"/>
      <c r="BF1089" s="30"/>
      <c r="BG1089" s="30"/>
      <c r="BH1089" s="30"/>
      <c r="BI1089" s="30"/>
      <c r="BJ1089" s="30"/>
      <c r="BK1089" s="30"/>
      <c r="BL1089" s="30"/>
      <c r="BM1089" s="30"/>
      <c r="BN1089" s="30"/>
      <c r="BO1089" s="30"/>
      <c r="BP1089" s="30"/>
      <c r="BQ1089" s="30"/>
      <c r="BR1089" s="30"/>
      <c r="BS1089" s="30"/>
      <c r="BT1089" s="30"/>
      <c r="BU1089" s="30"/>
      <c r="BV1089" s="30"/>
      <c r="BW1089" s="30"/>
      <c r="BX1089" s="30"/>
      <c r="BY1089" s="30"/>
      <c r="BZ1089" s="30"/>
      <c r="CA1089" s="30"/>
      <c r="CB1089" s="30"/>
      <c r="CC1089" s="30"/>
      <c r="CD1089" s="30"/>
      <c r="CE1089" s="30"/>
      <c r="CF1089" s="30"/>
      <c r="CG1089" s="30"/>
      <c r="CH1089" s="30"/>
      <c r="CI1089" s="30"/>
      <c r="CJ1089" s="30"/>
      <c r="CK1089" s="30"/>
      <c r="CL1089" s="30"/>
      <c r="CM1089" s="30"/>
      <c r="CN1089" s="30"/>
      <c r="CO1089" s="30"/>
      <c r="CP1089" s="30"/>
      <c r="CQ1089" s="30"/>
      <c r="CR1089" s="30"/>
      <c r="CS1089" s="30"/>
      <c r="CT1089" s="30"/>
      <c r="CU1089" s="30"/>
      <c r="CV1089" s="30"/>
      <c r="CW1089" s="30"/>
      <c r="CX1089" s="30"/>
      <c r="CY1089" s="30"/>
      <c r="CZ1089" s="30"/>
      <c r="DA1089" s="30"/>
      <c r="DB1089" s="30"/>
      <c r="DC1089" s="30"/>
      <c r="DD1089" s="30"/>
      <c r="DE1089" s="30"/>
      <c r="DF1089" s="30"/>
      <c r="DG1089" s="30"/>
      <c r="DH1089" s="30"/>
      <c r="DI1089" s="30"/>
      <c r="DJ1089" s="30"/>
      <c r="DK1089" s="30"/>
      <c r="DL1089" s="30"/>
      <c r="DM1089" s="30"/>
      <c r="DN1089" s="30"/>
      <c r="DO1089" s="30"/>
      <c r="DP1089" s="30"/>
      <c r="DQ1089" s="30"/>
      <c r="DR1089" s="30"/>
      <c r="DS1089" s="30"/>
      <c r="DT1089" s="30"/>
      <c r="DU1089" s="30"/>
      <c r="DV1089" s="30"/>
      <c r="DW1089" s="30"/>
      <c r="DX1089" s="30"/>
      <c r="DY1089" s="30"/>
      <c r="DZ1089" s="30"/>
      <c r="EA1089" s="30"/>
      <c r="EB1089" s="30"/>
      <c r="EC1089" s="30"/>
      <c r="ED1089" s="30"/>
      <c r="EE1089" s="30"/>
      <c r="EF1089" s="30"/>
      <c r="EG1089" s="30"/>
      <c r="EH1089" s="30"/>
      <c r="EI1089" s="30"/>
      <c r="EJ1089" s="30"/>
      <c r="EK1089" s="30"/>
      <c r="EL1089" s="30"/>
      <c r="EM1089" s="30"/>
      <c r="EN1089" s="30"/>
      <c r="EO1089" s="30"/>
      <c r="EP1089" s="30"/>
      <c r="EQ1089" s="30"/>
      <c r="ER1089" s="30"/>
      <c r="ES1089" s="30"/>
      <c r="ET1089" s="30"/>
      <c r="EU1089" s="30"/>
      <c r="EV1089" s="30"/>
      <c r="EW1089" s="30"/>
      <c r="EX1089" s="30"/>
      <c r="EY1089" s="30"/>
      <c r="EZ1089" s="30"/>
      <c r="FA1089" s="30"/>
      <c r="FB1089" s="30"/>
      <c r="FC1089" s="30"/>
      <c r="FD1089" s="30"/>
      <c r="FE1089" s="30"/>
      <c r="FF1089" s="30"/>
      <c r="FG1089" s="30"/>
      <c r="FH1089" s="30"/>
      <c r="FI1089" s="30"/>
      <c r="FJ1089" s="30"/>
      <c r="FK1089" s="30"/>
      <c r="FL1089" s="30"/>
      <c r="FM1089" s="30"/>
      <c r="FN1089" s="30"/>
      <c r="FO1089" s="30"/>
      <c r="FP1089" s="30"/>
      <c r="FQ1089" s="30"/>
      <c r="FR1089" s="30"/>
      <c r="FS1089" s="30"/>
      <c r="FT1089" s="30"/>
      <c r="FU1089" s="30"/>
      <c r="FV1089" s="30"/>
      <c r="FW1089" s="30"/>
      <c r="FX1089" s="30"/>
      <c r="FY1089" s="30"/>
      <c r="FZ1089" s="30"/>
      <c r="GA1089" s="30"/>
      <c r="GB1089" s="30"/>
      <c r="GC1089" s="30"/>
      <c r="GD1089" s="30"/>
      <c r="GE1089" s="30"/>
      <c r="GF1089" s="30"/>
      <c r="GG1089" s="30"/>
      <c r="GH1089" s="30"/>
      <c r="GI1089" s="30"/>
      <c r="GJ1089" s="30"/>
      <c r="GK1089" s="30"/>
      <c r="GL1089" s="30"/>
      <c r="GM1089" s="30"/>
      <c r="GN1089" s="30"/>
      <c r="GO1089" s="30"/>
      <c r="GP1089" s="30"/>
      <c r="GQ1089" s="30"/>
      <c r="GR1089" s="30"/>
      <c r="GS1089" s="30"/>
      <c r="GT1089" s="30"/>
      <c r="GU1089" s="30"/>
      <c r="GV1089" s="30"/>
      <c r="GW1089" s="30"/>
      <c r="GX1089" s="30"/>
      <c r="GY1089" s="30"/>
      <c r="GZ1089" s="30"/>
      <c r="HA1089" s="30"/>
      <c r="HB1089" s="30"/>
      <c r="HC1089" s="30"/>
      <c r="HD1089" s="30"/>
      <c r="HE1089" s="30"/>
      <c r="HF1089" s="30"/>
      <c r="HG1089" s="30"/>
      <c r="HH1089" s="30"/>
      <c r="HI1089" s="30"/>
      <c r="HJ1089" s="30"/>
      <c r="HK1089" s="30"/>
      <c r="HL1089" s="30"/>
      <c r="HM1089" s="30"/>
      <c r="HN1089" s="30"/>
      <c r="HO1089" s="30"/>
      <c r="HP1089" s="30"/>
      <c r="HQ1089" s="30"/>
      <c r="HR1089" s="30"/>
      <c r="HS1089" s="30"/>
      <c r="HT1089" s="30"/>
      <c r="HU1089" s="30"/>
      <c r="HV1089" s="30"/>
      <c r="HW1089" s="30"/>
      <c r="HX1089" s="30"/>
      <c r="HY1089" s="30"/>
      <c r="HZ1089" s="30"/>
      <c r="IA1089" s="30"/>
      <c r="IB1089" s="30"/>
      <c r="IC1089" s="30"/>
      <c r="ID1089" s="30"/>
      <c r="IE1089" s="30"/>
      <c r="IF1089" s="30"/>
      <c r="IG1089" s="30"/>
      <c r="IH1089" s="30"/>
      <c r="II1089" s="30"/>
      <c r="IJ1089" s="30"/>
      <c r="IK1089" s="30"/>
      <c r="IL1089" s="30"/>
      <c r="IM1089" s="30"/>
      <c r="IN1089" s="30"/>
      <c r="IO1089" s="30"/>
      <c r="IP1089" s="30"/>
      <c r="IQ1089" s="30"/>
      <c r="IR1089" s="30"/>
      <c r="IS1089" s="30"/>
      <c r="IT1089" s="30"/>
      <c r="IU1089" s="30"/>
      <c r="IV1089" s="30"/>
      <c r="IW1089" s="30"/>
      <c r="IX1089" s="30"/>
    </row>
    <row r="1090" spans="1:258" ht="25.15" customHeight="1" x14ac:dyDescent="0.25">
      <c r="A1090" s="53" t="s">
        <v>1951</v>
      </c>
      <c r="B1090" s="8" t="s">
        <v>645</v>
      </c>
      <c r="C1090" s="2">
        <f t="shared" si="317"/>
        <v>1768800</v>
      </c>
      <c r="D1090" s="3">
        <f t="shared" si="316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11">
        <v>0</v>
      </c>
      <c r="L1090" s="5">
        <v>0</v>
      </c>
      <c r="M1090" s="5">
        <v>268</v>
      </c>
      <c r="N1090" s="3">
        <f t="shared" ref="N1090:N1107" si="319">M1090*6600</f>
        <v>1768800</v>
      </c>
      <c r="O1090" s="5">
        <v>0</v>
      </c>
      <c r="P1090" s="5">
        <v>0</v>
      </c>
      <c r="Q1090" s="5">
        <v>0</v>
      </c>
      <c r="R1090" s="3">
        <f t="shared" si="297"/>
        <v>0</v>
      </c>
      <c r="S1090" s="5">
        <v>0</v>
      </c>
      <c r="T1090" s="5">
        <v>0</v>
      </c>
      <c r="U1090" s="5">
        <v>0</v>
      </c>
      <c r="V1090" s="6">
        <f t="shared" si="318"/>
        <v>6600</v>
      </c>
    </row>
    <row r="1091" spans="1:258" ht="25.15" customHeight="1" x14ac:dyDescent="0.25">
      <c r="A1091" s="53" t="s">
        <v>1952</v>
      </c>
      <c r="B1091" s="8" t="s">
        <v>738</v>
      </c>
      <c r="C1091" s="2">
        <f t="shared" si="305"/>
        <v>2098800</v>
      </c>
      <c r="D1091" s="3">
        <f t="shared" si="304"/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4">
        <v>0</v>
      </c>
      <c r="L1091" s="3">
        <v>0</v>
      </c>
      <c r="M1091" s="3">
        <v>318</v>
      </c>
      <c r="N1091" s="3">
        <f t="shared" si="319"/>
        <v>2098800</v>
      </c>
      <c r="O1091" s="3">
        <v>0</v>
      </c>
      <c r="P1091" s="3">
        <v>0</v>
      </c>
      <c r="Q1091" s="3">
        <v>0</v>
      </c>
      <c r="R1091" s="3">
        <f t="shared" si="297"/>
        <v>0</v>
      </c>
      <c r="S1091" s="3">
        <v>0</v>
      </c>
      <c r="T1091" s="5">
        <v>0</v>
      </c>
      <c r="U1091" s="3">
        <v>0</v>
      </c>
      <c r="V1091" s="6">
        <f t="shared" si="303"/>
        <v>6600</v>
      </c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  <c r="BA1091" s="17"/>
      <c r="BB1091" s="17"/>
      <c r="BC1091" s="17"/>
      <c r="BD1091" s="17"/>
      <c r="BE1091" s="17"/>
      <c r="BF1091" s="17"/>
      <c r="BG1091" s="17"/>
      <c r="BH1091" s="17"/>
      <c r="BI1091" s="17"/>
      <c r="BJ1091" s="17"/>
      <c r="BK1091" s="17"/>
      <c r="BL1091" s="17"/>
      <c r="BM1091" s="17"/>
      <c r="BN1091" s="17"/>
      <c r="BO1091" s="17"/>
      <c r="BP1091" s="17"/>
      <c r="BQ1091" s="17"/>
      <c r="BR1091" s="17"/>
      <c r="BS1091" s="17"/>
      <c r="BT1091" s="17"/>
      <c r="BU1091" s="17"/>
      <c r="BV1091" s="17"/>
      <c r="BW1091" s="17"/>
      <c r="BX1091" s="17"/>
      <c r="BY1091" s="17"/>
      <c r="BZ1091" s="17"/>
      <c r="CA1091" s="17"/>
      <c r="CB1091" s="17"/>
      <c r="CC1091" s="17"/>
      <c r="CD1091" s="17"/>
      <c r="CE1091" s="17"/>
      <c r="CF1091" s="17"/>
      <c r="CG1091" s="17"/>
      <c r="CH1091" s="17"/>
      <c r="CI1091" s="17"/>
      <c r="CJ1091" s="17"/>
      <c r="CK1091" s="17"/>
      <c r="CL1091" s="17"/>
      <c r="CM1091" s="17"/>
      <c r="CN1091" s="17"/>
      <c r="CO1091" s="17"/>
      <c r="CP1091" s="17"/>
      <c r="CQ1091" s="17"/>
      <c r="CR1091" s="17"/>
      <c r="CS1091" s="17"/>
      <c r="CT1091" s="17"/>
      <c r="CU1091" s="17"/>
      <c r="CV1091" s="17"/>
      <c r="CW1091" s="17"/>
      <c r="CX1091" s="17"/>
      <c r="CY1091" s="17"/>
      <c r="CZ1091" s="17"/>
      <c r="DA1091" s="17"/>
      <c r="DB1091" s="17"/>
      <c r="DC1091" s="17"/>
      <c r="DD1091" s="17"/>
      <c r="DE1091" s="17"/>
      <c r="DF1091" s="17"/>
      <c r="DG1091" s="17"/>
      <c r="DH1091" s="17"/>
      <c r="DI1091" s="17"/>
      <c r="DJ1091" s="17"/>
      <c r="DK1091" s="17"/>
      <c r="DL1091" s="17"/>
      <c r="DM1091" s="17"/>
      <c r="DN1091" s="17"/>
      <c r="DO1091" s="17"/>
      <c r="DP1091" s="17"/>
      <c r="DQ1091" s="17"/>
      <c r="DR1091" s="17"/>
      <c r="DS1091" s="17"/>
      <c r="DT1091" s="17"/>
      <c r="DU1091" s="17"/>
      <c r="DV1091" s="17"/>
      <c r="DW1091" s="17"/>
      <c r="DX1091" s="17"/>
      <c r="DY1091" s="17"/>
      <c r="DZ1091" s="17"/>
      <c r="EA1091" s="17"/>
      <c r="EB1091" s="17"/>
      <c r="EC1091" s="17"/>
      <c r="ED1091" s="17"/>
      <c r="EE1091" s="17"/>
      <c r="EF1091" s="17"/>
      <c r="EG1091" s="17"/>
      <c r="EH1091" s="17"/>
      <c r="EI1091" s="17"/>
      <c r="EJ1091" s="17"/>
      <c r="EK1091" s="17"/>
      <c r="EL1091" s="17"/>
      <c r="EM1091" s="17"/>
      <c r="EN1091" s="17"/>
      <c r="EO1091" s="17"/>
      <c r="EP1091" s="17"/>
      <c r="EQ1091" s="17"/>
      <c r="ER1091" s="17"/>
      <c r="ES1091" s="17"/>
      <c r="ET1091" s="17"/>
      <c r="EU1091" s="17"/>
      <c r="EV1091" s="17"/>
      <c r="EW1091" s="17"/>
      <c r="EX1091" s="17"/>
      <c r="EY1091" s="17"/>
      <c r="EZ1091" s="17"/>
      <c r="FA1091" s="17"/>
      <c r="FB1091" s="17"/>
      <c r="FC1091" s="17"/>
      <c r="FD1091" s="17"/>
      <c r="FE1091" s="17"/>
      <c r="FF1091" s="17"/>
      <c r="FG1091" s="17"/>
      <c r="FH1091" s="17"/>
      <c r="FI1091" s="17"/>
      <c r="FJ1091" s="17"/>
      <c r="FK1091" s="17"/>
      <c r="FL1091" s="17"/>
      <c r="FM1091" s="17"/>
      <c r="FN1091" s="17"/>
      <c r="FO1091" s="17"/>
      <c r="FP1091" s="17"/>
      <c r="FQ1091" s="17"/>
      <c r="FR1091" s="17"/>
      <c r="FS1091" s="17"/>
      <c r="FT1091" s="17"/>
      <c r="FU1091" s="17"/>
      <c r="FV1091" s="17"/>
      <c r="FW1091" s="17"/>
      <c r="FX1091" s="17"/>
      <c r="FY1091" s="17"/>
      <c r="FZ1091" s="17"/>
      <c r="GA1091" s="17"/>
      <c r="GB1091" s="17"/>
      <c r="GC1091" s="17"/>
      <c r="GD1091" s="17"/>
      <c r="GE1091" s="17"/>
      <c r="GF1091" s="17"/>
      <c r="GG1091" s="17"/>
      <c r="GH1091" s="17"/>
      <c r="GI1091" s="17"/>
      <c r="GJ1091" s="17"/>
      <c r="GK1091" s="17"/>
      <c r="GL1091" s="17"/>
      <c r="GM1091" s="17"/>
      <c r="GN1091" s="17"/>
      <c r="GO1091" s="17"/>
      <c r="GP1091" s="17"/>
      <c r="GQ1091" s="17"/>
      <c r="GR1091" s="17"/>
      <c r="GS1091" s="17"/>
      <c r="GT1091" s="17"/>
      <c r="GU1091" s="17"/>
      <c r="GV1091" s="17"/>
      <c r="GW1091" s="17"/>
      <c r="GX1091" s="17"/>
      <c r="GY1091" s="17"/>
      <c r="GZ1091" s="17"/>
      <c r="HA1091" s="17"/>
      <c r="HB1091" s="17"/>
      <c r="HC1091" s="17"/>
      <c r="HD1091" s="17"/>
      <c r="HE1091" s="17"/>
      <c r="HF1091" s="17"/>
      <c r="HG1091" s="17"/>
      <c r="HH1091" s="17"/>
      <c r="HI1091" s="17"/>
      <c r="HJ1091" s="17"/>
      <c r="HK1091" s="17"/>
      <c r="HL1091" s="17"/>
      <c r="HM1091" s="17"/>
      <c r="HN1091" s="17"/>
      <c r="HO1091" s="17"/>
      <c r="HP1091" s="17"/>
      <c r="HQ1091" s="17"/>
      <c r="HR1091" s="17"/>
      <c r="HS1091" s="17"/>
      <c r="HT1091" s="17"/>
      <c r="HU1091" s="17"/>
      <c r="HV1091" s="17"/>
      <c r="HW1091" s="17"/>
      <c r="HX1091" s="17"/>
      <c r="HY1091" s="17"/>
      <c r="HZ1091" s="17"/>
      <c r="IA1091" s="17"/>
      <c r="IB1091" s="17"/>
      <c r="IC1091" s="17"/>
      <c r="ID1091" s="17"/>
      <c r="IE1091" s="17"/>
      <c r="IF1091" s="17"/>
      <c r="IG1091" s="17"/>
      <c r="IH1091" s="17"/>
      <c r="II1091" s="17"/>
      <c r="IJ1091" s="17"/>
      <c r="IK1091" s="17"/>
      <c r="IL1091" s="17"/>
      <c r="IM1091" s="17"/>
      <c r="IN1091" s="17"/>
      <c r="IO1091" s="17"/>
      <c r="IP1091" s="17"/>
      <c r="IQ1091" s="17"/>
      <c r="IR1091" s="17"/>
      <c r="IS1091" s="17"/>
      <c r="IT1091" s="17"/>
      <c r="IU1091" s="17"/>
      <c r="IV1091" s="17"/>
      <c r="IW1091" s="17"/>
      <c r="IX1091" s="17"/>
    </row>
    <row r="1092" spans="1:258" ht="25.15" customHeight="1" x14ac:dyDescent="0.25">
      <c r="A1092" s="53" t="s">
        <v>1953</v>
      </c>
      <c r="B1092" s="8" t="s">
        <v>739</v>
      </c>
      <c r="C1092" s="2">
        <f t="shared" si="305"/>
        <v>2098800</v>
      </c>
      <c r="D1092" s="3">
        <f t="shared" si="304"/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4">
        <v>0</v>
      </c>
      <c r="L1092" s="3">
        <v>0</v>
      </c>
      <c r="M1092" s="5">
        <v>318</v>
      </c>
      <c r="N1092" s="3">
        <f t="shared" si="319"/>
        <v>2098800</v>
      </c>
      <c r="O1092" s="3">
        <v>0</v>
      </c>
      <c r="P1092" s="3">
        <v>0</v>
      </c>
      <c r="Q1092" s="3">
        <v>0</v>
      </c>
      <c r="R1092" s="3">
        <f t="shared" si="297"/>
        <v>0</v>
      </c>
      <c r="S1092" s="3">
        <v>0</v>
      </c>
      <c r="T1092" s="5">
        <v>0</v>
      </c>
      <c r="U1092" s="3">
        <v>0</v>
      </c>
      <c r="V1092" s="6">
        <f t="shared" si="303"/>
        <v>6600</v>
      </c>
    </row>
    <row r="1093" spans="1:258" ht="25.15" customHeight="1" x14ac:dyDescent="0.25">
      <c r="A1093" s="53" t="s">
        <v>1954</v>
      </c>
      <c r="B1093" s="8" t="s">
        <v>649</v>
      </c>
      <c r="C1093" s="2">
        <f t="shared" si="305"/>
        <v>1766820</v>
      </c>
      <c r="D1093" s="3">
        <f>SUM(E1093:J1093)</f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11">
        <v>0</v>
      </c>
      <c r="L1093" s="5">
        <v>0</v>
      </c>
      <c r="M1093" s="5">
        <v>267.7</v>
      </c>
      <c r="N1093" s="3">
        <f t="shared" si="319"/>
        <v>1766820</v>
      </c>
      <c r="O1093" s="5">
        <v>0</v>
      </c>
      <c r="P1093" s="5">
        <v>0</v>
      </c>
      <c r="Q1093" s="5">
        <v>0</v>
      </c>
      <c r="R1093" s="3">
        <f t="shared" si="297"/>
        <v>0</v>
      </c>
      <c r="S1093" s="5">
        <v>0</v>
      </c>
      <c r="T1093" s="5">
        <v>0</v>
      </c>
      <c r="U1093" s="5">
        <v>0</v>
      </c>
      <c r="V1093" s="6">
        <f t="shared" si="303"/>
        <v>6600</v>
      </c>
    </row>
    <row r="1094" spans="1:258" ht="25.15" customHeight="1" x14ac:dyDescent="0.25">
      <c r="A1094" s="53" t="s">
        <v>1955</v>
      </c>
      <c r="B1094" s="8" t="s">
        <v>650</v>
      </c>
      <c r="C1094" s="2">
        <f>D1094+L1094+N1094+P1094+R1094+S1094+T1094+U1094</f>
        <v>1780020</v>
      </c>
      <c r="D1094" s="3">
        <f>SUM(E1094:J1094)</f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11">
        <v>0</v>
      </c>
      <c r="L1094" s="5">
        <v>0</v>
      </c>
      <c r="M1094" s="5">
        <v>269.7</v>
      </c>
      <c r="N1094" s="3">
        <f t="shared" si="319"/>
        <v>1780020</v>
      </c>
      <c r="O1094" s="5">
        <v>0</v>
      </c>
      <c r="P1094" s="5">
        <v>0</v>
      </c>
      <c r="Q1094" s="5">
        <v>0</v>
      </c>
      <c r="R1094" s="3">
        <f t="shared" si="297"/>
        <v>0</v>
      </c>
      <c r="S1094" s="5">
        <v>0</v>
      </c>
      <c r="T1094" s="5">
        <v>0</v>
      </c>
      <c r="U1094" s="5">
        <v>0</v>
      </c>
      <c r="V1094" s="6">
        <f>N1094/M1094</f>
        <v>6600</v>
      </c>
    </row>
    <row r="1095" spans="1:258" ht="25.15" customHeight="1" x14ac:dyDescent="0.25">
      <c r="A1095" s="53" t="s">
        <v>1956</v>
      </c>
      <c r="B1095" s="8" t="s">
        <v>651</v>
      </c>
      <c r="C1095" s="2">
        <f>D1095+L1095+N1095+P1095+R1095+S1095+T1095+U1095</f>
        <v>1786620</v>
      </c>
      <c r="D1095" s="3">
        <f>SUM(E1095:J1095)</f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11">
        <v>0</v>
      </c>
      <c r="L1095" s="5">
        <v>0</v>
      </c>
      <c r="M1095" s="5">
        <v>270.7</v>
      </c>
      <c r="N1095" s="3">
        <f t="shared" si="319"/>
        <v>1786620</v>
      </c>
      <c r="O1095" s="5">
        <v>0</v>
      </c>
      <c r="P1095" s="5">
        <v>0</v>
      </c>
      <c r="Q1095" s="5">
        <v>0</v>
      </c>
      <c r="R1095" s="3">
        <f t="shared" si="297"/>
        <v>0</v>
      </c>
      <c r="S1095" s="5">
        <v>0</v>
      </c>
      <c r="T1095" s="5">
        <v>0</v>
      </c>
      <c r="U1095" s="5">
        <v>0</v>
      </c>
      <c r="V1095" s="6">
        <f>N1095/M1095</f>
        <v>6600</v>
      </c>
    </row>
    <row r="1096" spans="1:258" ht="25.15" customHeight="1" x14ac:dyDescent="0.25">
      <c r="A1096" s="53" t="s">
        <v>1957</v>
      </c>
      <c r="B1096" s="8" t="s">
        <v>1222</v>
      </c>
      <c r="C1096" s="2">
        <f>D1096+L1096+N1096+P1096+R1096+S1096+T1096+U1096</f>
        <v>300000</v>
      </c>
      <c r="D1096" s="3">
        <f>SUM(E1096:J1096)</f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11">
        <v>0</v>
      </c>
      <c r="L1096" s="5">
        <v>0</v>
      </c>
      <c r="M1096" s="5">
        <v>0</v>
      </c>
      <c r="N1096" s="3">
        <v>0</v>
      </c>
      <c r="O1096" s="5">
        <v>0</v>
      </c>
      <c r="P1096" s="5">
        <v>0</v>
      </c>
      <c r="Q1096" s="5">
        <v>0</v>
      </c>
      <c r="R1096" s="3">
        <v>0</v>
      </c>
      <c r="S1096" s="5">
        <v>0</v>
      </c>
      <c r="T1096" s="5">
        <v>0</v>
      </c>
      <c r="U1096" s="5">
        <v>300000</v>
      </c>
      <c r="V1096" s="6" t="e">
        <f>N1096/M1096</f>
        <v>#DIV/0!</v>
      </c>
    </row>
    <row r="1097" spans="1:258" ht="25.15" customHeight="1" x14ac:dyDescent="0.25">
      <c r="A1097" s="53" t="s">
        <v>1958</v>
      </c>
      <c r="B1097" s="8" t="s">
        <v>463</v>
      </c>
      <c r="C1097" s="2">
        <f>D1097+L1097+N1097+P1097+R1097+S1097+T1097+U1097</f>
        <v>1729200</v>
      </c>
      <c r="D1097" s="3">
        <f>SUM(E1097:J1097)</f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4">
        <v>0</v>
      </c>
      <c r="L1097" s="3">
        <v>0</v>
      </c>
      <c r="M1097" s="3">
        <v>262</v>
      </c>
      <c r="N1097" s="3">
        <f>M1097*6600</f>
        <v>1729200</v>
      </c>
      <c r="O1097" s="3">
        <v>0</v>
      </c>
      <c r="P1097" s="3">
        <v>0</v>
      </c>
      <c r="Q1097" s="3">
        <v>0</v>
      </c>
      <c r="R1097" s="3">
        <f>Q1097*3000</f>
        <v>0</v>
      </c>
      <c r="S1097" s="3">
        <v>0</v>
      </c>
      <c r="T1097" s="5">
        <v>0</v>
      </c>
      <c r="U1097" s="3">
        <v>0</v>
      </c>
      <c r="V1097" s="6">
        <f>N1097/M1097</f>
        <v>6600</v>
      </c>
    </row>
    <row r="1098" spans="1:258" ht="25.15" customHeight="1" x14ac:dyDescent="0.25">
      <c r="A1098" s="53" t="s">
        <v>1959</v>
      </c>
      <c r="B1098" s="8" t="s">
        <v>743</v>
      </c>
      <c r="C1098" s="2">
        <f t="shared" si="305"/>
        <v>1787280</v>
      </c>
      <c r="D1098" s="3">
        <f t="shared" si="304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5">
        <v>270.8</v>
      </c>
      <c r="N1098" s="3">
        <f t="shared" si="319"/>
        <v>1787280</v>
      </c>
      <c r="O1098" s="3">
        <v>0</v>
      </c>
      <c r="P1098" s="3">
        <v>0</v>
      </c>
      <c r="Q1098" s="3">
        <v>0</v>
      </c>
      <c r="R1098" s="3">
        <f t="shared" si="297"/>
        <v>0</v>
      </c>
      <c r="S1098" s="3">
        <v>0</v>
      </c>
      <c r="T1098" s="5">
        <v>0</v>
      </c>
      <c r="U1098" s="3">
        <v>0</v>
      </c>
      <c r="V1098" s="6">
        <f t="shared" si="303"/>
        <v>6600</v>
      </c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  <c r="AS1098" s="30"/>
      <c r="AT1098" s="30"/>
      <c r="AU1098" s="30"/>
      <c r="AV1098" s="30"/>
      <c r="AW1098" s="30"/>
      <c r="AX1098" s="30"/>
      <c r="AY1098" s="30"/>
      <c r="AZ1098" s="30"/>
      <c r="BA1098" s="30"/>
      <c r="BB1098" s="30"/>
      <c r="BC1098" s="30"/>
      <c r="BD1098" s="30"/>
      <c r="BE1098" s="30"/>
      <c r="BF1098" s="30"/>
      <c r="BG1098" s="30"/>
      <c r="BH1098" s="30"/>
      <c r="BI1098" s="30"/>
      <c r="BJ1098" s="30"/>
      <c r="BK1098" s="30"/>
      <c r="BL1098" s="30"/>
      <c r="BM1098" s="30"/>
      <c r="BN1098" s="30"/>
      <c r="BO1098" s="30"/>
      <c r="BP1098" s="30"/>
      <c r="BQ1098" s="30"/>
      <c r="BR1098" s="30"/>
      <c r="BS1098" s="30"/>
      <c r="BT1098" s="30"/>
      <c r="BU1098" s="30"/>
      <c r="BV1098" s="30"/>
      <c r="BW1098" s="30"/>
      <c r="BX1098" s="30"/>
      <c r="BY1098" s="30"/>
      <c r="BZ1098" s="30"/>
      <c r="CA1098" s="30"/>
      <c r="CB1098" s="30"/>
      <c r="CC1098" s="30"/>
      <c r="CD1098" s="30"/>
      <c r="CE1098" s="30"/>
      <c r="CF1098" s="30"/>
      <c r="CG1098" s="30"/>
      <c r="CH1098" s="30"/>
      <c r="CI1098" s="30"/>
      <c r="CJ1098" s="30"/>
      <c r="CK1098" s="30"/>
      <c r="CL1098" s="30"/>
      <c r="CM1098" s="30"/>
      <c r="CN1098" s="30"/>
      <c r="CO1098" s="30"/>
      <c r="CP1098" s="30"/>
      <c r="CQ1098" s="30"/>
      <c r="CR1098" s="30"/>
      <c r="CS1098" s="30"/>
      <c r="CT1098" s="30"/>
      <c r="CU1098" s="30"/>
      <c r="CV1098" s="30"/>
      <c r="CW1098" s="30"/>
      <c r="CX1098" s="30"/>
      <c r="CY1098" s="30"/>
      <c r="CZ1098" s="30"/>
      <c r="DA1098" s="30"/>
      <c r="DB1098" s="30"/>
      <c r="DC1098" s="30"/>
      <c r="DD1098" s="30"/>
      <c r="DE1098" s="30"/>
      <c r="DF1098" s="30"/>
      <c r="DG1098" s="30"/>
      <c r="DH1098" s="30"/>
      <c r="DI1098" s="30"/>
      <c r="DJ1098" s="30"/>
      <c r="DK1098" s="30"/>
      <c r="DL1098" s="30"/>
      <c r="DM1098" s="30"/>
      <c r="DN1098" s="30"/>
      <c r="DO1098" s="30"/>
      <c r="DP1098" s="30"/>
      <c r="DQ1098" s="30"/>
      <c r="DR1098" s="30"/>
      <c r="DS1098" s="30"/>
      <c r="DT1098" s="30"/>
      <c r="DU1098" s="30"/>
      <c r="DV1098" s="30"/>
      <c r="DW1098" s="30"/>
      <c r="DX1098" s="30"/>
      <c r="DY1098" s="30"/>
      <c r="DZ1098" s="30"/>
      <c r="EA1098" s="30"/>
      <c r="EB1098" s="30"/>
      <c r="EC1098" s="30"/>
      <c r="ED1098" s="30"/>
      <c r="EE1098" s="30"/>
      <c r="EF1098" s="30"/>
      <c r="EG1098" s="30"/>
      <c r="EH1098" s="30"/>
      <c r="EI1098" s="30"/>
      <c r="EJ1098" s="30"/>
      <c r="EK1098" s="30"/>
      <c r="EL1098" s="30"/>
      <c r="EM1098" s="30"/>
      <c r="EN1098" s="30"/>
      <c r="EO1098" s="30"/>
      <c r="EP1098" s="30"/>
      <c r="EQ1098" s="30"/>
      <c r="ER1098" s="30"/>
      <c r="ES1098" s="30"/>
      <c r="ET1098" s="30"/>
      <c r="EU1098" s="30"/>
      <c r="EV1098" s="30"/>
      <c r="EW1098" s="30"/>
      <c r="EX1098" s="30"/>
      <c r="EY1098" s="30"/>
      <c r="EZ1098" s="30"/>
      <c r="FA1098" s="30"/>
      <c r="FB1098" s="30"/>
      <c r="FC1098" s="30"/>
      <c r="FD1098" s="30"/>
      <c r="FE1098" s="30"/>
      <c r="FF1098" s="30"/>
      <c r="FG1098" s="30"/>
      <c r="FH1098" s="30"/>
      <c r="FI1098" s="30"/>
      <c r="FJ1098" s="30"/>
      <c r="FK1098" s="30"/>
      <c r="FL1098" s="30"/>
      <c r="FM1098" s="30"/>
      <c r="FN1098" s="30"/>
      <c r="FO1098" s="30"/>
      <c r="FP1098" s="30"/>
      <c r="FQ1098" s="30"/>
      <c r="FR1098" s="30"/>
      <c r="FS1098" s="30"/>
      <c r="FT1098" s="30"/>
      <c r="FU1098" s="30"/>
      <c r="FV1098" s="30"/>
      <c r="FW1098" s="30"/>
      <c r="FX1098" s="30"/>
      <c r="FY1098" s="30"/>
      <c r="FZ1098" s="30"/>
      <c r="GA1098" s="30"/>
      <c r="GB1098" s="30"/>
      <c r="GC1098" s="30"/>
      <c r="GD1098" s="30"/>
      <c r="GE1098" s="30"/>
      <c r="GF1098" s="30"/>
      <c r="GG1098" s="30"/>
      <c r="GH1098" s="30"/>
      <c r="GI1098" s="30"/>
      <c r="GJ1098" s="30"/>
      <c r="GK1098" s="30"/>
      <c r="GL1098" s="30"/>
      <c r="GM1098" s="30"/>
      <c r="GN1098" s="30"/>
      <c r="GO1098" s="30"/>
      <c r="GP1098" s="30"/>
      <c r="GQ1098" s="30"/>
      <c r="GR1098" s="30"/>
      <c r="GS1098" s="30"/>
      <c r="GT1098" s="30"/>
      <c r="GU1098" s="30"/>
      <c r="GV1098" s="30"/>
      <c r="GW1098" s="30"/>
      <c r="GX1098" s="30"/>
      <c r="GY1098" s="30"/>
      <c r="GZ1098" s="30"/>
      <c r="HA1098" s="30"/>
      <c r="HB1098" s="30"/>
      <c r="HC1098" s="30"/>
      <c r="HD1098" s="30"/>
      <c r="HE1098" s="30"/>
      <c r="HF1098" s="30"/>
      <c r="HG1098" s="30"/>
      <c r="HH1098" s="30"/>
      <c r="HI1098" s="30"/>
      <c r="HJ1098" s="30"/>
      <c r="HK1098" s="30"/>
      <c r="HL1098" s="30"/>
      <c r="HM1098" s="30"/>
      <c r="HN1098" s="30"/>
      <c r="HO1098" s="30"/>
      <c r="HP1098" s="30"/>
      <c r="HQ1098" s="30"/>
      <c r="HR1098" s="30"/>
      <c r="HS1098" s="30"/>
      <c r="HT1098" s="30"/>
      <c r="HU1098" s="30"/>
      <c r="HV1098" s="30"/>
      <c r="HW1098" s="30"/>
      <c r="HX1098" s="30"/>
      <c r="HY1098" s="30"/>
      <c r="HZ1098" s="30"/>
      <c r="IA1098" s="30"/>
      <c r="IB1098" s="30"/>
      <c r="IC1098" s="30"/>
      <c r="ID1098" s="30"/>
      <c r="IE1098" s="30"/>
      <c r="IF1098" s="30"/>
      <c r="IG1098" s="30"/>
      <c r="IH1098" s="30"/>
      <c r="II1098" s="30"/>
      <c r="IJ1098" s="30"/>
      <c r="IK1098" s="30"/>
      <c r="IL1098" s="30"/>
      <c r="IM1098" s="30"/>
      <c r="IN1098" s="30"/>
      <c r="IO1098" s="30"/>
      <c r="IP1098" s="30"/>
      <c r="IQ1098" s="30"/>
      <c r="IR1098" s="30"/>
      <c r="IS1098" s="30"/>
      <c r="IT1098" s="30"/>
      <c r="IU1098" s="30"/>
      <c r="IV1098" s="30"/>
      <c r="IW1098" s="30"/>
      <c r="IX1098" s="30"/>
    </row>
    <row r="1099" spans="1:258" ht="25.15" customHeight="1" x14ac:dyDescent="0.25">
      <c r="A1099" s="53" t="s">
        <v>1960</v>
      </c>
      <c r="B1099" s="8" t="s">
        <v>744</v>
      </c>
      <c r="C1099" s="2">
        <f t="shared" si="305"/>
        <v>1626900</v>
      </c>
      <c r="D1099" s="3">
        <f t="shared" si="304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5">
        <v>246.5</v>
      </c>
      <c r="N1099" s="3">
        <f t="shared" si="319"/>
        <v>1626900</v>
      </c>
      <c r="O1099" s="3">
        <v>0</v>
      </c>
      <c r="P1099" s="3">
        <v>0</v>
      </c>
      <c r="Q1099" s="3">
        <v>0</v>
      </c>
      <c r="R1099" s="3">
        <f t="shared" si="297"/>
        <v>0</v>
      </c>
      <c r="S1099" s="3">
        <v>0</v>
      </c>
      <c r="T1099" s="5">
        <v>0</v>
      </c>
      <c r="U1099" s="3">
        <v>0</v>
      </c>
      <c r="V1099" s="6">
        <f t="shared" si="303"/>
        <v>6600</v>
      </c>
      <c r="W1099" s="30"/>
      <c r="X1099" s="30"/>
      <c r="Y1099" s="30"/>
      <c r="Z1099" s="30"/>
      <c r="AA1099" s="30"/>
      <c r="AB1099" s="30"/>
      <c r="AC1099" s="30"/>
      <c r="AD1099" s="30"/>
      <c r="AE1099" s="30"/>
      <c r="AF1099" s="30"/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  <c r="AV1099" s="30"/>
      <c r="AW1099" s="30"/>
      <c r="AX1099" s="30"/>
      <c r="AY1099" s="30"/>
      <c r="AZ1099" s="30"/>
      <c r="BA1099" s="30"/>
      <c r="BB1099" s="30"/>
      <c r="BC1099" s="30"/>
      <c r="BD1099" s="30"/>
      <c r="BE1099" s="30"/>
      <c r="BF1099" s="30"/>
      <c r="BG1099" s="30"/>
      <c r="BH1099" s="30"/>
      <c r="BI1099" s="30"/>
      <c r="BJ1099" s="30"/>
      <c r="BK1099" s="30"/>
      <c r="BL1099" s="30"/>
      <c r="BM1099" s="30"/>
      <c r="BN1099" s="30"/>
      <c r="BO1099" s="30"/>
      <c r="BP1099" s="30"/>
      <c r="BQ1099" s="30"/>
      <c r="BR1099" s="30"/>
      <c r="BS1099" s="30"/>
      <c r="BT1099" s="30"/>
      <c r="BU1099" s="30"/>
      <c r="BV1099" s="30"/>
      <c r="BW1099" s="30"/>
      <c r="BX1099" s="30"/>
      <c r="BY1099" s="30"/>
      <c r="BZ1099" s="30"/>
      <c r="CA1099" s="30"/>
      <c r="CB1099" s="30"/>
      <c r="CC1099" s="30"/>
      <c r="CD1099" s="30"/>
      <c r="CE1099" s="30"/>
      <c r="CF1099" s="30"/>
      <c r="CG1099" s="30"/>
      <c r="CH1099" s="30"/>
      <c r="CI1099" s="30"/>
      <c r="CJ1099" s="30"/>
      <c r="CK1099" s="30"/>
      <c r="CL1099" s="30"/>
      <c r="CM1099" s="30"/>
      <c r="CN1099" s="30"/>
      <c r="CO1099" s="30"/>
      <c r="CP1099" s="30"/>
      <c r="CQ1099" s="30"/>
      <c r="CR1099" s="30"/>
      <c r="CS1099" s="30"/>
      <c r="CT1099" s="30"/>
      <c r="CU1099" s="30"/>
      <c r="CV1099" s="30"/>
      <c r="CW1099" s="30"/>
      <c r="CX1099" s="30"/>
      <c r="CY1099" s="30"/>
      <c r="CZ1099" s="30"/>
      <c r="DA1099" s="30"/>
      <c r="DB1099" s="30"/>
      <c r="DC1099" s="30"/>
      <c r="DD1099" s="30"/>
      <c r="DE1099" s="30"/>
      <c r="DF1099" s="30"/>
      <c r="DG1099" s="30"/>
      <c r="DH1099" s="30"/>
      <c r="DI1099" s="30"/>
      <c r="DJ1099" s="30"/>
      <c r="DK1099" s="30"/>
      <c r="DL1099" s="30"/>
      <c r="DM1099" s="30"/>
      <c r="DN1099" s="30"/>
      <c r="DO1099" s="30"/>
      <c r="DP1099" s="30"/>
      <c r="DQ1099" s="30"/>
      <c r="DR1099" s="30"/>
      <c r="DS1099" s="30"/>
      <c r="DT1099" s="30"/>
      <c r="DU1099" s="30"/>
      <c r="DV1099" s="30"/>
      <c r="DW1099" s="30"/>
      <c r="DX1099" s="30"/>
      <c r="DY1099" s="30"/>
      <c r="DZ1099" s="30"/>
      <c r="EA1099" s="30"/>
      <c r="EB1099" s="30"/>
      <c r="EC1099" s="30"/>
      <c r="ED1099" s="30"/>
      <c r="EE1099" s="30"/>
      <c r="EF1099" s="30"/>
      <c r="EG1099" s="30"/>
      <c r="EH1099" s="30"/>
      <c r="EI1099" s="30"/>
      <c r="EJ1099" s="30"/>
      <c r="EK1099" s="30"/>
      <c r="EL1099" s="30"/>
      <c r="EM1099" s="30"/>
      <c r="EN1099" s="30"/>
      <c r="EO1099" s="30"/>
      <c r="EP1099" s="30"/>
      <c r="EQ1099" s="30"/>
      <c r="ER1099" s="30"/>
      <c r="ES1099" s="30"/>
      <c r="ET1099" s="30"/>
      <c r="EU1099" s="30"/>
      <c r="EV1099" s="30"/>
      <c r="EW1099" s="30"/>
      <c r="EX1099" s="30"/>
      <c r="EY1099" s="30"/>
      <c r="EZ1099" s="30"/>
      <c r="FA1099" s="30"/>
      <c r="FB1099" s="30"/>
      <c r="FC1099" s="30"/>
      <c r="FD1099" s="30"/>
      <c r="FE1099" s="30"/>
      <c r="FF1099" s="30"/>
      <c r="FG1099" s="30"/>
      <c r="FH1099" s="30"/>
      <c r="FI1099" s="30"/>
      <c r="FJ1099" s="30"/>
      <c r="FK1099" s="30"/>
      <c r="FL1099" s="30"/>
      <c r="FM1099" s="30"/>
      <c r="FN1099" s="30"/>
      <c r="FO1099" s="30"/>
      <c r="FP1099" s="30"/>
      <c r="FQ1099" s="30"/>
      <c r="FR1099" s="30"/>
      <c r="FS1099" s="30"/>
      <c r="FT1099" s="30"/>
      <c r="FU1099" s="30"/>
      <c r="FV1099" s="30"/>
      <c r="FW1099" s="30"/>
      <c r="FX1099" s="30"/>
      <c r="FY1099" s="30"/>
      <c r="FZ1099" s="30"/>
      <c r="GA1099" s="30"/>
      <c r="GB1099" s="30"/>
      <c r="GC1099" s="30"/>
      <c r="GD1099" s="30"/>
      <c r="GE1099" s="30"/>
      <c r="GF1099" s="30"/>
      <c r="GG1099" s="30"/>
      <c r="GH1099" s="30"/>
      <c r="GI1099" s="30"/>
      <c r="GJ1099" s="30"/>
      <c r="GK1099" s="30"/>
      <c r="GL1099" s="30"/>
      <c r="GM1099" s="30"/>
      <c r="GN1099" s="30"/>
      <c r="GO1099" s="30"/>
      <c r="GP1099" s="30"/>
      <c r="GQ1099" s="30"/>
      <c r="GR1099" s="30"/>
      <c r="GS1099" s="30"/>
      <c r="GT1099" s="30"/>
      <c r="GU1099" s="30"/>
      <c r="GV1099" s="30"/>
      <c r="GW1099" s="30"/>
      <c r="GX1099" s="30"/>
      <c r="GY1099" s="30"/>
      <c r="GZ1099" s="30"/>
      <c r="HA1099" s="30"/>
      <c r="HB1099" s="30"/>
      <c r="HC1099" s="30"/>
      <c r="HD1099" s="30"/>
      <c r="HE1099" s="30"/>
      <c r="HF1099" s="30"/>
      <c r="HG1099" s="30"/>
      <c r="HH1099" s="30"/>
      <c r="HI1099" s="30"/>
      <c r="HJ1099" s="30"/>
      <c r="HK1099" s="30"/>
      <c r="HL1099" s="30"/>
      <c r="HM1099" s="30"/>
      <c r="HN1099" s="30"/>
      <c r="HO1099" s="30"/>
      <c r="HP1099" s="30"/>
      <c r="HQ1099" s="30"/>
      <c r="HR1099" s="30"/>
      <c r="HS1099" s="30"/>
      <c r="HT1099" s="30"/>
      <c r="HU1099" s="30"/>
      <c r="HV1099" s="30"/>
      <c r="HW1099" s="30"/>
      <c r="HX1099" s="30"/>
      <c r="HY1099" s="30"/>
      <c r="HZ1099" s="30"/>
      <c r="IA1099" s="30"/>
      <c r="IB1099" s="30"/>
      <c r="IC1099" s="30"/>
      <c r="ID1099" s="30"/>
      <c r="IE1099" s="30"/>
      <c r="IF1099" s="30"/>
      <c r="IG1099" s="30"/>
      <c r="IH1099" s="30"/>
      <c r="II1099" s="30"/>
      <c r="IJ1099" s="30"/>
      <c r="IK1099" s="30"/>
      <c r="IL1099" s="30"/>
      <c r="IM1099" s="30"/>
      <c r="IN1099" s="30"/>
      <c r="IO1099" s="30"/>
      <c r="IP1099" s="30"/>
      <c r="IQ1099" s="30"/>
      <c r="IR1099" s="30"/>
      <c r="IS1099" s="30"/>
      <c r="IT1099" s="30"/>
      <c r="IU1099" s="30"/>
      <c r="IV1099" s="30"/>
      <c r="IW1099" s="30"/>
      <c r="IX1099" s="30"/>
    </row>
    <row r="1100" spans="1:258" ht="25.15" customHeight="1" x14ac:dyDescent="0.25">
      <c r="A1100" s="53" t="s">
        <v>1961</v>
      </c>
      <c r="B1100" s="8" t="s">
        <v>653</v>
      </c>
      <c r="C1100" s="2">
        <f t="shared" si="305"/>
        <v>1708739.9999999998</v>
      </c>
      <c r="D1100" s="3">
        <f t="shared" si="304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5">
        <v>258.89999999999998</v>
      </c>
      <c r="N1100" s="3">
        <f t="shared" si="319"/>
        <v>1708739.9999999998</v>
      </c>
      <c r="O1100" s="3">
        <v>0</v>
      </c>
      <c r="P1100" s="3">
        <v>0</v>
      </c>
      <c r="Q1100" s="3">
        <v>0</v>
      </c>
      <c r="R1100" s="3">
        <f t="shared" si="297"/>
        <v>0</v>
      </c>
      <c r="S1100" s="3">
        <v>0</v>
      </c>
      <c r="T1100" s="5">
        <v>0</v>
      </c>
      <c r="U1100" s="3">
        <v>0</v>
      </c>
      <c r="V1100" s="6">
        <f t="shared" si="303"/>
        <v>6600</v>
      </c>
    </row>
    <row r="1101" spans="1:258" ht="25.15" customHeight="1" x14ac:dyDescent="0.25">
      <c r="A1101" s="53" t="s">
        <v>1962</v>
      </c>
      <c r="B1101" s="8" t="s">
        <v>654</v>
      </c>
      <c r="C1101" s="2">
        <f t="shared" si="305"/>
        <v>1622940</v>
      </c>
      <c r="D1101" s="3">
        <f t="shared" si="304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245.9</v>
      </c>
      <c r="N1101" s="3">
        <f t="shared" si="319"/>
        <v>1622940</v>
      </c>
      <c r="O1101" s="3">
        <v>0</v>
      </c>
      <c r="P1101" s="3">
        <v>0</v>
      </c>
      <c r="Q1101" s="3">
        <v>0</v>
      </c>
      <c r="R1101" s="3">
        <f t="shared" si="297"/>
        <v>0</v>
      </c>
      <c r="S1101" s="3">
        <v>0</v>
      </c>
      <c r="T1101" s="5">
        <v>0</v>
      </c>
      <c r="U1101" s="3">
        <v>0</v>
      </c>
      <c r="V1101" s="6">
        <f t="shared" si="303"/>
        <v>6600</v>
      </c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27"/>
      <c r="AJ1101" s="27"/>
      <c r="AK1101" s="27"/>
      <c r="AL1101" s="27"/>
      <c r="AM1101" s="27"/>
      <c r="AN1101" s="27"/>
      <c r="AO1101" s="27"/>
      <c r="AP1101" s="27"/>
      <c r="AQ1101" s="27"/>
      <c r="AR1101" s="27"/>
      <c r="AS1101" s="27"/>
      <c r="AT1101" s="27"/>
      <c r="AU1101" s="27"/>
      <c r="AV1101" s="27"/>
      <c r="AW1101" s="27"/>
      <c r="AX1101" s="27"/>
      <c r="AY1101" s="27"/>
      <c r="AZ1101" s="27"/>
      <c r="BA1101" s="27"/>
      <c r="BB1101" s="27"/>
      <c r="BC1101" s="27"/>
      <c r="BD1101" s="27"/>
      <c r="BE1101" s="27"/>
      <c r="BF1101" s="27"/>
      <c r="BG1101" s="27"/>
      <c r="BH1101" s="27"/>
      <c r="BI1101" s="27"/>
      <c r="BJ1101" s="27"/>
      <c r="BK1101" s="27"/>
      <c r="BL1101" s="27"/>
      <c r="BM1101" s="27"/>
      <c r="BN1101" s="27"/>
      <c r="BO1101" s="27"/>
      <c r="BP1101" s="27"/>
      <c r="BQ1101" s="27"/>
      <c r="BR1101" s="27"/>
      <c r="BS1101" s="27"/>
      <c r="BT1101" s="27"/>
      <c r="BU1101" s="27"/>
      <c r="BV1101" s="27"/>
      <c r="BW1101" s="27"/>
      <c r="BX1101" s="27"/>
      <c r="BY1101" s="27"/>
      <c r="BZ1101" s="27"/>
      <c r="CA1101" s="27"/>
      <c r="CB1101" s="27"/>
      <c r="CC1101" s="27"/>
      <c r="CD1101" s="27"/>
      <c r="CE1101" s="27"/>
      <c r="CF1101" s="27"/>
      <c r="CG1101" s="27"/>
      <c r="CH1101" s="27"/>
      <c r="CI1101" s="27"/>
      <c r="CJ1101" s="27"/>
      <c r="CK1101" s="27"/>
      <c r="CL1101" s="27"/>
      <c r="CM1101" s="27"/>
      <c r="CN1101" s="27"/>
      <c r="CO1101" s="27"/>
      <c r="CP1101" s="27"/>
      <c r="CQ1101" s="27"/>
      <c r="CR1101" s="27"/>
      <c r="CS1101" s="27"/>
      <c r="CT1101" s="27"/>
      <c r="CU1101" s="27"/>
      <c r="CV1101" s="27"/>
      <c r="CW1101" s="27"/>
      <c r="CX1101" s="27"/>
      <c r="CY1101" s="27"/>
      <c r="CZ1101" s="27"/>
      <c r="DA1101" s="27"/>
      <c r="DB1101" s="27"/>
      <c r="DC1101" s="27"/>
      <c r="DD1101" s="27"/>
      <c r="DE1101" s="27"/>
      <c r="DF1101" s="27"/>
      <c r="DG1101" s="27"/>
      <c r="DH1101" s="27"/>
      <c r="DI1101" s="27"/>
      <c r="DJ1101" s="27"/>
      <c r="DK1101" s="27"/>
      <c r="DL1101" s="27"/>
      <c r="DM1101" s="27"/>
      <c r="DN1101" s="27"/>
      <c r="DO1101" s="27"/>
      <c r="DP1101" s="27"/>
      <c r="DQ1101" s="27"/>
      <c r="DR1101" s="27"/>
      <c r="DS1101" s="27"/>
      <c r="DT1101" s="27"/>
      <c r="DU1101" s="27"/>
      <c r="DV1101" s="27"/>
      <c r="DW1101" s="27"/>
      <c r="DX1101" s="27"/>
      <c r="DY1101" s="27"/>
      <c r="DZ1101" s="27"/>
      <c r="EA1101" s="27"/>
      <c r="EB1101" s="27"/>
      <c r="EC1101" s="27"/>
      <c r="ED1101" s="27"/>
      <c r="EE1101" s="27"/>
      <c r="EF1101" s="27"/>
      <c r="EG1101" s="27"/>
      <c r="EH1101" s="27"/>
      <c r="EI1101" s="27"/>
      <c r="EJ1101" s="27"/>
      <c r="EK1101" s="27"/>
      <c r="EL1101" s="27"/>
      <c r="EM1101" s="27"/>
      <c r="EN1101" s="27"/>
      <c r="EO1101" s="27"/>
      <c r="EP1101" s="27"/>
      <c r="EQ1101" s="27"/>
      <c r="ER1101" s="27"/>
      <c r="ES1101" s="27"/>
      <c r="ET1101" s="27"/>
      <c r="EU1101" s="27"/>
      <c r="EV1101" s="27"/>
      <c r="EW1101" s="27"/>
      <c r="EX1101" s="27"/>
      <c r="EY1101" s="27"/>
      <c r="EZ1101" s="27"/>
      <c r="FA1101" s="27"/>
      <c r="FB1101" s="27"/>
      <c r="FC1101" s="27"/>
      <c r="FD1101" s="27"/>
      <c r="FE1101" s="27"/>
      <c r="FF1101" s="27"/>
      <c r="FG1101" s="27"/>
      <c r="FH1101" s="27"/>
      <c r="FI1101" s="27"/>
      <c r="FJ1101" s="27"/>
      <c r="FK1101" s="27"/>
      <c r="FL1101" s="27"/>
      <c r="FM1101" s="27"/>
      <c r="FN1101" s="27"/>
      <c r="FO1101" s="27"/>
      <c r="FP1101" s="27"/>
      <c r="FQ1101" s="27"/>
      <c r="FR1101" s="27"/>
      <c r="FS1101" s="27"/>
      <c r="FT1101" s="27"/>
      <c r="FU1101" s="27"/>
      <c r="FV1101" s="27"/>
      <c r="FW1101" s="27"/>
      <c r="FX1101" s="27"/>
      <c r="FY1101" s="27"/>
      <c r="FZ1101" s="27"/>
      <c r="GA1101" s="27"/>
      <c r="GB1101" s="27"/>
      <c r="GC1101" s="27"/>
      <c r="GD1101" s="27"/>
      <c r="GE1101" s="27"/>
      <c r="GF1101" s="27"/>
      <c r="GG1101" s="27"/>
      <c r="GH1101" s="27"/>
      <c r="GI1101" s="27"/>
      <c r="GJ1101" s="27"/>
      <c r="GK1101" s="27"/>
      <c r="GL1101" s="27"/>
      <c r="GM1101" s="27"/>
      <c r="GN1101" s="27"/>
      <c r="GO1101" s="27"/>
      <c r="GP1101" s="27"/>
      <c r="GQ1101" s="27"/>
      <c r="GR1101" s="27"/>
      <c r="GS1101" s="27"/>
      <c r="GT1101" s="27"/>
      <c r="GU1101" s="27"/>
      <c r="GV1101" s="27"/>
      <c r="GW1101" s="27"/>
      <c r="GX1101" s="27"/>
      <c r="GY1101" s="27"/>
      <c r="GZ1101" s="27"/>
      <c r="HA1101" s="27"/>
      <c r="HB1101" s="27"/>
      <c r="HC1101" s="27"/>
      <c r="HD1101" s="27"/>
      <c r="HE1101" s="27"/>
      <c r="HF1101" s="27"/>
      <c r="HG1101" s="27"/>
      <c r="HH1101" s="27"/>
      <c r="HI1101" s="27"/>
      <c r="HJ1101" s="27"/>
      <c r="HK1101" s="27"/>
      <c r="HL1101" s="27"/>
      <c r="HM1101" s="27"/>
      <c r="HN1101" s="27"/>
      <c r="HO1101" s="27"/>
      <c r="HP1101" s="27"/>
      <c r="HQ1101" s="27"/>
      <c r="HR1101" s="27"/>
      <c r="HS1101" s="27"/>
      <c r="HT1101" s="27"/>
      <c r="HU1101" s="27"/>
      <c r="HV1101" s="27"/>
      <c r="HW1101" s="27"/>
      <c r="HX1101" s="27"/>
      <c r="HY1101" s="27"/>
      <c r="HZ1101" s="27"/>
      <c r="IA1101" s="27"/>
      <c r="IB1101" s="27"/>
      <c r="IC1101" s="27"/>
      <c r="ID1101" s="27"/>
      <c r="IE1101" s="27"/>
      <c r="IF1101" s="27"/>
      <c r="IG1101" s="27"/>
      <c r="IH1101" s="27"/>
      <c r="II1101" s="27"/>
      <c r="IJ1101" s="27"/>
      <c r="IK1101" s="27"/>
      <c r="IL1101" s="27"/>
      <c r="IM1101" s="27"/>
      <c r="IN1101" s="27"/>
      <c r="IO1101" s="27"/>
      <c r="IP1101" s="27"/>
      <c r="IQ1101" s="27"/>
      <c r="IR1101" s="27"/>
      <c r="IS1101" s="27"/>
      <c r="IT1101" s="27"/>
      <c r="IU1101" s="27"/>
      <c r="IV1101" s="27"/>
      <c r="IW1101" s="27"/>
      <c r="IX1101" s="27"/>
    </row>
    <row r="1102" spans="1:258" ht="25.15" customHeight="1" x14ac:dyDescent="0.25">
      <c r="A1102" s="53" t="s">
        <v>1963</v>
      </c>
      <c r="B1102" s="8" t="s">
        <v>655</v>
      </c>
      <c r="C1102" s="2">
        <f t="shared" si="305"/>
        <v>1717320</v>
      </c>
      <c r="D1102" s="3">
        <f t="shared" si="304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3">
        <v>260.2</v>
      </c>
      <c r="N1102" s="3">
        <f t="shared" si="319"/>
        <v>1717320</v>
      </c>
      <c r="O1102" s="3">
        <v>0</v>
      </c>
      <c r="P1102" s="3">
        <v>0</v>
      </c>
      <c r="Q1102" s="3">
        <v>0</v>
      </c>
      <c r="R1102" s="3">
        <f t="shared" si="297"/>
        <v>0</v>
      </c>
      <c r="S1102" s="3">
        <v>0</v>
      </c>
      <c r="T1102" s="5">
        <v>0</v>
      </c>
      <c r="U1102" s="3">
        <v>0</v>
      </c>
      <c r="V1102" s="6">
        <f t="shared" si="303"/>
        <v>6600</v>
      </c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  <c r="BO1102" s="17"/>
      <c r="BP1102" s="17"/>
      <c r="BQ1102" s="17"/>
      <c r="BR1102" s="17"/>
      <c r="BS1102" s="17"/>
      <c r="BT1102" s="17"/>
      <c r="BU1102" s="17"/>
      <c r="BV1102" s="17"/>
      <c r="BW1102" s="17"/>
      <c r="BX1102" s="17"/>
      <c r="BY1102" s="17"/>
      <c r="BZ1102" s="17"/>
      <c r="CA1102" s="17"/>
      <c r="CB1102" s="17"/>
      <c r="CC1102" s="17"/>
      <c r="CD1102" s="17"/>
      <c r="CE1102" s="17"/>
      <c r="CF1102" s="17"/>
      <c r="CG1102" s="17"/>
      <c r="CH1102" s="17"/>
      <c r="CI1102" s="17"/>
      <c r="CJ1102" s="17"/>
      <c r="CK1102" s="17"/>
      <c r="CL1102" s="17"/>
      <c r="CM1102" s="17"/>
      <c r="CN1102" s="17"/>
      <c r="CO1102" s="17"/>
      <c r="CP1102" s="17"/>
      <c r="CQ1102" s="17"/>
      <c r="CR1102" s="17"/>
      <c r="CS1102" s="17"/>
      <c r="CT1102" s="17"/>
      <c r="CU1102" s="17"/>
      <c r="CV1102" s="17"/>
      <c r="CW1102" s="17"/>
      <c r="CX1102" s="17"/>
      <c r="CY1102" s="17"/>
      <c r="CZ1102" s="17"/>
      <c r="DA1102" s="17"/>
      <c r="DB1102" s="17"/>
      <c r="DC1102" s="17"/>
      <c r="DD1102" s="17"/>
      <c r="DE1102" s="17"/>
      <c r="DF1102" s="17"/>
      <c r="DG1102" s="17"/>
      <c r="DH1102" s="17"/>
      <c r="DI1102" s="17"/>
      <c r="DJ1102" s="17"/>
      <c r="DK1102" s="17"/>
      <c r="DL1102" s="17"/>
      <c r="DM1102" s="17"/>
      <c r="DN1102" s="17"/>
      <c r="DO1102" s="17"/>
      <c r="DP1102" s="17"/>
      <c r="DQ1102" s="17"/>
      <c r="DR1102" s="17"/>
      <c r="DS1102" s="17"/>
      <c r="DT1102" s="17"/>
      <c r="DU1102" s="17"/>
      <c r="DV1102" s="17"/>
      <c r="DW1102" s="17"/>
      <c r="DX1102" s="17"/>
      <c r="DY1102" s="17"/>
      <c r="DZ1102" s="17"/>
      <c r="EA1102" s="17"/>
      <c r="EB1102" s="17"/>
      <c r="EC1102" s="17"/>
      <c r="ED1102" s="17"/>
      <c r="EE1102" s="17"/>
      <c r="EF1102" s="17"/>
      <c r="EG1102" s="17"/>
      <c r="EH1102" s="17"/>
      <c r="EI1102" s="17"/>
      <c r="EJ1102" s="17"/>
      <c r="EK1102" s="17"/>
      <c r="EL1102" s="17"/>
      <c r="EM1102" s="17"/>
      <c r="EN1102" s="17"/>
      <c r="EO1102" s="17"/>
      <c r="EP1102" s="17"/>
      <c r="EQ1102" s="17"/>
      <c r="ER1102" s="17"/>
      <c r="ES1102" s="17"/>
      <c r="ET1102" s="17"/>
      <c r="EU1102" s="17"/>
      <c r="EV1102" s="17"/>
      <c r="EW1102" s="17"/>
      <c r="EX1102" s="17"/>
      <c r="EY1102" s="17"/>
      <c r="EZ1102" s="17"/>
      <c r="FA1102" s="17"/>
      <c r="FB1102" s="17"/>
      <c r="FC1102" s="17"/>
      <c r="FD1102" s="17"/>
      <c r="FE1102" s="17"/>
      <c r="FF1102" s="17"/>
      <c r="FG1102" s="17"/>
      <c r="FH1102" s="17"/>
      <c r="FI1102" s="17"/>
      <c r="FJ1102" s="17"/>
      <c r="FK1102" s="17"/>
      <c r="FL1102" s="17"/>
      <c r="FM1102" s="17"/>
      <c r="FN1102" s="17"/>
      <c r="FO1102" s="17"/>
      <c r="FP1102" s="17"/>
      <c r="FQ1102" s="17"/>
      <c r="FR1102" s="17"/>
      <c r="FS1102" s="17"/>
      <c r="FT1102" s="17"/>
      <c r="FU1102" s="17"/>
      <c r="FV1102" s="17"/>
      <c r="FW1102" s="17"/>
      <c r="FX1102" s="17"/>
      <c r="FY1102" s="17"/>
      <c r="FZ1102" s="17"/>
      <c r="GA1102" s="17"/>
      <c r="GB1102" s="17"/>
      <c r="GC1102" s="17"/>
      <c r="GD1102" s="17"/>
      <c r="GE1102" s="17"/>
      <c r="GF1102" s="17"/>
      <c r="GG1102" s="17"/>
      <c r="GH1102" s="17"/>
      <c r="GI1102" s="17"/>
      <c r="GJ1102" s="17"/>
      <c r="GK1102" s="17"/>
      <c r="GL1102" s="17"/>
      <c r="GM1102" s="17"/>
      <c r="GN1102" s="17"/>
      <c r="GO1102" s="17"/>
      <c r="GP1102" s="17"/>
      <c r="GQ1102" s="17"/>
      <c r="GR1102" s="17"/>
      <c r="GS1102" s="17"/>
      <c r="GT1102" s="17"/>
      <c r="GU1102" s="17"/>
      <c r="GV1102" s="17"/>
      <c r="GW1102" s="17"/>
      <c r="GX1102" s="17"/>
      <c r="GY1102" s="17"/>
      <c r="GZ1102" s="17"/>
      <c r="HA1102" s="17"/>
      <c r="HB1102" s="17"/>
      <c r="HC1102" s="17"/>
      <c r="HD1102" s="17"/>
      <c r="HE1102" s="17"/>
      <c r="HF1102" s="17"/>
      <c r="HG1102" s="17"/>
      <c r="HH1102" s="17"/>
      <c r="HI1102" s="17"/>
      <c r="HJ1102" s="17"/>
      <c r="HK1102" s="17"/>
      <c r="HL1102" s="17"/>
      <c r="HM1102" s="17"/>
      <c r="HN1102" s="17"/>
      <c r="HO1102" s="17"/>
      <c r="HP1102" s="17"/>
      <c r="HQ1102" s="17"/>
      <c r="HR1102" s="17"/>
      <c r="HS1102" s="17"/>
      <c r="HT1102" s="17"/>
      <c r="HU1102" s="17"/>
      <c r="HV1102" s="17"/>
      <c r="HW1102" s="17"/>
      <c r="HX1102" s="17"/>
      <c r="HY1102" s="17"/>
      <c r="HZ1102" s="17"/>
      <c r="IA1102" s="17"/>
      <c r="IB1102" s="17"/>
      <c r="IC1102" s="17"/>
      <c r="ID1102" s="17"/>
      <c r="IE1102" s="17"/>
      <c r="IF1102" s="17"/>
      <c r="IG1102" s="17"/>
      <c r="IH1102" s="17"/>
      <c r="II1102" s="17"/>
      <c r="IJ1102" s="17"/>
      <c r="IK1102" s="17"/>
      <c r="IL1102" s="17"/>
      <c r="IM1102" s="17"/>
      <c r="IN1102" s="17"/>
      <c r="IO1102" s="17"/>
      <c r="IP1102" s="17"/>
      <c r="IQ1102" s="17"/>
      <c r="IR1102" s="17"/>
      <c r="IS1102" s="17"/>
      <c r="IT1102" s="17"/>
      <c r="IU1102" s="17"/>
      <c r="IV1102" s="17"/>
      <c r="IW1102" s="17"/>
      <c r="IX1102" s="17"/>
    </row>
    <row r="1103" spans="1:258" ht="25.15" customHeight="1" x14ac:dyDescent="0.25">
      <c r="A1103" s="53" t="s">
        <v>1964</v>
      </c>
      <c r="B1103" s="8" t="s">
        <v>745</v>
      </c>
      <c r="C1103" s="2">
        <f t="shared" si="305"/>
        <v>1780020</v>
      </c>
      <c r="D1103" s="3">
        <f t="shared" si="304"/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4">
        <v>0</v>
      </c>
      <c r="L1103" s="3">
        <v>0</v>
      </c>
      <c r="M1103" s="5">
        <v>269.7</v>
      </c>
      <c r="N1103" s="3">
        <f t="shared" si="319"/>
        <v>1780020</v>
      </c>
      <c r="O1103" s="3">
        <v>0</v>
      </c>
      <c r="P1103" s="3">
        <v>0</v>
      </c>
      <c r="Q1103" s="3">
        <v>0</v>
      </c>
      <c r="R1103" s="3">
        <f t="shared" si="297"/>
        <v>0</v>
      </c>
      <c r="S1103" s="3">
        <v>0</v>
      </c>
      <c r="T1103" s="5">
        <v>0</v>
      </c>
      <c r="U1103" s="3">
        <v>0</v>
      </c>
      <c r="V1103" s="6">
        <f t="shared" si="303"/>
        <v>6600</v>
      </c>
    </row>
    <row r="1104" spans="1:258" ht="25.15" customHeight="1" x14ac:dyDescent="0.25">
      <c r="A1104" s="53" t="s">
        <v>1965</v>
      </c>
      <c r="B1104" s="8" t="s">
        <v>656</v>
      </c>
      <c r="C1104" s="2">
        <f t="shared" si="305"/>
        <v>1698839.9999999998</v>
      </c>
      <c r="D1104" s="3">
        <f t="shared" si="304"/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4">
        <v>0</v>
      </c>
      <c r="L1104" s="3">
        <v>0</v>
      </c>
      <c r="M1104" s="5">
        <v>257.39999999999998</v>
      </c>
      <c r="N1104" s="3">
        <f t="shared" si="319"/>
        <v>1698839.9999999998</v>
      </c>
      <c r="O1104" s="3">
        <v>0</v>
      </c>
      <c r="P1104" s="3">
        <v>0</v>
      </c>
      <c r="Q1104" s="3">
        <v>0</v>
      </c>
      <c r="R1104" s="3">
        <f t="shared" si="297"/>
        <v>0</v>
      </c>
      <c r="S1104" s="3">
        <v>0</v>
      </c>
      <c r="T1104" s="5">
        <v>0</v>
      </c>
      <c r="U1104" s="3">
        <v>0</v>
      </c>
      <c r="V1104" s="6">
        <f t="shared" si="303"/>
        <v>6600</v>
      </c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7"/>
      <c r="BF1104" s="17"/>
      <c r="BG1104" s="17"/>
      <c r="BH1104" s="17"/>
      <c r="BI1104" s="17"/>
      <c r="BJ1104" s="17"/>
      <c r="BK1104" s="17"/>
      <c r="BL1104" s="17"/>
      <c r="BM1104" s="17"/>
      <c r="BN1104" s="17"/>
      <c r="BO1104" s="17"/>
      <c r="BP1104" s="17"/>
      <c r="BQ1104" s="17"/>
      <c r="BR1104" s="17"/>
      <c r="BS1104" s="17"/>
      <c r="BT1104" s="17"/>
      <c r="BU1104" s="17"/>
      <c r="BV1104" s="17"/>
      <c r="BW1104" s="17"/>
      <c r="BX1104" s="17"/>
      <c r="BY1104" s="17"/>
      <c r="BZ1104" s="17"/>
      <c r="CA1104" s="17"/>
      <c r="CB1104" s="17"/>
      <c r="CC1104" s="17"/>
      <c r="CD1104" s="17"/>
      <c r="CE1104" s="17"/>
      <c r="CF1104" s="17"/>
      <c r="CG1104" s="17"/>
      <c r="CH1104" s="17"/>
      <c r="CI1104" s="17"/>
      <c r="CJ1104" s="17"/>
      <c r="CK1104" s="17"/>
      <c r="CL1104" s="17"/>
      <c r="CM1104" s="17"/>
      <c r="CN1104" s="17"/>
      <c r="CO1104" s="17"/>
      <c r="CP1104" s="17"/>
      <c r="CQ1104" s="17"/>
      <c r="CR1104" s="17"/>
      <c r="CS1104" s="17"/>
      <c r="CT1104" s="17"/>
      <c r="CU1104" s="17"/>
      <c r="CV1104" s="17"/>
      <c r="CW1104" s="17"/>
      <c r="CX1104" s="17"/>
      <c r="CY1104" s="17"/>
      <c r="CZ1104" s="17"/>
      <c r="DA1104" s="17"/>
      <c r="DB1104" s="17"/>
      <c r="DC1104" s="17"/>
      <c r="DD1104" s="17"/>
      <c r="DE1104" s="17"/>
      <c r="DF1104" s="17"/>
      <c r="DG1104" s="17"/>
      <c r="DH1104" s="17"/>
      <c r="DI1104" s="17"/>
      <c r="DJ1104" s="17"/>
      <c r="DK1104" s="17"/>
      <c r="DL1104" s="17"/>
      <c r="DM1104" s="17"/>
      <c r="DN1104" s="17"/>
      <c r="DO1104" s="17"/>
      <c r="DP1104" s="17"/>
      <c r="DQ1104" s="17"/>
      <c r="DR1104" s="17"/>
      <c r="DS1104" s="17"/>
      <c r="DT1104" s="17"/>
      <c r="DU1104" s="17"/>
      <c r="DV1104" s="17"/>
      <c r="DW1104" s="17"/>
      <c r="DX1104" s="17"/>
      <c r="DY1104" s="17"/>
      <c r="DZ1104" s="17"/>
      <c r="EA1104" s="17"/>
      <c r="EB1104" s="17"/>
      <c r="EC1104" s="17"/>
      <c r="ED1104" s="17"/>
      <c r="EE1104" s="17"/>
      <c r="EF1104" s="17"/>
      <c r="EG1104" s="17"/>
      <c r="EH1104" s="17"/>
      <c r="EI1104" s="17"/>
      <c r="EJ1104" s="17"/>
      <c r="EK1104" s="17"/>
      <c r="EL1104" s="17"/>
      <c r="EM1104" s="17"/>
      <c r="EN1104" s="17"/>
      <c r="EO1104" s="17"/>
      <c r="EP1104" s="17"/>
      <c r="EQ1104" s="17"/>
      <c r="ER1104" s="17"/>
      <c r="ES1104" s="17"/>
      <c r="ET1104" s="17"/>
      <c r="EU1104" s="17"/>
      <c r="EV1104" s="17"/>
      <c r="EW1104" s="17"/>
      <c r="EX1104" s="17"/>
      <c r="EY1104" s="17"/>
      <c r="EZ1104" s="17"/>
      <c r="FA1104" s="17"/>
      <c r="FB1104" s="17"/>
      <c r="FC1104" s="17"/>
      <c r="FD1104" s="17"/>
      <c r="FE1104" s="17"/>
      <c r="FF1104" s="17"/>
      <c r="FG1104" s="17"/>
      <c r="FH1104" s="17"/>
      <c r="FI1104" s="17"/>
      <c r="FJ1104" s="17"/>
      <c r="FK1104" s="17"/>
      <c r="FL1104" s="17"/>
      <c r="FM1104" s="17"/>
      <c r="FN1104" s="17"/>
      <c r="FO1104" s="17"/>
      <c r="FP1104" s="17"/>
      <c r="FQ1104" s="17"/>
      <c r="FR1104" s="17"/>
      <c r="FS1104" s="17"/>
      <c r="FT1104" s="17"/>
      <c r="FU1104" s="17"/>
      <c r="FV1104" s="17"/>
      <c r="FW1104" s="17"/>
      <c r="FX1104" s="17"/>
      <c r="FY1104" s="17"/>
      <c r="FZ1104" s="17"/>
      <c r="GA1104" s="17"/>
      <c r="GB1104" s="17"/>
      <c r="GC1104" s="17"/>
      <c r="GD1104" s="17"/>
      <c r="GE1104" s="17"/>
      <c r="GF1104" s="17"/>
      <c r="GG1104" s="17"/>
      <c r="GH1104" s="17"/>
      <c r="GI1104" s="17"/>
      <c r="GJ1104" s="17"/>
      <c r="GK1104" s="17"/>
      <c r="GL1104" s="17"/>
      <c r="GM1104" s="17"/>
      <c r="GN1104" s="17"/>
      <c r="GO1104" s="17"/>
      <c r="GP1104" s="17"/>
      <c r="GQ1104" s="17"/>
      <c r="GR1104" s="17"/>
      <c r="GS1104" s="17"/>
      <c r="GT1104" s="17"/>
      <c r="GU1104" s="17"/>
      <c r="GV1104" s="17"/>
      <c r="GW1104" s="17"/>
      <c r="GX1104" s="17"/>
      <c r="GY1104" s="17"/>
      <c r="GZ1104" s="17"/>
      <c r="HA1104" s="17"/>
      <c r="HB1104" s="17"/>
      <c r="HC1104" s="17"/>
      <c r="HD1104" s="17"/>
      <c r="HE1104" s="17"/>
      <c r="HF1104" s="17"/>
      <c r="HG1104" s="17"/>
      <c r="HH1104" s="17"/>
      <c r="HI1104" s="17"/>
      <c r="HJ1104" s="17"/>
      <c r="HK1104" s="17"/>
      <c r="HL1104" s="17"/>
      <c r="HM1104" s="17"/>
      <c r="HN1104" s="17"/>
      <c r="HO1104" s="17"/>
      <c r="HP1104" s="17"/>
      <c r="HQ1104" s="17"/>
      <c r="HR1104" s="17"/>
      <c r="HS1104" s="17"/>
      <c r="HT1104" s="17"/>
      <c r="HU1104" s="17"/>
      <c r="HV1104" s="17"/>
      <c r="HW1104" s="17"/>
      <c r="HX1104" s="17"/>
      <c r="HY1104" s="17"/>
      <c r="HZ1104" s="17"/>
      <c r="IA1104" s="17"/>
      <c r="IB1104" s="17"/>
      <c r="IC1104" s="17"/>
      <c r="ID1104" s="17"/>
      <c r="IE1104" s="17"/>
      <c r="IF1104" s="17"/>
      <c r="IG1104" s="17"/>
      <c r="IH1104" s="17"/>
      <c r="II1104" s="17"/>
      <c r="IJ1104" s="17"/>
      <c r="IK1104" s="17"/>
      <c r="IL1104" s="17"/>
      <c r="IM1104" s="17"/>
      <c r="IN1104" s="17"/>
      <c r="IO1104" s="17"/>
      <c r="IP1104" s="17"/>
      <c r="IQ1104" s="17"/>
      <c r="IR1104" s="17"/>
      <c r="IS1104" s="17"/>
      <c r="IT1104" s="17"/>
      <c r="IU1104" s="17"/>
      <c r="IV1104" s="17"/>
      <c r="IW1104" s="17"/>
      <c r="IX1104" s="17"/>
    </row>
    <row r="1105" spans="1:22" ht="25.15" customHeight="1" x14ac:dyDescent="0.25">
      <c r="A1105" s="53" t="s">
        <v>1966</v>
      </c>
      <c r="B1105" s="8" t="s">
        <v>657</v>
      </c>
      <c r="C1105" s="2">
        <f t="shared" si="305"/>
        <v>1739760.0000000002</v>
      </c>
      <c r="D1105" s="3">
        <f t="shared" si="304"/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4">
        <v>0</v>
      </c>
      <c r="L1105" s="3">
        <v>0</v>
      </c>
      <c r="M1105" s="3">
        <v>263.60000000000002</v>
      </c>
      <c r="N1105" s="3">
        <f t="shared" si="319"/>
        <v>1739760.0000000002</v>
      </c>
      <c r="O1105" s="3">
        <v>0</v>
      </c>
      <c r="P1105" s="3">
        <v>0</v>
      </c>
      <c r="Q1105" s="3">
        <v>0</v>
      </c>
      <c r="R1105" s="3">
        <f t="shared" si="297"/>
        <v>0</v>
      </c>
      <c r="S1105" s="3">
        <v>0</v>
      </c>
      <c r="T1105" s="5">
        <v>0</v>
      </c>
      <c r="U1105" s="3">
        <v>0</v>
      </c>
      <c r="V1105" s="6">
        <f t="shared" si="303"/>
        <v>6600</v>
      </c>
    </row>
    <row r="1106" spans="1:22" ht="25.15" customHeight="1" x14ac:dyDescent="0.25">
      <c r="A1106" s="53" t="s">
        <v>1967</v>
      </c>
      <c r="B1106" s="8" t="s">
        <v>658</v>
      </c>
      <c r="C1106" s="2">
        <f t="shared" si="305"/>
        <v>2553540</v>
      </c>
      <c r="D1106" s="3">
        <f t="shared" si="304"/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4">
        <v>0</v>
      </c>
      <c r="L1106" s="3">
        <v>0</v>
      </c>
      <c r="M1106" s="3">
        <v>386.9</v>
      </c>
      <c r="N1106" s="3">
        <f t="shared" si="319"/>
        <v>2553540</v>
      </c>
      <c r="O1106" s="3">
        <v>0</v>
      </c>
      <c r="P1106" s="3">
        <v>0</v>
      </c>
      <c r="Q1106" s="3">
        <v>0</v>
      </c>
      <c r="R1106" s="3">
        <f t="shared" si="297"/>
        <v>0</v>
      </c>
      <c r="S1106" s="3">
        <v>0</v>
      </c>
      <c r="T1106" s="5">
        <v>0</v>
      </c>
      <c r="U1106" s="3">
        <v>0</v>
      </c>
      <c r="V1106" s="6">
        <f t="shared" si="303"/>
        <v>6600</v>
      </c>
    </row>
    <row r="1107" spans="1:22" ht="25.15" customHeight="1" x14ac:dyDescent="0.25">
      <c r="A1107" s="53" t="s">
        <v>1968</v>
      </c>
      <c r="B1107" s="8" t="s">
        <v>560</v>
      </c>
      <c r="C1107" s="2">
        <f t="shared" si="305"/>
        <v>3366000</v>
      </c>
      <c r="D1107" s="3">
        <f>SUM(E1107:J1107)</f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11">
        <v>0</v>
      </c>
      <c r="L1107" s="5">
        <v>0</v>
      </c>
      <c r="M1107" s="5">
        <v>510</v>
      </c>
      <c r="N1107" s="3">
        <f t="shared" si="319"/>
        <v>3366000</v>
      </c>
      <c r="O1107" s="5">
        <v>0</v>
      </c>
      <c r="P1107" s="5">
        <v>0</v>
      </c>
      <c r="Q1107" s="5">
        <v>0</v>
      </c>
      <c r="R1107" s="3">
        <f t="shared" si="297"/>
        <v>0</v>
      </c>
      <c r="S1107" s="5">
        <v>0</v>
      </c>
      <c r="T1107" s="5">
        <v>0</v>
      </c>
      <c r="U1107" s="5">
        <v>0</v>
      </c>
      <c r="V1107" s="6">
        <f t="shared" si="303"/>
        <v>6600</v>
      </c>
    </row>
    <row r="1108" spans="1:22" ht="25.15" customHeight="1" x14ac:dyDescent="0.25">
      <c r="A1108" s="53" t="s">
        <v>1969</v>
      </c>
      <c r="B1108" s="8" t="s">
        <v>843</v>
      </c>
      <c r="C1108" s="2">
        <f t="shared" si="305"/>
        <v>2900000</v>
      </c>
      <c r="D1108" s="3">
        <f t="shared" si="304"/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4">
        <v>1</v>
      </c>
      <c r="L1108" s="3">
        <f>K1108*2700000</f>
        <v>2700000</v>
      </c>
      <c r="M1108" s="3">
        <v>0</v>
      </c>
      <c r="N1108" s="3">
        <v>0</v>
      </c>
      <c r="O1108" s="3">
        <v>0</v>
      </c>
      <c r="P1108" s="3">
        <v>0</v>
      </c>
      <c r="Q1108" s="3">
        <v>0</v>
      </c>
      <c r="R1108" s="3">
        <f t="shared" si="297"/>
        <v>0</v>
      </c>
      <c r="S1108" s="3">
        <v>0</v>
      </c>
      <c r="T1108" s="5">
        <v>0</v>
      </c>
      <c r="U1108" s="3">
        <v>200000</v>
      </c>
      <c r="V1108" s="6" t="e">
        <f t="shared" si="303"/>
        <v>#DIV/0!</v>
      </c>
    </row>
    <row r="1109" spans="1:22" ht="25.15" customHeight="1" x14ac:dyDescent="0.25">
      <c r="A1109" s="53" t="s">
        <v>1970</v>
      </c>
      <c r="B1109" s="8" t="s">
        <v>1003</v>
      </c>
      <c r="C1109" s="2">
        <f t="shared" si="305"/>
        <v>2800000</v>
      </c>
      <c r="D1109" s="3">
        <f t="shared" si="304"/>
        <v>0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4">
        <v>1</v>
      </c>
      <c r="L1109" s="3">
        <v>2700000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3">
        <f t="shared" si="297"/>
        <v>0</v>
      </c>
      <c r="S1109" s="3">
        <v>0</v>
      </c>
      <c r="T1109" s="5">
        <v>0</v>
      </c>
      <c r="U1109" s="3">
        <v>100000</v>
      </c>
      <c r="V1109" s="6" t="e">
        <f t="shared" si="303"/>
        <v>#DIV/0!</v>
      </c>
    </row>
    <row r="1110" spans="1:22" ht="25.15" customHeight="1" x14ac:dyDescent="0.25">
      <c r="A1110" s="53" t="s">
        <v>1971</v>
      </c>
      <c r="B1110" s="8" t="s">
        <v>746</v>
      </c>
      <c r="C1110" s="2">
        <f t="shared" si="305"/>
        <v>4421075</v>
      </c>
      <c r="D1110" s="3">
        <f t="shared" si="304"/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4">
        <v>0</v>
      </c>
      <c r="L1110" s="3">
        <v>0</v>
      </c>
      <c r="M1110" s="5">
        <v>993.5</v>
      </c>
      <c r="N1110" s="3">
        <f>M1110*4450</f>
        <v>4421075</v>
      </c>
      <c r="O1110" s="3">
        <v>0</v>
      </c>
      <c r="P1110" s="3">
        <v>0</v>
      </c>
      <c r="Q1110" s="3">
        <v>0</v>
      </c>
      <c r="R1110" s="3">
        <f t="shared" ref="R1110:R1121" si="320">Q1110*3200</f>
        <v>0</v>
      </c>
      <c r="S1110" s="3">
        <v>0</v>
      </c>
      <c r="T1110" s="5">
        <v>0</v>
      </c>
      <c r="U1110" s="3">
        <v>0</v>
      </c>
      <c r="V1110" s="6">
        <f t="shared" si="303"/>
        <v>4450</v>
      </c>
    </row>
    <row r="1111" spans="1:22" ht="25.15" customHeight="1" x14ac:dyDescent="0.25">
      <c r="A1111" s="53" t="s">
        <v>1972</v>
      </c>
      <c r="B1111" s="8" t="s">
        <v>802</v>
      </c>
      <c r="C1111" s="2">
        <f t="shared" si="305"/>
        <v>19551810</v>
      </c>
      <c r="D1111" s="3">
        <f t="shared" si="304"/>
        <v>7716810</v>
      </c>
      <c r="E1111" s="3">
        <f>700*2572.27</f>
        <v>1800589</v>
      </c>
      <c r="F1111" s="3">
        <f>1300*2572.27</f>
        <v>3343951</v>
      </c>
      <c r="G1111" s="3">
        <f>300*2572.27</f>
        <v>771681</v>
      </c>
      <c r="H1111" s="3">
        <f>400*2572.27</f>
        <v>1028908</v>
      </c>
      <c r="I1111" s="3">
        <f>300*2572.27</f>
        <v>771681</v>
      </c>
      <c r="J1111" s="3">
        <v>0</v>
      </c>
      <c r="K1111" s="4">
        <v>0</v>
      </c>
      <c r="L1111" s="3">
        <v>0</v>
      </c>
      <c r="M1111" s="5">
        <v>940</v>
      </c>
      <c r="N1111" s="3">
        <f>M1111*4450</f>
        <v>4183000</v>
      </c>
      <c r="O1111" s="3">
        <v>0</v>
      </c>
      <c r="P1111" s="3">
        <v>0</v>
      </c>
      <c r="Q1111" s="5">
        <v>2360</v>
      </c>
      <c r="R1111" s="3">
        <f t="shared" si="320"/>
        <v>7552000</v>
      </c>
      <c r="S1111" s="5">
        <v>0</v>
      </c>
      <c r="T1111" s="5">
        <v>0</v>
      </c>
      <c r="U1111" s="3">
        <v>100000</v>
      </c>
      <c r="V1111" s="6">
        <f t="shared" si="303"/>
        <v>4450</v>
      </c>
    </row>
    <row r="1112" spans="1:22" ht="25.15" customHeight="1" x14ac:dyDescent="0.25">
      <c r="A1112" s="53" t="s">
        <v>1973</v>
      </c>
      <c r="B1112" s="8" t="s">
        <v>803</v>
      </c>
      <c r="C1112" s="2">
        <f t="shared" si="305"/>
        <v>24930420</v>
      </c>
      <c r="D1112" s="3">
        <f t="shared" si="304"/>
        <v>11145120</v>
      </c>
      <c r="E1112" s="3">
        <f>700*3715.04</f>
        <v>2600528</v>
      </c>
      <c r="F1112" s="3">
        <f>1300*3715.04</f>
        <v>4829552</v>
      </c>
      <c r="G1112" s="3">
        <f>300*3715.04</f>
        <v>1114512</v>
      </c>
      <c r="H1112" s="3">
        <f>400*3715.04</f>
        <v>1486016</v>
      </c>
      <c r="I1112" s="3">
        <f>300*3715.04</f>
        <v>1114512</v>
      </c>
      <c r="J1112" s="3">
        <v>0</v>
      </c>
      <c r="K1112" s="4">
        <v>0</v>
      </c>
      <c r="L1112" s="3">
        <v>0</v>
      </c>
      <c r="M1112" s="5">
        <v>954</v>
      </c>
      <c r="N1112" s="3">
        <f>M1112*4450</f>
        <v>4245300</v>
      </c>
      <c r="O1112" s="3">
        <v>0</v>
      </c>
      <c r="P1112" s="3">
        <v>0</v>
      </c>
      <c r="Q1112" s="3">
        <v>2950</v>
      </c>
      <c r="R1112" s="3">
        <f t="shared" si="320"/>
        <v>9440000</v>
      </c>
      <c r="S1112" s="3">
        <v>0</v>
      </c>
      <c r="T1112" s="5">
        <v>0</v>
      </c>
      <c r="U1112" s="3">
        <v>100000</v>
      </c>
      <c r="V1112" s="6">
        <f t="shared" si="303"/>
        <v>4450</v>
      </c>
    </row>
    <row r="1113" spans="1:22" ht="25.15" customHeight="1" x14ac:dyDescent="0.25">
      <c r="A1113" s="53" t="s">
        <v>1974</v>
      </c>
      <c r="B1113" s="8" t="s">
        <v>804</v>
      </c>
      <c r="C1113" s="2">
        <f t="shared" si="305"/>
        <v>19497410</v>
      </c>
      <c r="D1113" s="3">
        <f t="shared" si="304"/>
        <v>7640159.9999999991</v>
      </c>
      <c r="E1113" s="3">
        <f>700*2546.72</f>
        <v>1782703.9999999998</v>
      </c>
      <c r="F1113" s="3">
        <f>1300*2546.72</f>
        <v>3310735.9999999995</v>
      </c>
      <c r="G1113" s="3">
        <f>300*2546.72</f>
        <v>764015.99999999988</v>
      </c>
      <c r="H1113" s="3">
        <f>400*2546.72</f>
        <v>1018687.9999999999</v>
      </c>
      <c r="I1113" s="3">
        <f>300*2546.72</f>
        <v>764015.99999999988</v>
      </c>
      <c r="J1113" s="3">
        <v>0</v>
      </c>
      <c r="K1113" s="4">
        <v>0</v>
      </c>
      <c r="L1113" s="3">
        <v>0</v>
      </c>
      <c r="M1113" s="5">
        <v>945</v>
      </c>
      <c r="N1113" s="3">
        <f>M1113*4450</f>
        <v>4205250</v>
      </c>
      <c r="O1113" s="3">
        <v>0</v>
      </c>
      <c r="P1113" s="3">
        <v>0</v>
      </c>
      <c r="Q1113" s="5">
        <v>2360</v>
      </c>
      <c r="R1113" s="3">
        <f t="shared" si="320"/>
        <v>7552000</v>
      </c>
      <c r="S1113" s="3">
        <v>0</v>
      </c>
      <c r="T1113" s="5">
        <v>0</v>
      </c>
      <c r="U1113" s="5">
        <v>100000</v>
      </c>
      <c r="V1113" s="6">
        <f t="shared" si="303"/>
        <v>4450</v>
      </c>
    </row>
    <row r="1114" spans="1:22" ht="25.15" customHeight="1" x14ac:dyDescent="0.25">
      <c r="A1114" s="53" t="s">
        <v>1975</v>
      </c>
      <c r="B1114" s="8" t="s">
        <v>659</v>
      </c>
      <c r="C1114" s="2">
        <f t="shared" si="305"/>
        <v>4966820</v>
      </c>
      <c r="D1114" s="3">
        <f t="shared" si="304"/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11">
        <v>0</v>
      </c>
      <c r="L1114" s="5">
        <v>0</v>
      </c>
      <c r="M1114" s="5">
        <v>427.7</v>
      </c>
      <c r="N1114" s="3">
        <f t="shared" ref="N1114:N1121" si="321">M1114*6600</f>
        <v>2822820</v>
      </c>
      <c r="O1114" s="5">
        <v>0</v>
      </c>
      <c r="P1114" s="5">
        <v>0</v>
      </c>
      <c r="Q1114" s="5">
        <v>670</v>
      </c>
      <c r="R1114" s="3">
        <f t="shared" si="320"/>
        <v>2144000</v>
      </c>
      <c r="S1114" s="5">
        <v>0</v>
      </c>
      <c r="T1114" s="5">
        <v>0</v>
      </c>
      <c r="U1114" s="5">
        <v>0</v>
      </c>
      <c r="V1114" s="6">
        <f t="shared" si="303"/>
        <v>6600</v>
      </c>
    </row>
    <row r="1115" spans="1:22" ht="24.6" customHeight="1" x14ac:dyDescent="0.25">
      <c r="A1115" s="53" t="s">
        <v>1976</v>
      </c>
      <c r="B1115" s="8" t="s">
        <v>660</v>
      </c>
      <c r="C1115" s="2">
        <f t="shared" si="305"/>
        <v>3475760</v>
      </c>
      <c r="D1115" s="3">
        <f t="shared" si="304"/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11">
        <v>0</v>
      </c>
      <c r="L1115" s="5">
        <v>0</v>
      </c>
      <c r="M1115" s="3">
        <v>303.60000000000002</v>
      </c>
      <c r="N1115" s="3">
        <f t="shared" si="321"/>
        <v>2003760.0000000002</v>
      </c>
      <c r="O1115" s="3">
        <v>0</v>
      </c>
      <c r="P1115" s="3">
        <v>0</v>
      </c>
      <c r="Q1115" s="3">
        <v>460</v>
      </c>
      <c r="R1115" s="3">
        <f t="shared" si="320"/>
        <v>1472000</v>
      </c>
      <c r="S1115" s="5">
        <v>0</v>
      </c>
      <c r="T1115" s="5">
        <v>0</v>
      </c>
      <c r="U1115" s="5">
        <v>0</v>
      </c>
      <c r="V1115" s="6">
        <f t="shared" si="303"/>
        <v>6600</v>
      </c>
    </row>
    <row r="1116" spans="1:22" ht="25.15" customHeight="1" x14ac:dyDescent="0.25">
      <c r="A1116" s="53" t="s">
        <v>1977</v>
      </c>
      <c r="B1116" s="8" t="s">
        <v>661</v>
      </c>
      <c r="C1116" s="2">
        <f t="shared" si="305"/>
        <v>3452000</v>
      </c>
      <c r="D1116" s="3">
        <f t="shared" si="304"/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11">
        <v>0</v>
      </c>
      <c r="L1116" s="5">
        <v>0</v>
      </c>
      <c r="M1116" s="3">
        <v>300</v>
      </c>
      <c r="N1116" s="3">
        <f t="shared" si="321"/>
        <v>1980000</v>
      </c>
      <c r="O1116" s="3">
        <v>0</v>
      </c>
      <c r="P1116" s="3">
        <v>0</v>
      </c>
      <c r="Q1116" s="3">
        <v>460</v>
      </c>
      <c r="R1116" s="3">
        <f t="shared" si="320"/>
        <v>1472000</v>
      </c>
      <c r="S1116" s="3">
        <v>0</v>
      </c>
      <c r="T1116" s="5">
        <v>0</v>
      </c>
      <c r="U1116" s="5">
        <v>0</v>
      </c>
      <c r="V1116" s="6">
        <f t="shared" si="303"/>
        <v>6600</v>
      </c>
    </row>
    <row r="1117" spans="1:22" ht="25.15" customHeight="1" x14ac:dyDescent="0.25">
      <c r="A1117" s="53" t="s">
        <v>1978</v>
      </c>
      <c r="B1117" s="8" t="s">
        <v>662</v>
      </c>
      <c r="C1117" s="2">
        <f t="shared" si="305"/>
        <v>3484340</v>
      </c>
      <c r="D1117" s="3">
        <f t="shared" si="304"/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11">
        <v>0</v>
      </c>
      <c r="L1117" s="5">
        <v>0</v>
      </c>
      <c r="M1117" s="3">
        <v>304.89999999999998</v>
      </c>
      <c r="N1117" s="3">
        <f t="shared" si="321"/>
        <v>2012339.9999999998</v>
      </c>
      <c r="O1117" s="3">
        <v>0</v>
      </c>
      <c r="P1117" s="3">
        <v>0</v>
      </c>
      <c r="Q1117" s="3">
        <v>460</v>
      </c>
      <c r="R1117" s="3">
        <f t="shared" si="320"/>
        <v>1472000</v>
      </c>
      <c r="S1117" s="3">
        <v>0</v>
      </c>
      <c r="T1117" s="5">
        <v>0</v>
      </c>
      <c r="U1117" s="5">
        <v>0</v>
      </c>
      <c r="V1117" s="6">
        <f t="shared" si="303"/>
        <v>6600</v>
      </c>
    </row>
    <row r="1118" spans="1:22" ht="25.15" customHeight="1" x14ac:dyDescent="0.25">
      <c r="A1118" s="53" t="s">
        <v>1979</v>
      </c>
      <c r="B1118" s="8" t="s">
        <v>747</v>
      </c>
      <c r="C1118" s="2">
        <f t="shared" si="305"/>
        <v>4593600</v>
      </c>
      <c r="D1118" s="3">
        <f t="shared" si="304"/>
        <v>0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4">
        <v>0</v>
      </c>
      <c r="L1118" s="3">
        <v>0</v>
      </c>
      <c r="M1118" s="5">
        <v>696</v>
      </c>
      <c r="N1118" s="3">
        <f t="shared" si="321"/>
        <v>4593600</v>
      </c>
      <c r="O1118" s="3">
        <v>0</v>
      </c>
      <c r="P1118" s="3">
        <v>0</v>
      </c>
      <c r="Q1118" s="3">
        <v>0</v>
      </c>
      <c r="R1118" s="3">
        <f t="shared" si="320"/>
        <v>0</v>
      </c>
      <c r="S1118" s="3">
        <v>0</v>
      </c>
      <c r="T1118" s="5">
        <v>0</v>
      </c>
      <c r="U1118" s="3">
        <v>0</v>
      </c>
      <c r="V1118" s="6">
        <f t="shared" si="303"/>
        <v>6600</v>
      </c>
    </row>
    <row r="1119" spans="1:22" ht="25.15" customHeight="1" x14ac:dyDescent="0.25">
      <c r="A1119" s="53" t="s">
        <v>1980</v>
      </c>
      <c r="B1119" s="8" t="s">
        <v>414</v>
      </c>
      <c r="C1119" s="2">
        <f t="shared" si="305"/>
        <v>5021280</v>
      </c>
      <c r="D1119" s="3">
        <f t="shared" si="304"/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760.8</v>
      </c>
      <c r="N1119" s="3">
        <f t="shared" si="321"/>
        <v>5021280</v>
      </c>
      <c r="O1119" s="3">
        <v>0</v>
      </c>
      <c r="P1119" s="3">
        <v>0</v>
      </c>
      <c r="Q1119" s="3">
        <v>0</v>
      </c>
      <c r="R1119" s="3">
        <f t="shared" si="320"/>
        <v>0</v>
      </c>
      <c r="S1119" s="3">
        <v>0</v>
      </c>
      <c r="T1119" s="5">
        <v>0</v>
      </c>
      <c r="U1119" s="3">
        <v>0</v>
      </c>
      <c r="V1119" s="6">
        <f t="shared" si="303"/>
        <v>6600</v>
      </c>
    </row>
    <row r="1120" spans="1:22" ht="25.15" customHeight="1" x14ac:dyDescent="0.25">
      <c r="A1120" s="53" t="s">
        <v>1981</v>
      </c>
      <c r="B1120" s="8" t="s">
        <v>415</v>
      </c>
      <c r="C1120" s="2">
        <f t="shared" si="305"/>
        <v>300000</v>
      </c>
      <c r="D1120" s="3">
        <f t="shared" si="304"/>
        <v>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4">
        <v>0</v>
      </c>
      <c r="L1120" s="3">
        <v>0</v>
      </c>
      <c r="M1120" s="3">
        <v>0</v>
      </c>
      <c r="N1120" s="3">
        <f t="shared" si="321"/>
        <v>0</v>
      </c>
      <c r="O1120" s="3">
        <v>0</v>
      </c>
      <c r="P1120" s="3">
        <v>0</v>
      </c>
      <c r="Q1120" s="3">
        <v>0</v>
      </c>
      <c r="R1120" s="3">
        <f t="shared" si="320"/>
        <v>0</v>
      </c>
      <c r="S1120" s="3">
        <v>0</v>
      </c>
      <c r="T1120" s="5">
        <v>0</v>
      </c>
      <c r="U1120" s="3">
        <v>300000</v>
      </c>
      <c r="V1120" s="6" t="e">
        <f t="shared" si="303"/>
        <v>#DIV/0!</v>
      </c>
    </row>
    <row r="1121" spans="1:258" ht="25.15" customHeight="1" x14ac:dyDescent="0.25">
      <c r="A1121" s="53" t="s">
        <v>1982</v>
      </c>
      <c r="B1121" s="8" t="s">
        <v>663</v>
      </c>
      <c r="C1121" s="2">
        <f t="shared" si="305"/>
        <v>3942179.9999999995</v>
      </c>
      <c r="D1121" s="3">
        <f t="shared" si="304"/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4">
        <v>0</v>
      </c>
      <c r="L1121" s="3">
        <v>0</v>
      </c>
      <c r="M1121" s="3">
        <v>597.29999999999995</v>
      </c>
      <c r="N1121" s="3">
        <f t="shared" si="321"/>
        <v>3942179.9999999995</v>
      </c>
      <c r="O1121" s="3">
        <v>0</v>
      </c>
      <c r="P1121" s="3">
        <v>0</v>
      </c>
      <c r="Q1121" s="3">
        <v>0</v>
      </c>
      <c r="R1121" s="3">
        <f t="shared" si="320"/>
        <v>0</v>
      </c>
      <c r="S1121" s="3">
        <v>0</v>
      </c>
      <c r="T1121" s="5">
        <v>0</v>
      </c>
      <c r="U1121" s="3">
        <v>0</v>
      </c>
      <c r="V1121" s="6">
        <f t="shared" si="303"/>
        <v>6600</v>
      </c>
    </row>
    <row r="1122" spans="1:258" ht="42.95" customHeight="1" x14ac:dyDescent="0.25">
      <c r="A1122" s="54" t="s">
        <v>300</v>
      </c>
      <c r="B1122" s="54"/>
      <c r="C1122" s="2">
        <f>SUM(C1123)</f>
        <v>10113396</v>
      </c>
      <c r="D1122" s="2">
        <f t="shared" ref="D1122:U1122" si="322">SUM(D1123)</f>
        <v>5592340</v>
      </c>
      <c r="E1122" s="2">
        <f t="shared" si="322"/>
        <v>1505630</v>
      </c>
      <c r="F1122" s="2">
        <f t="shared" si="322"/>
        <v>2796170</v>
      </c>
      <c r="G1122" s="2">
        <f t="shared" si="322"/>
        <v>645270</v>
      </c>
      <c r="H1122" s="2">
        <f t="shared" si="322"/>
        <v>0</v>
      </c>
      <c r="I1122" s="2">
        <f t="shared" si="322"/>
        <v>645270</v>
      </c>
      <c r="J1122" s="2">
        <f t="shared" si="322"/>
        <v>0</v>
      </c>
      <c r="K1122" s="14">
        <f t="shared" si="322"/>
        <v>0</v>
      </c>
      <c r="L1122" s="2">
        <f t="shared" si="322"/>
        <v>0</v>
      </c>
      <c r="M1122" s="2">
        <f t="shared" si="322"/>
        <v>0</v>
      </c>
      <c r="N1122" s="2">
        <f t="shared" si="322"/>
        <v>0</v>
      </c>
      <c r="O1122" s="2">
        <f t="shared" si="322"/>
        <v>0</v>
      </c>
      <c r="P1122" s="2">
        <f t="shared" si="322"/>
        <v>0</v>
      </c>
      <c r="Q1122" s="2">
        <f t="shared" si="322"/>
        <v>1381.58</v>
      </c>
      <c r="R1122" s="2">
        <f t="shared" si="322"/>
        <v>4421056</v>
      </c>
      <c r="S1122" s="2">
        <f t="shared" si="322"/>
        <v>0</v>
      </c>
      <c r="T1122" s="2">
        <f t="shared" si="322"/>
        <v>0</v>
      </c>
      <c r="U1122" s="2">
        <f t="shared" si="322"/>
        <v>100000</v>
      </c>
    </row>
    <row r="1123" spans="1:258" ht="25.15" customHeight="1" x14ac:dyDescent="0.25">
      <c r="A1123" s="36" t="s">
        <v>1983</v>
      </c>
      <c r="B1123" s="8" t="s">
        <v>301</v>
      </c>
      <c r="C1123" s="2">
        <f t="shared" si="305"/>
        <v>10113396</v>
      </c>
      <c r="D1123" s="3">
        <f>SUM(E1123:J1123)</f>
        <v>5592340</v>
      </c>
      <c r="E1123" s="5">
        <f>700*2150.9</f>
        <v>1505630</v>
      </c>
      <c r="F1123" s="5">
        <f>1300*2150.9</f>
        <v>2796170</v>
      </c>
      <c r="G1123" s="5">
        <f>300*2150.9</f>
        <v>645270</v>
      </c>
      <c r="H1123" s="5">
        <v>0</v>
      </c>
      <c r="I1123" s="5">
        <f>300*2150.9</f>
        <v>645270</v>
      </c>
      <c r="J1123" s="5">
        <f>350*0</f>
        <v>0</v>
      </c>
      <c r="K1123" s="11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1381.58</v>
      </c>
      <c r="R1123" s="3">
        <f>Q1123*3200</f>
        <v>4421056</v>
      </c>
      <c r="S1123" s="5">
        <v>0</v>
      </c>
      <c r="T1123" s="5">
        <v>0</v>
      </c>
      <c r="U1123" s="5">
        <v>100000</v>
      </c>
      <c r="V1123" s="6" t="e">
        <f>N1123/M1123</f>
        <v>#DIV/0!</v>
      </c>
    </row>
    <row r="1124" spans="1:258" ht="42.95" customHeight="1" x14ac:dyDescent="0.25">
      <c r="A1124" s="54" t="s">
        <v>276</v>
      </c>
      <c r="B1124" s="54"/>
      <c r="C1124" s="2">
        <f>SUM(C1125:C1126)</f>
        <v>8254715</v>
      </c>
      <c r="D1124" s="2">
        <f t="shared" ref="D1124:U1124" si="323">SUM(D1125:D1126)</f>
        <v>1164615</v>
      </c>
      <c r="E1124" s="2">
        <f t="shared" si="323"/>
        <v>371175</v>
      </c>
      <c r="F1124" s="2">
        <f t="shared" si="323"/>
        <v>542880</v>
      </c>
      <c r="G1124" s="2">
        <f t="shared" si="323"/>
        <v>125280</v>
      </c>
      <c r="H1124" s="2">
        <f t="shared" si="323"/>
        <v>0</v>
      </c>
      <c r="I1124" s="2">
        <f t="shared" si="323"/>
        <v>125280</v>
      </c>
      <c r="J1124" s="2">
        <f t="shared" si="323"/>
        <v>0</v>
      </c>
      <c r="K1124" s="14">
        <f t="shared" si="323"/>
        <v>0</v>
      </c>
      <c r="L1124" s="2">
        <f t="shared" si="323"/>
        <v>0</v>
      </c>
      <c r="M1124" s="2">
        <f t="shared" si="323"/>
        <v>688.2</v>
      </c>
      <c r="N1124" s="2">
        <f t="shared" si="323"/>
        <v>4260300</v>
      </c>
      <c r="O1124" s="2">
        <f t="shared" si="323"/>
        <v>0</v>
      </c>
      <c r="P1124" s="2">
        <f t="shared" si="323"/>
        <v>0</v>
      </c>
      <c r="Q1124" s="2">
        <f t="shared" si="323"/>
        <v>850.9</v>
      </c>
      <c r="R1124" s="2">
        <f t="shared" si="323"/>
        <v>2629800</v>
      </c>
      <c r="S1124" s="2">
        <f t="shared" si="323"/>
        <v>0</v>
      </c>
      <c r="T1124" s="2">
        <f t="shared" si="323"/>
        <v>0</v>
      </c>
      <c r="U1124" s="2">
        <f t="shared" si="323"/>
        <v>200000</v>
      </c>
    </row>
    <row r="1125" spans="1:258" ht="25.15" customHeight="1" x14ac:dyDescent="0.25">
      <c r="A1125" s="37" t="s">
        <v>1984</v>
      </c>
      <c r="B1125" s="8" t="s">
        <v>302</v>
      </c>
      <c r="C1125" s="2">
        <f>D1125+L1125+N1125+P1125+R1125+S1125+T1125+U1125</f>
        <v>2984155</v>
      </c>
      <c r="D1125" s="3">
        <f>SUM(E1125:J1125)</f>
        <v>78855</v>
      </c>
      <c r="E1125" s="3">
        <f>350*225.3</f>
        <v>78855</v>
      </c>
      <c r="F1125" s="3">
        <f>1050*0</f>
        <v>0</v>
      </c>
      <c r="G1125" s="3">
        <f>300*0</f>
        <v>0</v>
      </c>
      <c r="H1125" s="3">
        <f>400*0</f>
        <v>0</v>
      </c>
      <c r="I1125" s="3">
        <f>250*0</f>
        <v>0</v>
      </c>
      <c r="J1125" s="3">
        <v>0</v>
      </c>
      <c r="K1125" s="4">
        <v>0</v>
      </c>
      <c r="L1125" s="3">
        <v>0</v>
      </c>
      <c r="M1125" s="3">
        <v>256.2</v>
      </c>
      <c r="N1125" s="3">
        <f>M1125*5500</f>
        <v>1409100</v>
      </c>
      <c r="O1125" s="3">
        <v>0</v>
      </c>
      <c r="P1125" s="3">
        <v>0</v>
      </c>
      <c r="Q1125" s="3">
        <v>465.4</v>
      </c>
      <c r="R1125" s="3">
        <f>Q1125*3000</f>
        <v>1396200</v>
      </c>
      <c r="S1125" s="3">
        <v>0</v>
      </c>
      <c r="T1125" s="3">
        <v>0</v>
      </c>
      <c r="U1125" s="3">
        <v>100000</v>
      </c>
      <c r="V1125" s="6">
        <f>N1125/M1125</f>
        <v>5500</v>
      </c>
    </row>
    <row r="1126" spans="1:258" ht="25.15" customHeight="1" x14ac:dyDescent="0.25">
      <c r="A1126" s="37" t="s">
        <v>1985</v>
      </c>
      <c r="B1126" s="8" t="s">
        <v>299</v>
      </c>
      <c r="C1126" s="2">
        <f t="shared" si="305"/>
        <v>5270560</v>
      </c>
      <c r="D1126" s="3">
        <f>SUM(E1126:J1126)</f>
        <v>1085760</v>
      </c>
      <c r="E1126" s="3">
        <f>700*417.6</f>
        <v>292320</v>
      </c>
      <c r="F1126" s="3">
        <f>1300*417.6</f>
        <v>542880</v>
      </c>
      <c r="G1126" s="3">
        <f>300*417.6</f>
        <v>125280</v>
      </c>
      <c r="H1126" s="3">
        <v>0</v>
      </c>
      <c r="I1126" s="3">
        <f>300*417.6</f>
        <v>125280</v>
      </c>
      <c r="J1126" s="3">
        <f>350*0</f>
        <v>0</v>
      </c>
      <c r="K1126" s="4">
        <v>0</v>
      </c>
      <c r="L1126" s="3">
        <v>0</v>
      </c>
      <c r="M1126" s="3">
        <v>432</v>
      </c>
      <c r="N1126" s="3">
        <f>M1126*6600</f>
        <v>2851200</v>
      </c>
      <c r="O1126" s="3">
        <v>0</v>
      </c>
      <c r="P1126" s="3">
        <v>0</v>
      </c>
      <c r="Q1126" s="3">
        <v>385.5</v>
      </c>
      <c r="R1126" s="3">
        <f>Q1126*3200</f>
        <v>1233600</v>
      </c>
      <c r="S1126" s="3">
        <v>0</v>
      </c>
      <c r="T1126" s="3">
        <v>0</v>
      </c>
      <c r="U1126" s="3">
        <v>100000</v>
      </c>
      <c r="V1126" s="6">
        <f>N1126/M1126</f>
        <v>6600</v>
      </c>
    </row>
    <row r="1127" spans="1:258" ht="42.95" customHeight="1" x14ac:dyDescent="0.25">
      <c r="A1127" s="54" t="s">
        <v>935</v>
      </c>
      <c r="B1127" s="54"/>
      <c r="C1127" s="2">
        <f>SUM(C1128)</f>
        <v>9957160</v>
      </c>
      <c r="D1127" s="2">
        <f t="shared" ref="D1127:U1127" si="324">SUM(D1128)</f>
        <v>9857160</v>
      </c>
      <c r="E1127" s="2">
        <f t="shared" si="324"/>
        <v>2555560</v>
      </c>
      <c r="F1127" s="2">
        <f t="shared" si="324"/>
        <v>4746040</v>
      </c>
      <c r="G1127" s="2">
        <f t="shared" si="324"/>
        <v>0</v>
      </c>
      <c r="H1127" s="2">
        <f t="shared" si="324"/>
        <v>1460320</v>
      </c>
      <c r="I1127" s="2">
        <f t="shared" si="324"/>
        <v>1095240</v>
      </c>
      <c r="J1127" s="2">
        <f t="shared" si="324"/>
        <v>0</v>
      </c>
      <c r="K1127" s="14">
        <f t="shared" si="324"/>
        <v>0</v>
      </c>
      <c r="L1127" s="2">
        <f t="shared" si="324"/>
        <v>0</v>
      </c>
      <c r="M1127" s="2">
        <f t="shared" si="324"/>
        <v>0</v>
      </c>
      <c r="N1127" s="2">
        <f t="shared" si="324"/>
        <v>0</v>
      </c>
      <c r="O1127" s="2">
        <f t="shared" si="324"/>
        <v>0</v>
      </c>
      <c r="P1127" s="2">
        <f t="shared" si="324"/>
        <v>0</v>
      </c>
      <c r="Q1127" s="2">
        <f t="shared" si="324"/>
        <v>0</v>
      </c>
      <c r="R1127" s="2">
        <f t="shared" si="324"/>
        <v>0</v>
      </c>
      <c r="S1127" s="2">
        <f t="shared" si="324"/>
        <v>0</v>
      </c>
      <c r="T1127" s="2">
        <f t="shared" si="324"/>
        <v>0</v>
      </c>
      <c r="U1127" s="2">
        <f t="shared" si="324"/>
        <v>100000</v>
      </c>
    </row>
    <row r="1128" spans="1:258" ht="25.15" customHeight="1" x14ac:dyDescent="0.25">
      <c r="A1128" s="37" t="s">
        <v>1986</v>
      </c>
      <c r="B1128" s="8" t="s">
        <v>936</v>
      </c>
      <c r="C1128" s="2">
        <f t="shared" si="305"/>
        <v>9957160</v>
      </c>
      <c r="D1128" s="3">
        <f>SUM(E1128:J1128)</f>
        <v>9857160</v>
      </c>
      <c r="E1128" s="3">
        <f>700*3650.8</f>
        <v>2555560</v>
      </c>
      <c r="F1128" s="3">
        <f>1300*3650.8</f>
        <v>4746040</v>
      </c>
      <c r="G1128" s="3">
        <v>0</v>
      </c>
      <c r="H1128" s="3">
        <f>400*3650.8</f>
        <v>1460320</v>
      </c>
      <c r="I1128" s="3">
        <f>300*3650.8</f>
        <v>1095240</v>
      </c>
      <c r="J1128" s="3">
        <v>0</v>
      </c>
      <c r="K1128" s="4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0</v>
      </c>
      <c r="Q1128" s="3">
        <v>0</v>
      </c>
      <c r="R1128" s="3">
        <f>Q1128*3200</f>
        <v>0</v>
      </c>
      <c r="S1128" s="3">
        <v>0</v>
      </c>
      <c r="T1128" s="3">
        <v>0</v>
      </c>
      <c r="U1128" s="3">
        <v>100000</v>
      </c>
      <c r="V1128" s="6" t="e">
        <f>N1128/M1128</f>
        <v>#DIV/0!</v>
      </c>
    </row>
    <row r="1129" spans="1:258" ht="45" customHeight="1" x14ac:dyDescent="0.25">
      <c r="A1129" s="54" t="s">
        <v>930</v>
      </c>
      <c r="B1129" s="54"/>
      <c r="C1129" s="2">
        <f>SUM(C1130:C1131)</f>
        <v>8586600</v>
      </c>
      <c r="D1129" s="2">
        <f t="shared" ref="D1129:U1129" si="325">SUM(D1130:D1131)</f>
        <v>0</v>
      </c>
      <c r="E1129" s="2">
        <f t="shared" si="325"/>
        <v>0</v>
      </c>
      <c r="F1129" s="2">
        <f t="shared" si="325"/>
        <v>0</v>
      </c>
      <c r="G1129" s="2">
        <f t="shared" si="325"/>
        <v>0</v>
      </c>
      <c r="H1129" s="2">
        <f t="shared" si="325"/>
        <v>0</v>
      </c>
      <c r="I1129" s="2">
        <f t="shared" si="325"/>
        <v>0</v>
      </c>
      <c r="J1129" s="2">
        <f t="shared" si="325"/>
        <v>0</v>
      </c>
      <c r="K1129" s="14">
        <f t="shared" si="325"/>
        <v>0</v>
      </c>
      <c r="L1129" s="2">
        <f t="shared" si="325"/>
        <v>0</v>
      </c>
      <c r="M1129" s="2">
        <f t="shared" si="325"/>
        <v>1301</v>
      </c>
      <c r="N1129" s="2">
        <f t="shared" si="325"/>
        <v>8586600</v>
      </c>
      <c r="O1129" s="2">
        <f t="shared" si="325"/>
        <v>0</v>
      </c>
      <c r="P1129" s="2">
        <f t="shared" si="325"/>
        <v>0</v>
      </c>
      <c r="Q1129" s="2">
        <f t="shared" si="325"/>
        <v>0</v>
      </c>
      <c r="R1129" s="2">
        <f t="shared" si="325"/>
        <v>0</v>
      </c>
      <c r="S1129" s="2">
        <f t="shared" si="325"/>
        <v>0</v>
      </c>
      <c r="T1129" s="2">
        <f t="shared" si="325"/>
        <v>0</v>
      </c>
      <c r="U1129" s="2">
        <f t="shared" si="325"/>
        <v>0</v>
      </c>
    </row>
    <row r="1130" spans="1:258" ht="25.15" customHeight="1" x14ac:dyDescent="0.25">
      <c r="A1130" s="37" t="s">
        <v>1987</v>
      </c>
      <c r="B1130" s="8" t="s">
        <v>1209</v>
      </c>
      <c r="C1130" s="2">
        <f>D1130+L1130+N1130+P1130+R1130+S1130+T1130+U1130</f>
        <v>4342800</v>
      </c>
      <c r="D1130" s="3">
        <f>SUM(E1130:J1130)</f>
        <v>0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4">
        <v>0</v>
      </c>
      <c r="L1130" s="3">
        <v>0</v>
      </c>
      <c r="M1130" s="3">
        <v>658</v>
      </c>
      <c r="N1130" s="3">
        <f>M1130*6600</f>
        <v>4342800</v>
      </c>
      <c r="O1130" s="5">
        <v>0</v>
      </c>
      <c r="P1130" s="5">
        <v>0</v>
      </c>
      <c r="Q1130" s="5">
        <v>0</v>
      </c>
      <c r="R1130" s="3">
        <f>Q1130*3200</f>
        <v>0</v>
      </c>
      <c r="S1130" s="5">
        <v>0</v>
      </c>
      <c r="T1130" s="5">
        <v>0</v>
      </c>
      <c r="U1130" s="5">
        <v>0</v>
      </c>
      <c r="V1130" s="6">
        <f>N1130/M1130</f>
        <v>6600</v>
      </c>
    </row>
    <row r="1131" spans="1:258" ht="25.15" customHeight="1" x14ac:dyDescent="0.25">
      <c r="A1131" s="37" t="s">
        <v>1988</v>
      </c>
      <c r="B1131" s="8" t="s">
        <v>1210</v>
      </c>
      <c r="C1131" s="2">
        <f>D1131+L1131+N1131+P1131+R1131+S1131+T1131+U1131</f>
        <v>4243800</v>
      </c>
      <c r="D1131" s="3">
        <f>SUM(E1131:J1131)</f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4">
        <v>0</v>
      </c>
      <c r="L1131" s="3">
        <v>0</v>
      </c>
      <c r="M1131" s="5">
        <v>643</v>
      </c>
      <c r="N1131" s="3">
        <f>M1131*6600</f>
        <v>4243800</v>
      </c>
      <c r="O1131" s="5">
        <v>0</v>
      </c>
      <c r="P1131" s="5">
        <v>0</v>
      </c>
      <c r="Q1131" s="5">
        <v>0</v>
      </c>
      <c r="R1131" s="3">
        <f>Q1131*3200</f>
        <v>0</v>
      </c>
      <c r="S1131" s="5">
        <v>0</v>
      </c>
      <c r="T1131" s="5">
        <v>0</v>
      </c>
      <c r="U1131" s="5">
        <v>0</v>
      </c>
      <c r="V1131" s="6">
        <f>N1131/M1131</f>
        <v>6600</v>
      </c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  <c r="BE1131" s="17"/>
      <c r="BF1131" s="17"/>
      <c r="BG1131" s="17"/>
      <c r="BH1131" s="17"/>
      <c r="BI1131" s="17"/>
      <c r="BJ1131" s="17"/>
      <c r="BK1131" s="17"/>
      <c r="BL1131" s="17"/>
      <c r="BM1131" s="17"/>
      <c r="BN1131" s="17"/>
      <c r="BO1131" s="17"/>
      <c r="BP1131" s="17"/>
      <c r="BQ1131" s="17"/>
      <c r="BR1131" s="17"/>
      <c r="BS1131" s="17"/>
      <c r="BT1131" s="17"/>
      <c r="BU1131" s="17"/>
      <c r="BV1131" s="17"/>
      <c r="BW1131" s="17"/>
      <c r="BX1131" s="17"/>
      <c r="BY1131" s="17"/>
      <c r="BZ1131" s="17"/>
      <c r="CA1131" s="17"/>
      <c r="CB1131" s="17"/>
      <c r="CC1131" s="17"/>
      <c r="CD1131" s="17"/>
      <c r="CE1131" s="17"/>
      <c r="CF1131" s="17"/>
      <c r="CG1131" s="17"/>
      <c r="CH1131" s="17"/>
      <c r="CI1131" s="17"/>
      <c r="CJ1131" s="17"/>
      <c r="CK1131" s="17"/>
      <c r="CL1131" s="17"/>
      <c r="CM1131" s="17"/>
      <c r="CN1131" s="17"/>
      <c r="CO1131" s="17"/>
      <c r="CP1131" s="17"/>
      <c r="CQ1131" s="17"/>
      <c r="CR1131" s="17"/>
      <c r="CS1131" s="17"/>
      <c r="CT1131" s="17"/>
      <c r="CU1131" s="17"/>
      <c r="CV1131" s="17"/>
      <c r="CW1131" s="17"/>
      <c r="CX1131" s="17"/>
      <c r="CY1131" s="17"/>
      <c r="CZ1131" s="17"/>
      <c r="DA1131" s="17"/>
      <c r="DB1131" s="17"/>
      <c r="DC1131" s="17"/>
      <c r="DD1131" s="17"/>
      <c r="DE1131" s="17"/>
      <c r="DF1131" s="17"/>
      <c r="DG1131" s="17"/>
      <c r="DH1131" s="17"/>
      <c r="DI1131" s="17"/>
      <c r="DJ1131" s="17"/>
      <c r="DK1131" s="17"/>
      <c r="DL1131" s="17"/>
      <c r="DM1131" s="17"/>
      <c r="DN1131" s="17"/>
      <c r="DO1131" s="17"/>
      <c r="DP1131" s="17"/>
      <c r="DQ1131" s="17"/>
      <c r="DR1131" s="17"/>
      <c r="DS1131" s="17"/>
      <c r="DT1131" s="17"/>
      <c r="DU1131" s="17"/>
      <c r="DV1131" s="17"/>
      <c r="DW1131" s="17"/>
      <c r="DX1131" s="17"/>
      <c r="DY1131" s="17"/>
      <c r="DZ1131" s="17"/>
      <c r="EA1131" s="17"/>
      <c r="EB1131" s="17"/>
      <c r="EC1131" s="17"/>
      <c r="ED1131" s="17"/>
      <c r="EE1131" s="17"/>
      <c r="EF1131" s="17"/>
      <c r="EG1131" s="17"/>
      <c r="EH1131" s="17"/>
      <c r="EI1131" s="17"/>
      <c r="EJ1131" s="17"/>
      <c r="EK1131" s="17"/>
      <c r="EL1131" s="17"/>
      <c r="EM1131" s="17"/>
      <c r="EN1131" s="17"/>
      <c r="EO1131" s="17"/>
      <c r="EP1131" s="17"/>
      <c r="EQ1131" s="17"/>
      <c r="ER1131" s="17"/>
      <c r="ES1131" s="17"/>
      <c r="ET1131" s="17"/>
      <c r="EU1131" s="17"/>
      <c r="EV1131" s="17"/>
      <c r="EW1131" s="17"/>
      <c r="EX1131" s="17"/>
      <c r="EY1131" s="17"/>
      <c r="EZ1131" s="17"/>
      <c r="FA1131" s="17"/>
      <c r="FB1131" s="17"/>
      <c r="FC1131" s="17"/>
      <c r="FD1131" s="17"/>
      <c r="FE1131" s="17"/>
      <c r="FF1131" s="17"/>
      <c r="FG1131" s="17"/>
      <c r="FH1131" s="17"/>
      <c r="FI1131" s="17"/>
      <c r="FJ1131" s="17"/>
      <c r="FK1131" s="17"/>
      <c r="FL1131" s="17"/>
      <c r="FM1131" s="17"/>
      <c r="FN1131" s="17"/>
      <c r="FO1131" s="17"/>
      <c r="FP1131" s="17"/>
      <c r="FQ1131" s="17"/>
      <c r="FR1131" s="17"/>
      <c r="FS1131" s="17"/>
      <c r="FT1131" s="17"/>
      <c r="FU1131" s="17"/>
      <c r="FV1131" s="17"/>
      <c r="FW1131" s="17"/>
      <c r="FX1131" s="17"/>
      <c r="FY1131" s="17"/>
      <c r="FZ1131" s="17"/>
      <c r="GA1131" s="17"/>
      <c r="GB1131" s="17"/>
      <c r="GC1131" s="17"/>
      <c r="GD1131" s="17"/>
      <c r="GE1131" s="17"/>
      <c r="GF1131" s="17"/>
      <c r="GG1131" s="17"/>
      <c r="GH1131" s="17"/>
      <c r="GI1131" s="17"/>
      <c r="GJ1131" s="17"/>
      <c r="GK1131" s="17"/>
      <c r="GL1131" s="17"/>
      <c r="GM1131" s="17"/>
      <c r="GN1131" s="17"/>
      <c r="GO1131" s="17"/>
      <c r="GP1131" s="17"/>
      <c r="GQ1131" s="17"/>
      <c r="GR1131" s="17"/>
      <c r="GS1131" s="17"/>
      <c r="GT1131" s="17"/>
      <c r="GU1131" s="17"/>
      <c r="GV1131" s="17"/>
      <c r="GW1131" s="17"/>
      <c r="GX1131" s="17"/>
      <c r="GY1131" s="17"/>
      <c r="GZ1131" s="17"/>
      <c r="HA1131" s="17"/>
      <c r="HB1131" s="17"/>
      <c r="HC1131" s="17"/>
      <c r="HD1131" s="17"/>
      <c r="HE1131" s="17"/>
      <c r="HF1131" s="17"/>
      <c r="HG1131" s="17"/>
      <c r="HH1131" s="17"/>
      <c r="HI1131" s="17"/>
      <c r="HJ1131" s="17"/>
      <c r="HK1131" s="17"/>
      <c r="HL1131" s="17"/>
      <c r="HM1131" s="17"/>
      <c r="HN1131" s="17"/>
      <c r="HO1131" s="17"/>
      <c r="HP1131" s="17"/>
      <c r="HQ1131" s="17"/>
      <c r="HR1131" s="17"/>
      <c r="HS1131" s="17"/>
      <c r="HT1131" s="17"/>
      <c r="HU1131" s="17"/>
      <c r="HV1131" s="17"/>
      <c r="HW1131" s="17"/>
      <c r="HX1131" s="17"/>
      <c r="HY1131" s="17"/>
      <c r="HZ1131" s="17"/>
      <c r="IA1131" s="17"/>
      <c r="IB1131" s="17"/>
      <c r="IC1131" s="17"/>
      <c r="ID1131" s="17"/>
      <c r="IE1131" s="17"/>
      <c r="IF1131" s="17"/>
      <c r="IG1131" s="17"/>
      <c r="IH1131" s="17"/>
      <c r="II1131" s="17"/>
      <c r="IJ1131" s="17"/>
      <c r="IK1131" s="17"/>
      <c r="IL1131" s="17"/>
      <c r="IM1131" s="17"/>
      <c r="IN1131" s="17"/>
      <c r="IO1131" s="17"/>
      <c r="IP1131" s="17"/>
      <c r="IQ1131" s="17"/>
      <c r="IR1131" s="17"/>
      <c r="IS1131" s="17"/>
      <c r="IT1131" s="17"/>
      <c r="IU1131" s="17"/>
      <c r="IV1131" s="17"/>
      <c r="IW1131" s="17"/>
      <c r="IX1131" s="17"/>
    </row>
    <row r="1132" spans="1:258" ht="42.95" customHeight="1" x14ac:dyDescent="0.25">
      <c r="A1132" s="54" t="s">
        <v>279</v>
      </c>
      <c r="B1132" s="54"/>
      <c r="C1132" s="2">
        <f>SUM(C1133)</f>
        <v>4677280</v>
      </c>
      <c r="D1132" s="2">
        <f t="shared" ref="D1132:U1132" si="326">SUM(D1133)</f>
        <v>1133400</v>
      </c>
      <c r="E1132" s="2">
        <f t="shared" si="326"/>
        <v>264460</v>
      </c>
      <c r="F1132" s="2">
        <f t="shared" si="326"/>
        <v>491140</v>
      </c>
      <c r="G1132" s="2">
        <f t="shared" si="326"/>
        <v>113340</v>
      </c>
      <c r="H1132" s="2">
        <f t="shared" si="326"/>
        <v>151120</v>
      </c>
      <c r="I1132" s="2">
        <f t="shared" si="326"/>
        <v>113340</v>
      </c>
      <c r="J1132" s="2">
        <f t="shared" si="326"/>
        <v>0</v>
      </c>
      <c r="K1132" s="14">
        <f t="shared" si="326"/>
        <v>0</v>
      </c>
      <c r="L1132" s="2">
        <f t="shared" si="326"/>
        <v>0</v>
      </c>
      <c r="M1132" s="2">
        <f t="shared" si="326"/>
        <v>377.8</v>
      </c>
      <c r="N1132" s="2">
        <f t="shared" si="326"/>
        <v>2493480</v>
      </c>
      <c r="O1132" s="2">
        <f t="shared" si="326"/>
        <v>0</v>
      </c>
      <c r="P1132" s="2">
        <f t="shared" si="326"/>
        <v>0</v>
      </c>
      <c r="Q1132" s="2">
        <f t="shared" si="326"/>
        <v>297</v>
      </c>
      <c r="R1132" s="2">
        <f t="shared" si="326"/>
        <v>950400</v>
      </c>
      <c r="S1132" s="2">
        <f t="shared" si="326"/>
        <v>0</v>
      </c>
      <c r="T1132" s="2">
        <f t="shared" si="326"/>
        <v>0</v>
      </c>
      <c r="U1132" s="2">
        <f t="shared" si="326"/>
        <v>100000</v>
      </c>
      <c r="V1132" s="18">
        <f>C1132</f>
        <v>4677280</v>
      </c>
    </row>
    <row r="1133" spans="1:258" ht="25.15" customHeight="1" x14ac:dyDescent="0.25">
      <c r="A1133" s="37" t="s">
        <v>1989</v>
      </c>
      <c r="B1133" s="8" t="s">
        <v>280</v>
      </c>
      <c r="C1133" s="2">
        <f t="shared" si="305"/>
        <v>4677280</v>
      </c>
      <c r="D1133" s="3">
        <f>SUM(E1133:J1133)</f>
        <v>1133400</v>
      </c>
      <c r="E1133" s="3">
        <f>700*377.8</f>
        <v>264460</v>
      </c>
      <c r="F1133" s="3">
        <f>1300*377.8</f>
        <v>491140</v>
      </c>
      <c r="G1133" s="3">
        <f>300*377.8</f>
        <v>113340</v>
      </c>
      <c r="H1133" s="3">
        <f>400*377.8</f>
        <v>151120</v>
      </c>
      <c r="I1133" s="3">
        <f>300*377.8</f>
        <v>113340</v>
      </c>
      <c r="J1133" s="3">
        <v>0</v>
      </c>
      <c r="K1133" s="4">
        <v>0</v>
      </c>
      <c r="L1133" s="3">
        <v>0</v>
      </c>
      <c r="M1133" s="3">
        <v>377.8</v>
      </c>
      <c r="N1133" s="3">
        <f>M1133*6600</f>
        <v>2493480</v>
      </c>
      <c r="O1133" s="3">
        <v>0</v>
      </c>
      <c r="P1133" s="3">
        <v>0</v>
      </c>
      <c r="Q1133" s="3">
        <v>297</v>
      </c>
      <c r="R1133" s="3">
        <f>Q1133*3200</f>
        <v>950400</v>
      </c>
      <c r="S1133" s="3">
        <v>0</v>
      </c>
      <c r="T1133" s="3">
        <v>0</v>
      </c>
      <c r="U1133" s="3">
        <v>100000</v>
      </c>
      <c r="V1133" s="6">
        <f>N1133/M1133</f>
        <v>6600</v>
      </c>
    </row>
    <row r="1134" spans="1:258" ht="42.95" customHeight="1" x14ac:dyDescent="0.25">
      <c r="A1134" s="54" t="s">
        <v>1207</v>
      </c>
      <c r="B1134" s="54"/>
      <c r="C1134" s="2">
        <f>SUM(C1135)</f>
        <v>4917250</v>
      </c>
      <c r="D1134" s="2">
        <f t="shared" ref="D1134:U1134" si="327">SUM(D1135)</f>
        <v>0</v>
      </c>
      <c r="E1134" s="2">
        <f t="shared" si="327"/>
        <v>0</v>
      </c>
      <c r="F1134" s="2">
        <f t="shared" si="327"/>
        <v>0</v>
      </c>
      <c r="G1134" s="2">
        <f t="shared" si="327"/>
        <v>0</v>
      </c>
      <c r="H1134" s="2">
        <f t="shared" si="327"/>
        <v>0</v>
      </c>
      <c r="I1134" s="2">
        <f t="shared" si="327"/>
        <v>0</v>
      </c>
      <c r="J1134" s="2">
        <f t="shared" si="327"/>
        <v>0</v>
      </c>
      <c r="K1134" s="14">
        <f t="shared" si="327"/>
        <v>0</v>
      </c>
      <c r="L1134" s="2">
        <f t="shared" si="327"/>
        <v>0</v>
      </c>
      <c r="M1134" s="2">
        <f t="shared" si="327"/>
        <v>1105</v>
      </c>
      <c r="N1134" s="2">
        <f t="shared" si="327"/>
        <v>4917250</v>
      </c>
      <c r="O1134" s="2">
        <f t="shared" si="327"/>
        <v>0</v>
      </c>
      <c r="P1134" s="2">
        <f t="shared" si="327"/>
        <v>0</v>
      </c>
      <c r="Q1134" s="2">
        <f t="shared" si="327"/>
        <v>0</v>
      </c>
      <c r="R1134" s="2">
        <f t="shared" si="327"/>
        <v>0</v>
      </c>
      <c r="S1134" s="2">
        <f t="shared" si="327"/>
        <v>0</v>
      </c>
      <c r="T1134" s="2">
        <f t="shared" si="327"/>
        <v>0</v>
      </c>
      <c r="U1134" s="2">
        <f t="shared" si="327"/>
        <v>0</v>
      </c>
    </row>
    <row r="1135" spans="1:258" ht="25.15" customHeight="1" x14ac:dyDescent="0.25">
      <c r="A1135" s="37" t="s">
        <v>1990</v>
      </c>
      <c r="B1135" s="8" t="s">
        <v>1205</v>
      </c>
      <c r="C1135" s="2">
        <f>D1135+L1135+N1135+P1135+R1135+S1135+T1135+U1135</f>
        <v>4917250</v>
      </c>
      <c r="D1135" s="3">
        <f>SUM(E1135:J1135)</f>
        <v>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4">
        <v>0</v>
      </c>
      <c r="L1135" s="3">
        <v>0</v>
      </c>
      <c r="M1135" s="3">
        <v>1105</v>
      </c>
      <c r="N1135" s="3">
        <f>M1135*4450</f>
        <v>4917250</v>
      </c>
      <c r="O1135" s="3">
        <v>0</v>
      </c>
      <c r="P1135" s="3">
        <v>0</v>
      </c>
      <c r="Q1135" s="3">
        <v>0</v>
      </c>
      <c r="R1135" s="3">
        <f>Q1135*3200</f>
        <v>0</v>
      </c>
      <c r="S1135" s="3">
        <v>0</v>
      </c>
      <c r="T1135" s="3">
        <v>0</v>
      </c>
      <c r="U1135" s="3">
        <v>0</v>
      </c>
      <c r="V1135" s="6">
        <f>N1135/M1135</f>
        <v>4450</v>
      </c>
    </row>
    <row r="1136" spans="1:258" ht="42.95" customHeight="1" x14ac:dyDescent="0.25">
      <c r="A1136" s="54" t="s">
        <v>281</v>
      </c>
      <c r="B1136" s="54"/>
      <c r="C1136" s="2">
        <f>SUM(C1137:C1139)</f>
        <v>11179990</v>
      </c>
      <c r="D1136" s="2">
        <f t="shared" ref="D1136:U1136" si="328">SUM(D1137:D1139)</f>
        <v>779090</v>
      </c>
      <c r="E1136" s="2">
        <f t="shared" si="328"/>
        <v>419509.99999999994</v>
      </c>
      <c r="F1136" s="2">
        <f t="shared" si="328"/>
        <v>0</v>
      </c>
      <c r="G1136" s="2">
        <f t="shared" si="328"/>
        <v>179790</v>
      </c>
      <c r="H1136" s="2">
        <f t="shared" si="328"/>
        <v>0</v>
      </c>
      <c r="I1136" s="2">
        <f t="shared" si="328"/>
        <v>179790</v>
      </c>
      <c r="J1136" s="2">
        <f t="shared" si="328"/>
        <v>0</v>
      </c>
      <c r="K1136" s="14">
        <f t="shared" si="328"/>
        <v>0</v>
      </c>
      <c r="L1136" s="2">
        <f t="shared" si="328"/>
        <v>0</v>
      </c>
      <c r="M1136" s="2">
        <f t="shared" si="328"/>
        <v>1544</v>
      </c>
      <c r="N1136" s="2">
        <f t="shared" si="328"/>
        <v>8620900</v>
      </c>
      <c r="O1136" s="2">
        <f t="shared" si="328"/>
        <v>0</v>
      </c>
      <c r="P1136" s="2">
        <f t="shared" si="328"/>
        <v>0</v>
      </c>
      <c r="Q1136" s="2">
        <f t="shared" si="328"/>
        <v>525</v>
      </c>
      <c r="R1136" s="2">
        <f t="shared" si="328"/>
        <v>1680000</v>
      </c>
      <c r="S1136" s="2">
        <f t="shared" si="328"/>
        <v>0</v>
      </c>
      <c r="T1136" s="2">
        <f t="shared" si="328"/>
        <v>0</v>
      </c>
      <c r="U1136" s="2">
        <f t="shared" si="328"/>
        <v>100000</v>
      </c>
    </row>
    <row r="1137" spans="1:22" ht="25.15" customHeight="1" x14ac:dyDescent="0.25">
      <c r="A1137" s="37" t="s">
        <v>1991</v>
      </c>
      <c r="B1137" s="8" t="s">
        <v>303</v>
      </c>
      <c r="C1137" s="2">
        <f t="shared" si="305"/>
        <v>2686200</v>
      </c>
      <c r="D1137" s="3">
        <f>SUM(E1137:J1137)</f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4">
        <v>0</v>
      </c>
      <c r="L1137" s="3">
        <v>0</v>
      </c>
      <c r="M1137" s="3">
        <v>407</v>
      </c>
      <c r="N1137" s="3">
        <f>M1137*6600</f>
        <v>2686200</v>
      </c>
      <c r="O1137" s="3">
        <v>0</v>
      </c>
      <c r="P1137" s="3">
        <v>0</v>
      </c>
      <c r="Q1137" s="3">
        <v>0</v>
      </c>
      <c r="R1137" s="3">
        <f>Q1137*3200</f>
        <v>0</v>
      </c>
      <c r="S1137" s="3">
        <v>0</v>
      </c>
      <c r="T1137" s="3">
        <v>0</v>
      </c>
      <c r="U1137" s="3">
        <v>0</v>
      </c>
      <c r="V1137" s="6">
        <f>N1137/M1137</f>
        <v>6600</v>
      </c>
    </row>
    <row r="1138" spans="1:22" ht="25.15" customHeight="1" x14ac:dyDescent="0.25">
      <c r="A1138" s="37" t="s">
        <v>1992</v>
      </c>
      <c r="B1138" s="8" t="s">
        <v>812</v>
      </c>
      <c r="C1138" s="2">
        <f t="shared" si="305"/>
        <v>5245290</v>
      </c>
      <c r="D1138" s="3">
        <f>SUM(E1138:J1138)</f>
        <v>779090</v>
      </c>
      <c r="E1138" s="3">
        <f>700*599.3</f>
        <v>419509.99999999994</v>
      </c>
      <c r="F1138" s="3">
        <v>0</v>
      </c>
      <c r="G1138" s="3">
        <f>300*599.3</f>
        <v>179790</v>
      </c>
      <c r="H1138" s="3">
        <v>0</v>
      </c>
      <c r="I1138" s="3">
        <f>300*599.3</f>
        <v>179790</v>
      </c>
      <c r="J1138" s="3">
        <v>0</v>
      </c>
      <c r="K1138" s="4">
        <v>0</v>
      </c>
      <c r="L1138" s="3">
        <v>0</v>
      </c>
      <c r="M1138" s="3">
        <v>407</v>
      </c>
      <c r="N1138" s="3">
        <f>M1138*6600</f>
        <v>2686200</v>
      </c>
      <c r="O1138" s="3">
        <v>0</v>
      </c>
      <c r="P1138" s="3">
        <v>0</v>
      </c>
      <c r="Q1138" s="3">
        <v>525</v>
      </c>
      <c r="R1138" s="3">
        <f>Q1138*3200</f>
        <v>1680000</v>
      </c>
      <c r="S1138" s="3">
        <v>0</v>
      </c>
      <c r="T1138" s="3">
        <v>0</v>
      </c>
      <c r="U1138" s="3">
        <v>100000</v>
      </c>
      <c r="V1138" s="6">
        <f>N1138/M1138</f>
        <v>6600</v>
      </c>
    </row>
    <row r="1139" spans="1:22" ht="25.15" customHeight="1" x14ac:dyDescent="0.25">
      <c r="A1139" s="37" t="s">
        <v>1993</v>
      </c>
      <c r="B1139" s="8" t="s">
        <v>813</v>
      </c>
      <c r="C1139" s="2">
        <f t="shared" si="305"/>
        <v>3248500</v>
      </c>
      <c r="D1139" s="3">
        <f>SUM(E1139:J1139)</f>
        <v>0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730</v>
      </c>
      <c r="N1139" s="3">
        <f>M1139*4450</f>
        <v>3248500</v>
      </c>
      <c r="O1139" s="3">
        <v>0</v>
      </c>
      <c r="P1139" s="3">
        <v>0</v>
      </c>
      <c r="Q1139" s="3">
        <v>0</v>
      </c>
      <c r="R1139" s="3">
        <f>Q1139*3200</f>
        <v>0</v>
      </c>
      <c r="S1139" s="3">
        <v>0</v>
      </c>
      <c r="T1139" s="3">
        <v>0</v>
      </c>
      <c r="U1139" s="3">
        <v>0</v>
      </c>
      <c r="V1139" s="6">
        <f>N1139/M1139</f>
        <v>4450</v>
      </c>
    </row>
    <row r="1140" spans="1:22" ht="42.95" customHeight="1" x14ac:dyDescent="0.25">
      <c r="A1140" s="54" t="s">
        <v>286</v>
      </c>
      <c r="B1140" s="54"/>
      <c r="C1140" s="2">
        <f>SUM(C1141:C1145)</f>
        <v>19794845.370000001</v>
      </c>
      <c r="D1140" s="2">
        <f t="shared" ref="D1140:U1140" si="329">SUM(D1141:D1145)</f>
        <v>2596620</v>
      </c>
      <c r="E1140" s="2">
        <f t="shared" si="329"/>
        <v>653590</v>
      </c>
      <c r="F1140" s="2">
        <f t="shared" si="329"/>
        <v>1213810</v>
      </c>
      <c r="G1140" s="2">
        <f t="shared" si="329"/>
        <v>280110</v>
      </c>
      <c r="H1140" s="2">
        <f t="shared" si="329"/>
        <v>169000</v>
      </c>
      <c r="I1140" s="2">
        <f t="shared" si="329"/>
        <v>280110</v>
      </c>
      <c r="J1140" s="2">
        <f t="shared" si="329"/>
        <v>0</v>
      </c>
      <c r="K1140" s="14">
        <f t="shared" si="329"/>
        <v>0</v>
      </c>
      <c r="L1140" s="2">
        <f t="shared" si="329"/>
        <v>0</v>
      </c>
      <c r="M1140" s="2">
        <f t="shared" si="329"/>
        <v>1444.2</v>
      </c>
      <c r="N1140" s="2">
        <f t="shared" si="329"/>
        <v>9531720</v>
      </c>
      <c r="O1140" s="2">
        <f t="shared" si="329"/>
        <v>0</v>
      </c>
      <c r="P1140" s="2">
        <f t="shared" si="329"/>
        <v>0</v>
      </c>
      <c r="Q1140" s="2">
        <f t="shared" si="329"/>
        <v>2348.6999999999998</v>
      </c>
      <c r="R1140" s="2">
        <f t="shared" si="329"/>
        <v>7515840</v>
      </c>
      <c r="S1140" s="2">
        <f t="shared" si="329"/>
        <v>0</v>
      </c>
      <c r="T1140" s="2">
        <f t="shared" si="329"/>
        <v>0</v>
      </c>
      <c r="U1140" s="2">
        <f t="shared" si="329"/>
        <v>150665.37</v>
      </c>
    </row>
    <row r="1141" spans="1:22" ht="25.15" customHeight="1" x14ac:dyDescent="0.25">
      <c r="A1141" s="37" t="s">
        <v>1994</v>
      </c>
      <c r="B1141" s="8" t="s">
        <v>289</v>
      </c>
      <c r="C1141" s="2">
        <f t="shared" si="305"/>
        <v>3077960</v>
      </c>
      <c r="D1141" s="3">
        <f>SUM(E1141:J1141)</f>
        <v>0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4">
        <v>0</v>
      </c>
      <c r="L1141" s="3">
        <v>0</v>
      </c>
      <c r="M1141" s="3">
        <v>268.2</v>
      </c>
      <c r="N1141" s="3">
        <f>M1141*6600</f>
        <v>1770120</v>
      </c>
      <c r="O1141" s="3">
        <v>0</v>
      </c>
      <c r="P1141" s="3">
        <v>0</v>
      </c>
      <c r="Q1141" s="3">
        <v>408.7</v>
      </c>
      <c r="R1141" s="3">
        <f>Q1141*3200</f>
        <v>1307840</v>
      </c>
      <c r="S1141" s="3">
        <v>0</v>
      </c>
      <c r="T1141" s="3">
        <v>0</v>
      </c>
      <c r="U1141" s="3">
        <v>0</v>
      </c>
      <c r="V1141" s="6">
        <f>N1141/M1141</f>
        <v>6600</v>
      </c>
    </row>
    <row r="1142" spans="1:22" ht="25.15" customHeight="1" x14ac:dyDescent="0.25">
      <c r="A1142" s="37" t="s">
        <v>1995</v>
      </c>
      <c r="B1142" s="8" t="s">
        <v>290</v>
      </c>
      <c r="C1142" s="2">
        <f t="shared" si="305"/>
        <v>6052700</v>
      </c>
      <c r="D1142" s="3">
        <f>SUM(E1142:J1142)</f>
        <v>1267500</v>
      </c>
      <c r="E1142" s="3">
        <f>700*422.5</f>
        <v>295750</v>
      </c>
      <c r="F1142" s="3">
        <f>1300*422.5</f>
        <v>549250</v>
      </c>
      <c r="G1142" s="3">
        <f>300*422.5</f>
        <v>126750</v>
      </c>
      <c r="H1142" s="3">
        <f>400*422.5</f>
        <v>169000</v>
      </c>
      <c r="I1142" s="3">
        <f>300*422.5</f>
        <v>126750</v>
      </c>
      <c r="J1142" s="3">
        <v>0</v>
      </c>
      <c r="K1142" s="4">
        <v>0</v>
      </c>
      <c r="L1142" s="3">
        <v>0</v>
      </c>
      <c r="M1142" s="3">
        <v>322</v>
      </c>
      <c r="N1142" s="3">
        <f>M1142*6600</f>
        <v>2125200</v>
      </c>
      <c r="O1142" s="3">
        <v>0</v>
      </c>
      <c r="P1142" s="3">
        <v>0</v>
      </c>
      <c r="Q1142" s="3">
        <v>800</v>
      </c>
      <c r="R1142" s="3">
        <f>Q1142*3200</f>
        <v>2560000</v>
      </c>
      <c r="S1142" s="3">
        <v>0</v>
      </c>
      <c r="T1142" s="3">
        <v>0</v>
      </c>
      <c r="U1142" s="3">
        <v>100000</v>
      </c>
      <c r="V1142" s="6">
        <f>N1142/M1142</f>
        <v>6600</v>
      </c>
    </row>
    <row r="1143" spans="1:22" ht="25.15" customHeight="1" x14ac:dyDescent="0.25">
      <c r="A1143" s="37" t="s">
        <v>1996</v>
      </c>
      <c r="B1143" s="8" t="s">
        <v>291</v>
      </c>
      <c r="C1143" s="2">
        <f>D1143+L1143+N1143+P1143+R1143+S1143+T1143+U1143</f>
        <v>4683265.37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4">
        <v>0</v>
      </c>
      <c r="L1143" s="3">
        <v>0</v>
      </c>
      <c r="M1143" s="3">
        <v>427</v>
      </c>
      <c r="N1143" s="3">
        <f>M1143*6600</f>
        <v>2818200</v>
      </c>
      <c r="O1143" s="3">
        <v>0</v>
      </c>
      <c r="P1143" s="3">
        <v>0</v>
      </c>
      <c r="Q1143" s="3">
        <v>567</v>
      </c>
      <c r="R1143" s="3">
        <f>Q1143*3200</f>
        <v>1814400</v>
      </c>
      <c r="S1143" s="3">
        <v>0</v>
      </c>
      <c r="T1143" s="3">
        <v>0</v>
      </c>
      <c r="U1143" s="3">
        <v>50665.37</v>
      </c>
      <c r="V1143" s="6">
        <f>N1143/M1143</f>
        <v>6600</v>
      </c>
    </row>
    <row r="1144" spans="1:22" ht="25.15" customHeight="1" x14ac:dyDescent="0.25">
      <c r="A1144" s="37" t="s">
        <v>1997</v>
      </c>
      <c r="B1144" s="8" t="s">
        <v>292</v>
      </c>
      <c r="C1144" s="2">
        <f t="shared" ref="C1144:C1145" si="330">D1144+L1144+N1144+P1144+R1144+S1144+T1144+U1144</f>
        <v>4651800</v>
      </c>
      <c r="D1144" s="3">
        <f t="shared" ref="D1144:D1145" si="331"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4">
        <v>0</v>
      </c>
      <c r="L1144" s="3">
        <v>0</v>
      </c>
      <c r="M1144" s="3">
        <v>427</v>
      </c>
      <c r="N1144" s="3">
        <f>M1144*6600</f>
        <v>2818200</v>
      </c>
      <c r="O1144" s="3">
        <v>0</v>
      </c>
      <c r="P1144" s="3">
        <v>0</v>
      </c>
      <c r="Q1144" s="3">
        <v>573</v>
      </c>
      <c r="R1144" s="3">
        <f>Q1144*3200</f>
        <v>1833600</v>
      </c>
      <c r="S1144" s="3">
        <v>0</v>
      </c>
      <c r="T1144" s="3">
        <v>0</v>
      </c>
      <c r="U1144" s="3">
        <v>0</v>
      </c>
      <c r="V1144" s="6">
        <f t="shared" ref="V1144:V1145" si="332">N1144/M1144</f>
        <v>6600</v>
      </c>
    </row>
    <row r="1145" spans="1:22" ht="25.15" customHeight="1" x14ac:dyDescent="0.25">
      <c r="A1145" s="37" t="s">
        <v>1998</v>
      </c>
      <c r="B1145" s="8" t="s">
        <v>293</v>
      </c>
      <c r="C1145" s="2">
        <f t="shared" si="330"/>
        <v>1329120</v>
      </c>
      <c r="D1145" s="3">
        <f t="shared" si="331"/>
        <v>1329120</v>
      </c>
      <c r="E1145" s="3">
        <f>700*511.2</f>
        <v>357840</v>
      </c>
      <c r="F1145" s="3">
        <f>1300*511.2</f>
        <v>664560</v>
      </c>
      <c r="G1145" s="3">
        <f>300*511.2</f>
        <v>153360</v>
      </c>
      <c r="H1145" s="3">
        <f>400*0</f>
        <v>0</v>
      </c>
      <c r="I1145" s="3">
        <f>300*511.2</f>
        <v>153360</v>
      </c>
      <c r="J1145" s="3">
        <v>0</v>
      </c>
      <c r="K1145" s="4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6" t="e">
        <f t="shared" si="332"/>
        <v>#DIV/0!</v>
      </c>
    </row>
    <row r="1146" spans="1:22" ht="45" customHeight="1" x14ac:dyDescent="0.25">
      <c r="A1146" s="57" t="s">
        <v>304</v>
      </c>
      <c r="B1146" s="58"/>
      <c r="C1146" s="2">
        <f>SUM(C1147)</f>
        <v>4433508</v>
      </c>
      <c r="D1146" s="2">
        <f t="shared" ref="D1146:U1146" si="333">SUM(D1147)</f>
        <v>368368</v>
      </c>
      <c r="E1146" s="2">
        <f t="shared" si="333"/>
        <v>368368</v>
      </c>
      <c r="F1146" s="2">
        <f t="shared" si="333"/>
        <v>0</v>
      </c>
      <c r="G1146" s="2">
        <f t="shared" si="333"/>
        <v>0</v>
      </c>
      <c r="H1146" s="2">
        <f t="shared" si="333"/>
        <v>0</v>
      </c>
      <c r="I1146" s="2">
        <f t="shared" si="333"/>
        <v>0</v>
      </c>
      <c r="J1146" s="2">
        <f t="shared" si="333"/>
        <v>0</v>
      </c>
      <c r="K1146" s="14">
        <f t="shared" si="333"/>
        <v>0</v>
      </c>
      <c r="L1146" s="2">
        <f t="shared" si="333"/>
        <v>0</v>
      </c>
      <c r="M1146" s="2">
        <f t="shared" si="333"/>
        <v>355.2</v>
      </c>
      <c r="N1146" s="2">
        <f t="shared" si="333"/>
        <v>2344320</v>
      </c>
      <c r="O1146" s="2">
        <f t="shared" si="333"/>
        <v>0</v>
      </c>
      <c r="P1146" s="2">
        <f t="shared" si="333"/>
        <v>0</v>
      </c>
      <c r="Q1146" s="2">
        <f t="shared" si="333"/>
        <v>428.4</v>
      </c>
      <c r="R1146" s="2">
        <f t="shared" si="333"/>
        <v>1370880</v>
      </c>
      <c r="S1146" s="2">
        <f t="shared" si="333"/>
        <v>149940</v>
      </c>
      <c r="T1146" s="2">
        <f t="shared" si="333"/>
        <v>0</v>
      </c>
      <c r="U1146" s="2">
        <f t="shared" si="333"/>
        <v>200000</v>
      </c>
    </row>
    <row r="1147" spans="1:22" ht="24.6" customHeight="1" x14ac:dyDescent="0.25">
      <c r="A1147" s="36" t="s">
        <v>1999</v>
      </c>
      <c r="B1147" s="8" t="s">
        <v>308</v>
      </c>
      <c r="C1147" s="2">
        <f>D1147+L1147+N1147+P1147+R1147+S1147+T1147+U1147</f>
        <v>4433508</v>
      </c>
      <c r="D1147" s="3">
        <f>SUM(E1147:J1147)</f>
        <v>368368</v>
      </c>
      <c r="E1147" s="5">
        <f>526.24*700</f>
        <v>368368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11">
        <v>0</v>
      </c>
      <c r="L1147" s="5">
        <v>0</v>
      </c>
      <c r="M1147" s="5">
        <v>355.2</v>
      </c>
      <c r="N1147" s="3">
        <f>M1147*6600</f>
        <v>2344320</v>
      </c>
      <c r="O1147" s="5">
        <v>0</v>
      </c>
      <c r="P1147" s="5">
        <v>0</v>
      </c>
      <c r="Q1147" s="5">
        <v>428.4</v>
      </c>
      <c r="R1147" s="3">
        <f>Q1147*3200</f>
        <v>1370880</v>
      </c>
      <c r="S1147" s="5">
        <v>149940</v>
      </c>
      <c r="T1147" s="5">
        <v>0</v>
      </c>
      <c r="U1147" s="5">
        <v>200000</v>
      </c>
      <c r="V1147" s="6">
        <f>N1147/M1147</f>
        <v>6600</v>
      </c>
    </row>
    <row r="1148" spans="1:22" ht="42.95" customHeight="1" x14ac:dyDescent="0.25">
      <c r="A1148" s="54" t="s">
        <v>309</v>
      </c>
      <c r="B1148" s="54"/>
      <c r="C1148" s="2">
        <f>SUM(C1149:C1153)</f>
        <v>16527100</v>
      </c>
      <c r="D1148" s="2">
        <f t="shared" ref="D1148:U1148" si="334">SUM(D1149:D1153)</f>
        <v>1512350</v>
      </c>
      <c r="E1148" s="2">
        <f t="shared" si="334"/>
        <v>1512350</v>
      </c>
      <c r="F1148" s="2">
        <f t="shared" si="334"/>
        <v>0</v>
      </c>
      <c r="G1148" s="2">
        <f t="shared" si="334"/>
        <v>0</v>
      </c>
      <c r="H1148" s="2">
        <f t="shared" si="334"/>
        <v>0</v>
      </c>
      <c r="I1148" s="2">
        <f t="shared" si="334"/>
        <v>0</v>
      </c>
      <c r="J1148" s="2">
        <f t="shared" si="334"/>
        <v>0</v>
      </c>
      <c r="K1148" s="14">
        <f t="shared" si="334"/>
        <v>0</v>
      </c>
      <c r="L1148" s="2">
        <f t="shared" si="334"/>
        <v>0</v>
      </c>
      <c r="M1148" s="2">
        <f t="shared" si="334"/>
        <v>1312</v>
      </c>
      <c r="N1148" s="2">
        <f t="shared" si="334"/>
        <v>8659200</v>
      </c>
      <c r="O1148" s="2">
        <f t="shared" si="334"/>
        <v>0</v>
      </c>
      <c r="P1148" s="2">
        <f t="shared" si="334"/>
        <v>0</v>
      </c>
      <c r="Q1148" s="2">
        <f t="shared" si="334"/>
        <v>1742</v>
      </c>
      <c r="R1148" s="2">
        <f t="shared" si="334"/>
        <v>5574400</v>
      </c>
      <c r="S1148" s="2">
        <f t="shared" si="334"/>
        <v>381150</v>
      </c>
      <c r="T1148" s="2">
        <f t="shared" si="334"/>
        <v>0</v>
      </c>
      <c r="U1148" s="2">
        <f t="shared" si="334"/>
        <v>400000</v>
      </c>
    </row>
    <row r="1149" spans="1:22" ht="25.15" customHeight="1" x14ac:dyDescent="0.25">
      <c r="A1149" s="36" t="s">
        <v>2000</v>
      </c>
      <c r="B1149" s="8" t="s">
        <v>310</v>
      </c>
      <c r="C1149" s="2">
        <f>D1149+L1149+N1149+P1149+R1149+S1149+T1149+U1149</f>
        <v>4095200</v>
      </c>
      <c r="D1149" s="3">
        <f>SUM(E1149:J1149)</f>
        <v>411600</v>
      </c>
      <c r="E1149" s="5">
        <f>588*700</f>
        <v>411600</v>
      </c>
      <c r="F1149" s="5">
        <v>0</v>
      </c>
      <c r="G1149" s="5">
        <v>0</v>
      </c>
      <c r="H1149" s="5">
        <v>0</v>
      </c>
      <c r="I1149" s="5">
        <v>0</v>
      </c>
      <c r="J1149" s="5">
        <v>0</v>
      </c>
      <c r="K1149" s="11">
        <v>0</v>
      </c>
      <c r="L1149" s="5">
        <v>0</v>
      </c>
      <c r="M1149" s="5">
        <v>334</v>
      </c>
      <c r="N1149" s="3">
        <f>M1149*6600</f>
        <v>2204400</v>
      </c>
      <c r="O1149" s="5">
        <v>0</v>
      </c>
      <c r="P1149" s="5">
        <v>0</v>
      </c>
      <c r="Q1149" s="5">
        <v>431</v>
      </c>
      <c r="R1149" s="3">
        <f>Q1149*3200</f>
        <v>1379200</v>
      </c>
      <c r="S1149" s="5">
        <v>0</v>
      </c>
      <c r="T1149" s="5">
        <v>0</v>
      </c>
      <c r="U1149" s="3">
        <v>100000</v>
      </c>
      <c r="V1149" s="6">
        <f>N1149/M1149</f>
        <v>6600</v>
      </c>
    </row>
    <row r="1150" spans="1:22" ht="25.15" customHeight="1" x14ac:dyDescent="0.25">
      <c r="A1150" s="36" t="s">
        <v>2001</v>
      </c>
      <c r="B1150" s="8" t="s">
        <v>311</v>
      </c>
      <c r="C1150" s="2">
        <f>D1150+L1150+N1150+P1150+R1150+S1150+T1150+U1150</f>
        <v>178500</v>
      </c>
      <c r="D1150" s="3">
        <f>SUM(E1150:J1150)</f>
        <v>178500</v>
      </c>
      <c r="E1150" s="5">
        <f>255*700</f>
        <v>178500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  <c r="K1150" s="11">
        <v>0</v>
      </c>
      <c r="L1150" s="5">
        <v>0</v>
      </c>
      <c r="M1150" s="5">
        <v>0</v>
      </c>
      <c r="N1150" s="3">
        <v>0</v>
      </c>
      <c r="O1150" s="5">
        <v>0</v>
      </c>
      <c r="P1150" s="5">
        <v>0</v>
      </c>
      <c r="Q1150" s="5">
        <v>0</v>
      </c>
      <c r="R1150" s="3">
        <v>0</v>
      </c>
      <c r="S1150" s="5">
        <v>0</v>
      </c>
      <c r="T1150" s="5">
        <v>0</v>
      </c>
      <c r="U1150" s="3">
        <v>0</v>
      </c>
      <c r="V1150" s="6" t="e">
        <f>N1150/M1150</f>
        <v>#DIV/0!</v>
      </c>
    </row>
    <row r="1151" spans="1:22" ht="24.6" customHeight="1" x14ac:dyDescent="0.25">
      <c r="A1151" s="36" t="s">
        <v>2002</v>
      </c>
      <c r="B1151" s="8" t="s">
        <v>312</v>
      </c>
      <c r="C1151" s="2">
        <f t="shared" si="305"/>
        <v>2743100</v>
      </c>
      <c r="D1151" s="3">
        <f>SUM(E1151:J1151)</f>
        <v>215600</v>
      </c>
      <c r="E1151" s="5">
        <f>308*700</f>
        <v>215600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11">
        <v>0</v>
      </c>
      <c r="L1151" s="5">
        <v>0</v>
      </c>
      <c r="M1151" s="5">
        <v>200</v>
      </c>
      <c r="N1151" s="3">
        <f>M1151*6600</f>
        <v>1320000</v>
      </c>
      <c r="O1151" s="5">
        <v>0</v>
      </c>
      <c r="P1151" s="5">
        <v>0</v>
      </c>
      <c r="Q1151" s="5">
        <v>310</v>
      </c>
      <c r="R1151" s="3">
        <f>Q1151*3200</f>
        <v>992000</v>
      </c>
      <c r="S1151" s="5">
        <v>115500</v>
      </c>
      <c r="T1151" s="5">
        <v>0</v>
      </c>
      <c r="U1151" s="5">
        <v>100000</v>
      </c>
      <c r="V1151" s="6">
        <f>N1151/M1151</f>
        <v>6600</v>
      </c>
    </row>
    <row r="1152" spans="1:22" ht="25.15" customHeight="1" x14ac:dyDescent="0.25">
      <c r="A1152" s="36" t="s">
        <v>2003</v>
      </c>
      <c r="B1152" s="8" t="s">
        <v>313</v>
      </c>
      <c r="C1152" s="2">
        <f>D1152+L1152+N1152+P1152+R1152+S1152+T1152+U1152</f>
        <v>5373900</v>
      </c>
      <c r="D1152" s="3">
        <f>SUM(E1152:J1152)</f>
        <v>387450</v>
      </c>
      <c r="E1152" s="3">
        <f>553.5*700</f>
        <v>387450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4">
        <v>0</v>
      </c>
      <c r="L1152" s="3">
        <v>0</v>
      </c>
      <c r="M1152" s="5">
        <v>450</v>
      </c>
      <c r="N1152" s="3">
        <f>M1152*6600</f>
        <v>2970000</v>
      </c>
      <c r="O1152" s="3">
        <v>0</v>
      </c>
      <c r="P1152" s="3">
        <v>0</v>
      </c>
      <c r="Q1152" s="3">
        <v>550</v>
      </c>
      <c r="R1152" s="3">
        <f>Q1152*3200</f>
        <v>1760000</v>
      </c>
      <c r="S1152" s="3">
        <v>156450</v>
      </c>
      <c r="T1152" s="3">
        <v>0</v>
      </c>
      <c r="U1152" s="3">
        <v>100000</v>
      </c>
      <c r="V1152" s="6">
        <f>N1152/M1152</f>
        <v>6600</v>
      </c>
    </row>
    <row r="1153" spans="1:22" ht="25.15" customHeight="1" x14ac:dyDescent="0.25">
      <c r="A1153" s="36" t="s">
        <v>2004</v>
      </c>
      <c r="B1153" s="8" t="s">
        <v>314</v>
      </c>
      <c r="C1153" s="2">
        <f t="shared" si="305"/>
        <v>4136400</v>
      </c>
      <c r="D1153" s="3">
        <f>SUM(E1153:J1153)</f>
        <v>319200</v>
      </c>
      <c r="E1153" s="5">
        <f>456*700</f>
        <v>319200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11">
        <v>0</v>
      </c>
      <c r="L1153" s="5">
        <v>0</v>
      </c>
      <c r="M1153" s="5">
        <v>328</v>
      </c>
      <c r="N1153" s="3">
        <f>M1153*6600</f>
        <v>2164800</v>
      </c>
      <c r="O1153" s="5">
        <v>0</v>
      </c>
      <c r="P1153" s="5">
        <v>0</v>
      </c>
      <c r="Q1153" s="5">
        <v>451</v>
      </c>
      <c r="R1153" s="3">
        <f>Q1153*3200</f>
        <v>1443200</v>
      </c>
      <c r="S1153" s="5">
        <v>109200</v>
      </c>
      <c r="T1153" s="5">
        <v>0</v>
      </c>
      <c r="U1153" s="5">
        <v>100000</v>
      </c>
      <c r="V1153" s="6">
        <f>N1153/M1153</f>
        <v>6600</v>
      </c>
    </row>
    <row r="1154" spans="1:22" ht="42.95" customHeight="1" x14ac:dyDescent="0.25">
      <c r="A1154" s="54" t="s">
        <v>315</v>
      </c>
      <c r="B1154" s="54"/>
      <c r="C1154" s="2">
        <f>SUM(C1155)</f>
        <v>3116540</v>
      </c>
      <c r="D1154" s="2">
        <f t="shared" ref="D1154:U1154" si="335">SUM(D1155)</f>
        <v>0</v>
      </c>
      <c r="E1154" s="2">
        <f t="shared" si="335"/>
        <v>0</v>
      </c>
      <c r="F1154" s="2">
        <f t="shared" si="335"/>
        <v>0</v>
      </c>
      <c r="G1154" s="2">
        <f t="shared" si="335"/>
        <v>0</v>
      </c>
      <c r="H1154" s="2">
        <f t="shared" si="335"/>
        <v>0</v>
      </c>
      <c r="I1154" s="2">
        <f t="shared" si="335"/>
        <v>0</v>
      </c>
      <c r="J1154" s="2">
        <f t="shared" si="335"/>
        <v>0</v>
      </c>
      <c r="K1154" s="14">
        <f t="shared" si="335"/>
        <v>0</v>
      </c>
      <c r="L1154" s="2">
        <f t="shared" si="335"/>
        <v>0</v>
      </c>
      <c r="M1154" s="2">
        <f t="shared" si="335"/>
        <v>321.89999999999998</v>
      </c>
      <c r="N1154" s="2">
        <f t="shared" si="335"/>
        <v>2124540</v>
      </c>
      <c r="O1154" s="2">
        <f t="shared" si="335"/>
        <v>0</v>
      </c>
      <c r="P1154" s="2">
        <f t="shared" si="335"/>
        <v>0</v>
      </c>
      <c r="Q1154" s="2">
        <f t="shared" si="335"/>
        <v>310</v>
      </c>
      <c r="R1154" s="2">
        <f t="shared" si="335"/>
        <v>992000</v>
      </c>
      <c r="S1154" s="2">
        <f t="shared" si="335"/>
        <v>0</v>
      </c>
      <c r="T1154" s="2">
        <f t="shared" si="335"/>
        <v>0</v>
      </c>
      <c r="U1154" s="2">
        <f t="shared" si="335"/>
        <v>0</v>
      </c>
      <c r="V1154" s="18">
        <f>C1154</f>
        <v>3116540</v>
      </c>
    </row>
    <row r="1155" spans="1:22" ht="25.15" customHeight="1" x14ac:dyDescent="0.25">
      <c r="A1155" s="36" t="s">
        <v>2005</v>
      </c>
      <c r="B1155" s="8" t="s">
        <v>316</v>
      </c>
      <c r="C1155" s="2">
        <f t="shared" si="305"/>
        <v>3116540</v>
      </c>
      <c r="D1155" s="3">
        <f>SUM(E1155:J1155)</f>
        <v>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321.89999999999998</v>
      </c>
      <c r="N1155" s="3">
        <f>M1155*6600</f>
        <v>2124540</v>
      </c>
      <c r="O1155" s="3">
        <v>0</v>
      </c>
      <c r="P1155" s="3">
        <v>0</v>
      </c>
      <c r="Q1155" s="38">
        <v>310</v>
      </c>
      <c r="R1155" s="3">
        <f>Q1155*3200</f>
        <v>992000</v>
      </c>
      <c r="S1155" s="3">
        <v>0</v>
      </c>
      <c r="T1155" s="3">
        <v>0</v>
      </c>
      <c r="U1155" s="3">
        <v>0</v>
      </c>
      <c r="V1155" s="6">
        <f>N1155/M1155</f>
        <v>6600.0000000000009</v>
      </c>
    </row>
    <row r="1156" spans="1:22" ht="42.95" customHeight="1" x14ac:dyDescent="0.25">
      <c r="A1156" s="54" t="s">
        <v>821</v>
      </c>
      <c r="B1156" s="54"/>
      <c r="C1156" s="2">
        <f>SUM(C1157)</f>
        <v>5032200</v>
      </c>
      <c r="D1156" s="2">
        <f t="shared" ref="D1156:U1156" si="336">SUM(D1157)</f>
        <v>4932200</v>
      </c>
      <c r="E1156" s="2">
        <f t="shared" si="336"/>
        <v>1327900</v>
      </c>
      <c r="F1156" s="2">
        <f t="shared" si="336"/>
        <v>2466100</v>
      </c>
      <c r="G1156" s="2">
        <f t="shared" si="336"/>
        <v>569100</v>
      </c>
      <c r="H1156" s="2">
        <f t="shared" si="336"/>
        <v>0</v>
      </c>
      <c r="I1156" s="2">
        <f t="shared" si="336"/>
        <v>569100</v>
      </c>
      <c r="J1156" s="2">
        <f t="shared" si="336"/>
        <v>0</v>
      </c>
      <c r="K1156" s="14">
        <f t="shared" si="336"/>
        <v>0</v>
      </c>
      <c r="L1156" s="2">
        <f t="shared" si="336"/>
        <v>0</v>
      </c>
      <c r="M1156" s="2">
        <f t="shared" si="336"/>
        <v>0</v>
      </c>
      <c r="N1156" s="2">
        <f t="shared" si="336"/>
        <v>0</v>
      </c>
      <c r="O1156" s="2">
        <f t="shared" si="336"/>
        <v>0</v>
      </c>
      <c r="P1156" s="2">
        <f t="shared" si="336"/>
        <v>0</v>
      </c>
      <c r="Q1156" s="2">
        <f t="shared" si="336"/>
        <v>0</v>
      </c>
      <c r="R1156" s="2">
        <f t="shared" si="336"/>
        <v>0</v>
      </c>
      <c r="S1156" s="2">
        <f t="shared" si="336"/>
        <v>0</v>
      </c>
      <c r="T1156" s="2">
        <f t="shared" si="336"/>
        <v>0</v>
      </c>
      <c r="U1156" s="2">
        <f t="shared" si="336"/>
        <v>100000</v>
      </c>
      <c r="V1156" s="18">
        <f>C1156</f>
        <v>5032200</v>
      </c>
    </row>
    <row r="1157" spans="1:22" ht="25.15" customHeight="1" x14ac:dyDescent="0.25">
      <c r="A1157" s="37" t="s">
        <v>2006</v>
      </c>
      <c r="B1157" s="8" t="s">
        <v>319</v>
      </c>
      <c r="C1157" s="2">
        <f t="shared" si="305"/>
        <v>5032200</v>
      </c>
      <c r="D1157" s="3">
        <f>SUM(E1157:J1157)</f>
        <v>4932200</v>
      </c>
      <c r="E1157" s="3">
        <f>700*1897</f>
        <v>1327900</v>
      </c>
      <c r="F1157" s="3">
        <f>1300*1897</f>
        <v>2466100</v>
      </c>
      <c r="G1157" s="3">
        <f>300*1897</f>
        <v>569100</v>
      </c>
      <c r="H1157" s="3">
        <v>0</v>
      </c>
      <c r="I1157" s="3">
        <f>300*1897</f>
        <v>569100</v>
      </c>
      <c r="J1157" s="3">
        <v>0</v>
      </c>
      <c r="K1157" s="4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f>Q1157*3200</f>
        <v>0</v>
      </c>
      <c r="S1157" s="3">
        <v>0</v>
      </c>
      <c r="T1157" s="3">
        <v>0</v>
      </c>
      <c r="U1157" s="3">
        <v>100000</v>
      </c>
      <c r="V1157" s="6" t="e">
        <f>N1157/M1157</f>
        <v>#DIV/0!</v>
      </c>
    </row>
    <row r="1158" spans="1:22" ht="42.95" customHeight="1" x14ac:dyDescent="0.25">
      <c r="A1158" s="54" t="s">
        <v>820</v>
      </c>
      <c r="B1158" s="54"/>
      <c r="C1158" s="2">
        <f>SUM(C1159:C1160)</f>
        <v>6507260</v>
      </c>
      <c r="D1158" s="2">
        <f t="shared" ref="D1158:U1158" si="337">SUM(D1159:D1160)</f>
        <v>943180</v>
      </c>
      <c r="E1158" s="2">
        <f t="shared" si="337"/>
        <v>488180</v>
      </c>
      <c r="F1158" s="2">
        <f t="shared" si="337"/>
        <v>455000</v>
      </c>
      <c r="G1158" s="2">
        <f t="shared" si="337"/>
        <v>0</v>
      </c>
      <c r="H1158" s="2">
        <f t="shared" si="337"/>
        <v>0</v>
      </c>
      <c r="I1158" s="2">
        <f t="shared" si="337"/>
        <v>0</v>
      </c>
      <c r="J1158" s="2">
        <f t="shared" si="337"/>
        <v>0</v>
      </c>
      <c r="K1158" s="14">
        <f t="shared" si="337"/>
        <v>0</v>
      </c>
      <c r="L1158" s="2">
        <f t="shared" si="337"/>
        <v>0</v>
      </c>
      <c r="M1158" s="2">
        <f t="shared" si="337"/>
        <v>497.2</v>
      </c>
      <c r="N1158" s="2">
        <f t="shared" si="337"/>
        <v>3281520</v>
      </c>
      <c r="O1158" s="2">
        <f t="shared" si="337"/>
        <v>0</v>
      </c>
      <c r="P1158" s="2">
        <f t="shared" si="337"/>
        <v>0</v>
      </c>
      <c r="Q1158" s="2">
        <f t="shared" si="337"/>
        <v>650.79999999999995</v>
      </c>
      <c r="R1158" s="2">
        <f t="shared" si="337"/>
        <v>2082560</v>
      </c>
      <c r="S1158" s="2">
        <f t="shared" si="337"/>
        <v>0</v>
      </c>
      <c r="T1158" s="2">
        <f t="shared" si="337"/>
        <v>0</v>
      </c>
      <c r="U1158" s="2">
        <f t="shared" si="337"/>
        <v>200000</v>
      </c>
    </row>
    <row r="1159" spans="1:22" ht="25.15" customHeight="1" x14ac:dyDescent="0.25">
      <c r="A1159" s="37" t="s">
        <v>2007</v>
      </c>
      <c r="B1159" s="8" t="s">
        <v>317</v>
      </c>
      <c r="C1159" s="2">
        <f>D1159+L1159+N1159+P1159+R1159+S1159+T1159+U1159</f>
        <v>2677540</v>
      </c>
      <c r="D1159" s="3">
        <f>SUM(E1159:J1159)</f>
        <v>243179.99999999997</v>
      </c>
      <c r="E1159" s="3">
        <f>700*347.4</f>
        <v>243179.99999999997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4">
        <v>0</v>
      </c>
      <c r="L1159" s="3">
        <v>0</v>
      </c>
      <c r="M1159" s="3">
        <v>235</v>
      </c>
      <c r="N1159" s="3">
        <f>M1159*6600</f>
        <v>1551000</v>
      </c>
      <c r="O1159" s="3">
        <v>0</v>
      </c>
      <c r="P1159" s="3">
        <v>0</v>
      </c>
      <c r="Q1159" s="3">
        <v>244.8</v>
      </c>
      <c r="R1159" s="3">
        <f>Q1159*3200</f>
        <v>783360</v>
      </c>
      <c r="S1159" s="3">
        <v>0</v>
      </c>
      <c r="T1159" s="3">
        <v>0</v>
      </c>
      <c r="U1159" s="3">
        <v>100000</v>
      </c>
      <c r="V1159" s="6">
        <f>N1159/M1159</f>
        <v>6600</v>
      </c>
    </row>
    <row r="1160" spans="1:22" ht="25.15" customHeight="1" x14ac:dyDescent="0.25">
      <c r="A1160" s="37" t="s">
        <v>2008</v>
      </c>
      <c r="B1160" s="8" t="s">
        <v>318</v>
      </c>
      <c r="C1160" s="2">
        <f>D1160+L1160+N1160+P1160+R1160+S1160+T1160+U1160</f>
        <v>3829720</v>
      </c>
      <c r="D1160" s="3">
        <f>SUM(E1160:J1160)</f>
        <v>700000</v>
      </c>
      <c r="E1160" s="3">
        <f>350*700</f>
        <v>245000</v>
      </c>
      <c r="F1160" s="3">
        <f>1300*350</f>
        <v>455000</v>
      </c>
      <c r="G1160" s="3">
        <v>0</v>
      </c>
      <c r="H1160" s="3">
        <v>0</v>
      </c>
      <c r="I1160" s="3">
        <v>0</v>
      </c>
      <c r="J1160" s="3">
        <v>0</v>
      </c>
      <c r="K1160" s="4">
        <v>0</v>
      </c>
      <c r="L1160" s="3">
        <v>0</v>
      </c>
      <c r="M1160" s="3">
        <v>262.2</v>
      </c>
      <c r="N1160" s="3">
        <f>M1160*6600</f>
        <v>1730520</v>
      </c>
      <c r="O1160" s="3">
        <v>0</v>
      </c>
      <c r="P1160" s="3">
        <v>0</v>
      </c>
      <c r="Q1160" s="3">
        <v>406</v>
      </c>
      <c r="R1160" s="3">
        <f>Q1160*3200</f>
        <v>1299200</v>
      </c>
      <c r="S1160" s="3">
        <v>0</v>
      </c>
      <c r="T1160" s="3">
        <v>0</v>
      </c>
      <c r="U1160" s="3">
        <v>100000</v>
      </c>
      <c r="V1160" s="6">
        <f>N1160/M1160</f>
        <v>6600</v>
      </c>
    </row>
    <row r="1161" spans="1:22" ht="42.95" customHeight="1" x14ac:dyDescent="0.25">
      <c r="A1161" s="54" t="s">
        <v>321</v>
      </c>
      <c r="B1161" s="54"/>
      <c r="C1161" s="2">
        <f>SUM(C1162:C1164)</f>
        <v>29709400</v>
      </c>
      <c r="D1161" s="2">
        <f t="shared" ref="D1161:U1161" si="338">SUM(D1162:D1164)</f>
        <v>6286540</v>
      </c>
      <c r="E1161" s="2">
        <f t="shared" si="338"/>
        <v>1692530</v>
      </c>
      <c r="F1161" s="2">
        <f t="shared" si="338"/>
        <v>3143270</v>
      </c>
      <c r="G1161" s="2">
        <f t="shared" si="338"/>
        <v>725370</v>
      </c>
      <c r="H1161" s="2">
        <f t="shared" si="338"/>
        <v>0</v>
      </c>
      <c r="I1161" s="2">
        <f t="shared" si="338"/>
        <v>725370</v>
      </c>
      <c r="J1161" s="2">
        <f t="shared" si="338"/>
        <v>0</v>
      </c>
      <c r="K1161" s="14">
        <f t="shared" si="338"/>
        <v>0</v>
      </c>
      <c r="L1161" s="2">
        <f t="shared" si="338"/>
        <v>0</v>
      </c>
      <c r="M1161" s="2">
        <f t="shared" si="338"/>
        <v>1687.5</v>
      </c>
      <c r="N1161" s="2">
        <f t="shared" si="338"/>
        <v>9675500</v>
      </c>
      <c r="O1161" s="2">
        <f t="shared" si="338"/>
        <v>0</v>
      </c>
      <c r="P1161" s="2">
        <f t="shared" si="338"/>
        <v>0</v>
      </c>
      <c r="Q1161" s="2">
        <f t="shared" si="338"/>
        <v>4139.7999999999993</v>
      </c>
      <c r="R1161" s="2">
        <f t="shared" si="338"/>
        <v>13247360</v>
      </c>
      <c r="S1161" s="2">
        <f t="shared" si="338"/>
        <v>300000</v>
      </c>
      <c r="T1161" s="2">
        <f t="shared" si="338"/>
        <v>0</v>
      </c>
      <c r="U1161" s="2">
        <f t="shared" si="338"/>
        <v>200000</v>
      </c>
    </row>
    <row r="1162" spans="1:22" ht="25.15" customHeight="1" x14ac:dyDescent="0.25">
      <c r="A1162" s="36" t="s">
        <v>2009</v>
      </c>
      <c r="B1162" s="8" t="s">
        <v>1194</v>
      </c>
      <c r="C1162" s="2">
        <f>D1162+L1162+N1162+P1162+R1162+S1162+T1162+U1162</f>
        <v>16446780</v>
      </c>
      <c r="D1162" s="3">
        <f>SUM(E1162:J1162)</f>
        <v>6286540</v>
      </c>
      <c r="E1162" s="3">
        <f>2417.9*700</f>
        <v>1692530</v>
      </c>
      <c r="F1162" s="3">
        <f>1300*2417.9</f>
        <v>3143270</v>
      </c>
      <c r="G1162" s="3">
        <f>300*2417.9</f>
        <v>725370</v>
      </c>
      <c r="H1162" s="3">
        <v>0</v>
      </c>
      <c r="I1162" s="3">
        <f>300*2417.9</f>
        <v>725370</v>
      </c>
      <c r="J1162" s="3">
        <v>0</v>
      </c>
      <c r="K1162" s="4">
        <v>0</v>
      </c>
      <c r="L1162" s="3">
        <v>0</v>
      </c>
      <c r="M1162" s="3">
        <v>680</v>
      </c>
      <c r="N1162" s="3">
        <f>M1162*4450</f>
        <v>3026000</v>
      </c>
      <c r="O1162" s="3">
        <v>0</v>
      </c>
      <c r="P1162" s="3">
        <v>0</v>
      </c>
      <c r="Q1162" s="3">
        <v>2073.1999999999998</v>
      </c>
      <c r="R1162" s="3">
        <f>Q1162*3200</f>
        <v>6634239.9999999991</v>
      </c>
      <c r="S1162" s="3">
        <v>300000</v>
      </c>
      <c r="T1162" s="3">
        <v>0</v>
      </c>
      <c r="U1162" s="3">
        <v>200000</v>
      </c>
    </row>
    <row r="1163" spans="1:22" ht="25.15" customHeight="1" x14ac:dyDescent="0.25">
      <c r="A1163" s="36" t="s">
        <v>2010</v>
      </c>
      <c r="B1163" s="8" t="s">
        <v>849</v>
      </c>
      <c r="C1163" s="2">
        <f>D1163+L1163+N1163+P1163+R1163+S1163+T1163+U1163</f>
        <v>11074720</v>
      </c>
      <c r="D1163" s="3">
        <f>SUM(E1163:J1163)</f>
        <v>0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11">
        <v>0</v>
      </c>
      <c r="L1163" s="5">
        <v>0</v>
      </c>
      <c r="M1163" s="5">
        <v>676</v>
      </c>
      <c r="N1163" s="3">
        <f>M1163*6600</f>
        <v>4461600</v>
      </c>
      <c r="O1163" s="5">
        <v>0</v>
      </c>
      <c r="P1163" s="5">
        <v>0</v>
      </c>
      <c r="Q1163" s="5">
        <v>2066.6</v>
      </c>
      <c r="R1163" s="3">
        <f>Q1163*3200</f>
        <v>6613120</v>
      </c>
      <c r="S1163" s="5">
        <v>0</v>
      </c>
      <c r="T1163" s="5">
        <v>0</v>
      </c>
      <c r="U1163" s="5">
        <v>0</v>
      </c>
      <c r="V1163" s="6">
        <f>N1163/M1163</f>
        <v>6600</v>
      </c>
    </row>
    <row r="1164" spans="1:22" ht="25.15" customHeight="1" x14ac:dyDescent="0.25">
      <c r="A1164" s="36" t="s">
        <v>2011</v>
      </c>
      <c r="B1164" s="8" t="s">
        <v>324</v>
      </c>
      <c r="C1164" s="2">
        <f>D1164+L1164+N1164+P1164+R1164+S1164+T1164+U1164</f>
        <v>2187900</v>
      </c>
      <c r="D1164" s="3">
        <f>SUM(E1164:J1164)</f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4">
        <v>0</v>
      </c>
      <c r="L1164" s="3">
        <v>0</v>
      </c>
      <c r="M1164" s="3">
        <v>331.5</v>
      </c>
      <c r="N1164" s="3">
        <f>M1164*6600</f>
        <v>2187900</v>
      </c>
      <c r="O1164" s="3">
        <v>0</v>
      </c>
      <c r="P1164" s="3">
        <v>0</v>
      </c>
      <c r="Q1164" s="3">
        <v>0</v>
      </c>
      <c r="R1164" s="3">
        <f>Q1164*3200</f>
        <v>0</v>
      </c>
      <c r="S1164" s="3">
        <v>0</v>
      </c>
      <c r="T1164" s="3">
        <v>0</v>
      </c>
      <c r="U1164" s="3">
        <v>0</v>
      </c>
      <c r="V1164" s="6">
        <f>N1164/M1164</f>
        <v>6600</v>
      </c>
    </row>
    <row r="1165" spans="1:22" ht="45" customHeight="1" x14ac:dyDescent="0.25">
      <c r="A1165" s="54" t="s">
        <v>325</v>
      </c>
      <c r="B1165" s="54"/>
      <c r="C1165" s="2">
        <f>SUM(C1166)</f>
        <v>4964000</v>
      </c>
      <c r="D1165" s="2">
        <f t="shared" ref="D1165:U1165" si="339">SUM(D1166)</f>
        <v>0</v>
      </c>
      <c r="E1165" s="2">
        <f t="shared" si="339"/>
        <v>0</v>
      </c>
      <c r="F1165" s="2">
        <f t="shared" si="339"/>
        <v>0</v>
      </c>
      <c r="G1165" s="2">
        <f t="shared" si="339"/>
        <v>0</v>
      </c>
      <c r="H1165" s="2">
        <f t="shared" si="339"/>
        <v>0</v>
      </c>
      <c r="I1165" s="2">
        <f t="shared" si="339"/>
        <v>0</v>
      </c>
      <c r="J1165" s="2">
        <f t="shared" si="339"/>
        <v>0</v>
      </c>
      <c r="K1165" s="14">
        <f t="shared" si="339"/>
        <v>0</v>
      </c>
      <c r="L1165" s="2">
        <f t="shared" si="339"/>
        <v>0</v>
      </c>
      <c r="M1165" s="2">
        <f t="shared" si="339"/>
        <v>500</v>
      </c>
      <c r="N1165" s="2">
        <f t="shared" si="339"/>
        <v>3300000</v>
      </c>
      <c r="O1165" s="2">
        <f t="shared" si="339"/>
        <v>0</v>
      </c>
      <c r="P1165" s="2">
        <f t="shared" si="339"/>
        <v>0</v>
      </c>
      <c r="Q1165" s="2">
        <f t="shared" si="339"/>
        <v>520</v>
      </c>
      <c r="R1165" s="2">
        <f t="shared" si="339"/>
        <v>1664000</v>
      </c>
      <c r="S1165" s="2">
        <f t="shared" si="339"/>
        <v>0</v>
      </c>
      <c r="T1165" s="2">
        <f t="shared" si="339"/>
        <v>0</v>
      </c>
      <c r="U1165" s="2">
        <f t="shared" si="339"/>
        <v>0</v>
      </c>
    </row>
    <row r="1166" spans="1:22" ht="25.15" customHeight="1" x14ac:dyDescent="0.25">
      <c r="A1166" s="37" t="s">
        <v>2012</v>
      </c>
      <c r="B1166" s="1" t="s">
        <v>326</v>
      </c>
      <c r="C1166" s="2">
        <f>D1166+L1166+N1166+P1166+R1166+S1166+T1166+U1166</f>
        <v>4964000</v>
      </c>
      <c r="D1166" s="3">
        <f>SUM(E1166:J1166)</f>
        <v>0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4">
        <v>0</v>
      </c>
      <c r="L1166" s="3">
        <v>0</v>
      </c>
      <c r="M1166" s="3">
        <v>500</v>
      </c>
      <c r="N1166" s="3">
        <f>M1166*6600</f>
        <v>3300000</v>
      </c>
      <c r="O1166" s="3">
        <v>0</v>
      </c>
      <c r="P1166" s="3">
        <v>0</v>
      </c>
      <c r="Q1166" s="3">
        <v>520</v>
      </c>
      <c r="R1166" s="3">
        <f>Q1166*3200</f>
        <v>1664000</v>
      </c>
      <c r="S1166" s="3">
        <v>0</v>
      </c>
      <c r="T1166" s="3">
        <v>0</v>
      </c>
      <c r="U1166" s="3">
        <v>0</v>
      </c>
      <c r="V1166" s="6">
        <f>N1166/M1166</f>
        <v>6600</v>
      </c>
    </row>
    <row r="1167" spans="1:22" ht="42.95" customHeight="1" x14ac:dyDescent="0.25">
      <c r="A1167" s="54" t="s">
        <v>328</v>
      </c>
      <c r="B1167" s="54"/>
      <c r="C1167" s="2">
        <f>SUM(C1168)</f>
        <v>2850700</v>
      </c>
      <c r="D1167" s="2">
        <f t="shared" ref="D1167:U1167" si="340">SUM(D1168)</f>
        <v>830700</v>
      </c>
      <c r="E1167" s="2">
        <f t="shared" si="340"/>
        <v>447300</v>
      </c>
      <c r="F1167" s="2">
        <f t="shared" si="340"/>
        <v>0</v>
      </c>
      <c r="G1167" s="2">
        <f t="shared" si="340"/>
        <v>191700</v>
      </c>
      <c r="H1167" s="2">
        <f t="shared" si="340"/>
        <v>0</v>
      </c>
      <c r="I1167" s="2">
        <f t="shared" si="340"/>
        <v>191700</v>
      </c>
      <c r="J1167" s="2">
        <f t="shared" si="340"/>
        <v>0</v>
      </c>
      <c r="K1167" s="14">
        <f t="shared" si="340"/>
        <v>0</v>
      </c>
      <c r="L1167" s="2">
        <f t="shared" si="340"/>
        <v>0</v>
      </c>
      <c r="M1167" s="2">
        <f t="shared" si="340"/>
        <v>0</v>
      </c>
      <c r="N1167" s="2">
        <f t="shared" si="340"/>
        <v>0</v>
      </c>
      <c r="O1167" s="2">
        <f t="shared" si="340"/>
        <v>0</v>
      </c>
      <c r="P1167" s="2">
        <f t="shared" si="340"/>
        <v>0</v>
      </c>
      <c r="Q1167" s="2">
        <f t="shared" si="340"/>
        <v>600</v>
      </c>
      <c r="R1167" s="2">
        <f t="shared" si="340"/>
        <v>1920000</v>
      </c>
      <c r="S1167" s="2">
        <f t="shared" si="340"/>
        <v>0</v>
      </c>
      <c r="T1167" s="2">
        <f t="shared" si="340"/>
        <v>0</v>
      </c>
      <c r="U1167" s="2">
        <f t="shared" si="340"/>
        <v>100000</v>
      </c>
    </row>
    <row r="1168" spans="1:22" ht="25.15" customHeight="1" x14ac:dyDescent="0.25">
      <c r="A1168" s="36" t="s">
        <v>2013</v>
      </c>
      <c r="B1168" s="8" t="s">
        <v>938</v>
      </c>
      <c r="C1168" s="2">
        <f>D1168+L1168+N1168+P1168+R1168+S1168+T1168+U1168</f>
        <v>2850700</v>
      </c>
      <c r="D1168" s="3">
        <f>SUM(E1168:J1168)</f>
        <v>830700</v>
      </c>
      <c r="E1168" s="3">
        <f>700*639</f>
        <v>447300</v>
      </c>
      <c r="F1168" s="3">
        <v>0</v>
      </c>
      <c r="G1168" s="3">
        <f>300*639</f>
        <v>191700</v>
      </c>
      <c r="H1168" s="3">
        <v>0</v>
      </c>
      <c r="I1168" s="3">
        <f>300*639</f>
        <v>191700</v>
      </c>
      <c r="J1168" s="3">
        <v>0</v>
      </c>
      <c r="K1168" s="11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600</v>
      </c>
      <c r="R1168" s="3">
        <f>Q1168*3200</f>
        <v>1920000</v>
      </c>
      <c r="S1168" s="5">
        <v>0</v>
      </c>
      <c r="T1168" s="5">
        <v>0</v>
      </c>
      <c r="U1168" s="5">
        <v>100000</v>
      </c>
      <c r="V1168" s="6" t="e">
        <f>N1168/M1168</f>
        <v>#DIV/0!</v>
      </c>
    </row>
    <row r="1169" spans="1:22" ht="45" customHeight="1" x14ac:dyDescent="0.25">
      <c r="A1169" s="54" t="s">
        <v>330</v>
      </c>
      <c r="B1169" s="54"/>
      <c r="C1169" s="2">
        <f>SUM(C1170)</f>
        <v>6468000</v>
      </c>
      <c r="D1169" s="2">
        <f t="shared" ref="D1169:U1169" si="341">SUM(D1170)</f>
        <v>0</v>
      </c>
      <c r="E1169" s="2">
        <f t="shared" si="341"/>
        <v>0</v>
      </c>
      <c r="F1169" s="2">
        <f t="shared" si="341"/>
        <v>0</v>
      </c>
      <c r="G1169" s="2">
        <f t="shared" si="341"/>
        <v>0</v>
      </c>
      <c r="H1169" s="2">
        <f t="shared" si="341"/>
        <v>0</v>
      </c>
      <c r="I1169" s="2">
        <f t="shared" si="341"/>
        <v>0</v>
      </c>
      <c r="J1169" s="2">
        <f t="shared" si="341"/>
        <v>0</v>
      </c>
      <c r="K1169" s="14">
        <f t="shared" si="341"/>
        <v>0</v>
      </c>
      <c r="L1169" s="2">
        <f t="shared" si="341"/>
        <v>0</v>
      </c>
      <c r="M1169" s="2">
        <f t="shared" si="341"/>
        <v>980</v>
      </c>
      <c r="N1169" s="2">
        <f t="shared" si="341"/>
        <v>6468000</v>
      </c>
      <c r="O1169" s="2">
        <f t="shared" si="341"/>
        <v>0</v>
      </c>
      <c r="P1169" s="2">
        <f t="shared" si="341"/>
        <v>0</v>
      </c>
      <c r="Q1169" s="2">
        <f t="shared" si="341"/>
        <v>0</v>
      </c>
      <c r="R1169" s="2">
        <f t="shared" si="341"/>
        <v>0</v>
      </c>
      <c r="S1169" s="2">
        <f t="shared" si="341"/>
        <v>0</v>
      </c>
      <c r="T1169" s="2">
        <f t="shared" si="341"/>
        <v>0</v>
      </c>
      <c r="U1169" s="2">
        <f t="shared" si="341"/>
        <v>0</v>
      </c>
    </row>
    <row r="1170" spans="1:22" ht="25.15" customHeight="1" x14ac:dyDescent="0.25">
      <c r="A1170" s="37" t="s">
        <v>2014</v>
      </c>
      <c r="B1170" s="8" t="s">
        <v>2043</v>
      </c>
      <c r="C1170" s="2">
        <f>D1170+L1170+N1170+P1170+R1170+S1170+T1170+U1170</f>
        <v>6468000</v>
      </c>
      <c r="D1170" s="3">
        <f>SUM(E1170:J1170)</f>
        <v>0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f>350*0</f>
        <v>0</v>
      </c>
      <c r="K1170" s="4">
        <v>0</v>
      </c>
      <c r="L1170" s="3">
        <v>0</v>
      </c>
      <c r="M1170" s="3">
        <v>980</v>
      </c>
      <c r="N1170" s="3">
        <f>M1170*6600</f>
        <v>6468000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6">
        <f>N1170/M1170</f>
        <v>6600</v>
      </c>
    </row>
    <row r="1171" spans="1:22" ht="45" customHeight="1" x14ac:dyDescent="0.25">
      <c r="A1171" s="54" t="s">
        <v>1002</v>
      </c>
      <c r="B1171" s="54"/>
      <c r="C1171" s="2">
        <f>SUM(C1172:C1194)</f>
        <v>164266849.14999998</v>
      </c>
      <c r="D1171" s="2">
        <f t="shared" ref="D1171:U1171" si="342">SUM(D1172:D1194)</f>
        <v>45011904.799999997</v>
      </c>
      <c r="E1171" s="2">
        <f t="shared" si="342"/>
        <v>11168150</v>
      </c>
      <c r="F1171" s="2">
        <f t="shared" si="342"/>
        <v>22771210</v>
      </c>
      <c r="G1171" s="2">
        <f t="shared" si="342"/>
        <v>5351190</v>
      </c>
      <c r="H1171" s="2">
        <f t="shared" si="342"/>
        <v>269320</v>
      </c>
      <c r="I1171" s="2">
        <f t="shared" si="342"/>
        <v>5452034.7999999998</v>
      </c>
      <c r="J1171" s="2">
        <f t="shared" si="342"/>
        <v>0</v>
      </c>
      <c r="K1171" s="14">
        <f t="shared" si="342"/>
        <v>0</v>
      </c>
      <c r="L1171" s="2">
        <f t="shared" si="342"/>
        <v>0</v>
      </c>
      <c r="M1171" s="2">
        <f t="shared" si="342"/>
        <v>11738.05</v>
      </c>
      <c r="N1171" s="2">
        <f t="shared" si="342"/>
        <v>72910970</v>
      </c>
      <c r="O1171" s="2">
        <f t="shared" si="342"/>
        <v>0</v>
      </c>
      <c r="P1171" s="2">
        <f t="shared" si="342"/>
        <v>0</v>
      </c>
      <c r="Q1171" s="2">
        <f t="shared" si="342"/>
        <v>13785.7</v>
      </c>
      <c r="R1171" s="2">
        <f t="shared" si="342"/>
        <v>44114240</v>
      </c>
      <c r="S1171" s="2">
        <f t="shared" si="342"/>
        <v>0</v>
      </c>
      <c r="T1171" s="2">
        <f t="shared" si="342"/>
        <v>0</v>
      </c>
      <c r="U1171" s="2">
        <f t="shared" si="342"/>
        <v>2229734.35</v>
      </c>
    </row>
    <row r="1172" spans="1:22" ht="27" customHeight="1" x14ac:dyDescent="0.25">
      <c r="A1172" s="36" t="s">
        <v>2015</v>
      </c>
      <c r="B1172" s="8" t="s">
        <v>1217</v>
      </c>
      <c r="C1172" s="2">
        <f t="shared" ref="C1172:C1194" si="343">D1172+L1172+N1172+P1172+R1172+S1172+T1172+U1172</f>
        <v>447099.26</v>
      </c>
      <c r="D1172" s="3">
        <f t="shared" ref="D1172:D1184" si="344">SUM(E1172:J1172)</f>
        <v>253894.8</v>
      </c>
      <c r="E1172" s="3">
        <v>0</v>
      </c>
      <c r="F1172" s="3">
        <v>0</v>
      </c>
      <c r="G1172" s="3">
        <v>0</v>
      </c>
      <c r="H1172" s="3">
        <v>0</v>
      </c>
      <c r="I1172" s="3">
        <v>253894.8</v>
      </c>
      <c r="J1172" s="3">
        <v>0</v>
      </c>
      <c r="K1172" s="4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193204.46</v>
      </c>
    </row>
    <row r="1173" spans="1:22" ht="25.15" customHeight="1" x14ac:dyDescent="0.25">
      <c r="A1173" s="36" t="s">
        <v>2016</v>
      </c>
      <c r="B1173" s="8" t="s">
        <v>339</v>
      </c>
      <c r="C1173" s="2">
        <f>D1173+L1173+N1173+P1173+R1173+S1173+T1173+U1173</f>
        <v>4548680</v>
      </c>
      <c r="D1173" s="3">
        <f t="shared" si="344"/>
        <v>730600</v>
      </c>
      <c r="E1173" s="3">
        <f>700*281</f>
        <v>196700</v>
      </c>
      <c r="F1173" s="3">
        <f>1300*281</f>
        <v>365300</v>
      </c>
      <c r="G1173" s="3">
        <f>300*281</f>
        <v>84300</v>
      </c>
      <c r="H1173" s="3">
        <f t="shared" si="174"/>
        <v>0</v>
      </c>
      <c r="I1173" s="3">
        <f>300*281</f>
        <v>84300</v>
      </c>
      <c r="J1173" s="3">
        <v>0</v>
      </c>
      <c r="K1173" s="4">
        <v>0</v>
      </c>
      <c r="L1173" s="3">
        <v>0</v>
      </c>
      <c r="M1173" s="3">
        <v>400</v>
      </c>
      <c r="N1173" s="3">
        <f>M1173*6600</f>
        <v>2640000</v>
      </c>
      <c r="O1173" s="3">
        <v>0</v>
      </c>
      <c r="P1173" s="3">
        <v>0</v>
      </c>
      <c r="Q1173" s="3">
        <v>336.9</v>
      </c>
      <c r="R1173" s="3">
        <f>Q1173*3200</f>
        <v>1078080</v>
      </c>
      <c r="S1173" s="3">
        <v>0</v>
      </c>
      <c r="T1173" s="3">
        <v>0</v>
      </c>
      <c r="U1173" s="3">
        <v>100000</v>
      </c>
      <c r="V1173" s="6">
        <f>N1173/M1173</f>
        <v>6600</v>
      </c>
    </row>
    <row r="1174" spans="1:22" ht="24.6" customHeight="1" x14ac:dyDescent="0.25">
      <c r="A1174" s="36" t="s">
        <v>2017</v>
      </c>
      <c r="B1174" s="8" t="s">
        <v>343</v>
      </c>
      <c r="C1174" s="2">
        <f t="shared" ref="C1174:C1178" si="345">D1174+L1174+N1174+P1174+R1174+S1174+T1174+U1174</f>
        <v>3647840.0000000005</v>
      </c>
      <c r="D1174" s="3">
        <f t="shared" ref="D1174:D1178" si="346">SUM(E1174:J1174)</f>
        <v>275240</v>
      </c>
      <c r="E1174" s="3">
        <f>350*786.4</f>
        <v>275240</v>
      </c>
      <c r="F1174" s="3">
        <v>0</v>
      </c>
      <c r="G1174" s="3">
        <v>0</v>
      </c>
      <c r="H1174" s="3">
        <f t="shared" si="174"/>
        <v>0</v>
      </c>
      <c r="I1174" s="3">
        <v>0</v>
      </c>
      <c r="J1174" s="3">
        <v>0</v>
      </c>
      <c r="K1174" s="4">
        <v>0</v>
      </c>
      <c r="L1174" s="3">
        <v>0</v>
      </c>
      <c r="M1174" s="3">
        <v>613.20000000000005</v>
      </c>
      <c r="N1174" s="3">
        <f t="shared" ref="N1174:N1178" si="347">M1174*5500</f>
        <v>3372600.0000000005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6">
        <f t="shared" ref="V1174:V1178" si="348">N1174/M1174</f>
        <v>5500</v>
      </c>
    </row>
    <row r="1175" spans="1:22" ht="25.15" customHeight="1" x14ac:dyDescent="0.25">
      <c r="A1175" s="36" t="s">
        <v>2018</v>
      </c>
      <c r="B1175" s="8" t="s">
        <v>344</v>
      </c>
      <c r="C1175" s="2">
        <f t="shared" si="345"/>
        <v>3372600.0000000005</v>
      </c>
      <c r="D1175" s="3">
        <f t="shared" si="346"/>
        <v>0</v>
      </c>
      <c r="E1175" s="3">
        <v>0</v>
      </c>
      <c r="F1175" s="3">
        <v>0</v>
      </c>
      <c r="G1175" s="3">
        <v>0</v>
      </c>
      <c r="H1175" s="3">
        <f t="shared" si="174"/>
        <v>0</v>
      </c>
      <c r="I1175" s="3">
        <v>0</v>
      </c>
      <c r="J1175" s="3">
        <v>0</v>
      </c>
      <c r="K1175" s="4">
        <v>0</v>
      </c>
      <c r="L1175" s="3">
        <v>0</v>
      </c>
      <c r="M1175" s="3">
        <v>613.20000000000005</v>
      </c>
      <c r="N1175" s="3">
        <f t="shared" si="347"/>
        <v>3372600.0000000005</v>
      </c>
      <c r="O1175" s="3">
        <v>0</v>
      </c>
      <c r="P1175" s="3">
        <v>0</v>
      </c>
      <c r="Q1175" s="3">
        <v>0</v>
      </c>
      <c r="R1175" s="3">
        <f t="shared" ref="R1175" si="349">Q1175*3000</f>
        <v>0</v>
      </c>
      <c r="S1175" s="3">
        <v>0</v>
      </c>
      <c r="T1175" s="3">
        <v>0</v>
      </c>
      <c r="U1175" s="3">
        <v>0</v>
      </c>
      <c r="V1175" s="6">
        <f t="shared" si="348"/>
        <v>5500</v>
      </c>
    </row>
    <row r="1176" spans="1:22" ht="25.15" customHeight="1" x14ac:dyDescent="0.25">
      <c r="A1176" s="36" t="s">
        <v>2019</v>
      </c>
      <c r="B1176" s="8" t="s">
        <v>345</v>
      </c>
      <c r="C1176" s="2">
        <f t="shared" si="345"/>
        <v>4897500</v>
      </c>
      <c r="D1176" s="3">
        <f t="shared" si="346"/>
        <v>1524900</v>
      </c>
      <c r="E1176" s="3">
        <f>350*782</f>
        <v>273700</v>
      </c>
      <c r="F1176" s="3">
        <f>1050*782</f>
        <v>821100</v>
      </c>
      <c r="G1176" s="3">
        <f>300*782</f>
        <v>234600</v>
      </c>
      <c r="H1176" s="3">
        <f t="shared" si="174"/>
        <v>0</v>
      </c>
      <c r="I1176" s="3">
        <f>250*782</f>
        <v>195500</v>
      </c>
      <c r="J1176" s="3">
        <v>0</v>
      </c>
      <c r="K1176" s="4">
        <v>0</v>
      </c>
      <c r="L1176" s="3">
        <v>0</v>
      </c>
      <c r="M1176" s="3">
        <v>613.20000000000005</v>
      </c>
      <c r="N1176" s="3">
        <f t="shared" si="347"/>
        <v>3372600.0000000005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6">
        <f t="shared" si="348"/>
        <v>5500</v>
      </c>
    </row>
    <row r="1177" spans="1:22" ht="25.15" customHeight="1" x14ac:dyDescent="0.25">
      <c r="A1177" s="36" t="s">
        <v>2020</v>
      </c>
      <c r="B1177" s="8" t="s">
        <v>346</v>
      </c>
      <c r="C1177" s="2">
        <f t="shared" si="345"/>
        <v>4935600</v>
      </c>
      <c r="D1177" s="3">
        <f t="shared" si="346"/>
        <v>1536600</v>
      </c>
      <c r="E1177" s="3">
        <f>350*788</f>
        <v>275800</v>
      </c>
      <c r="F1177" s="3">
        <f>1050*788</f>
        <v>827400</v>
      </c>
      <c r="G1177" s="3">
        <f>300*788</f>
        <v>236400</v>
      </c>
      <c r="H1177" s="3">
        <f t="shared" si="174"/>
        <v>0</v>
      </c>
      <c r="I1177" s="3">
        <f>250*788</f>
        <v>197000</v>
      </c>
      <c r="J1177" s="3">
        <v>0</v>
      </c>
      <c r="K1177" s="4">
        <v>0</v>
      </c>
      <c r="L1177" s="3">
        <v>0</v>
      </c>
      <c r="M1177" s="3">
        <v>618</v>
      </c>
      <c r="N1177" s="3">
        <f t="shared" si="347"/>
        <v>3399000</v>
      </c>
      <c r="O1177" s="3">
        <v>0</v>
      </c>
      <c r="P1177" s="3">
        <v>0</v>
      </c>
      <c r="Q1177" s="3">
        <v>0</v>
      </c>
      <c r="R1177" s="3">
        <f t="shared" ref="R1177" si="350">Q1177*3000</f>
        <v>0</v>
      </c>
      <c r="S1177" s="3">
        <v>0</v>
      </c>
      <c r="T1177" s="3">
        <v>0</v>
      </c>
      <c r="U1177" s="3">
        <v>0</v>
      </c>
      <c r="V1177" s="6">
        <f t="shared" si="348"/>
        <v>5500</v>
      </c>
    </row>
    <row r="1178" spans="1:22" ht="25.15" customHeight="1" x14ac:dyDescent="0.25">
      <c r="A1178" s="36" t="s">
        <v>2021</v>
      </c>
      <c r="B1178" s="8" t="s">
        <v>347</v>
      </c>
      <c r="C1178" s="2">
        <f t="shared" si="345"/>
        <v>4212000</v>
      </c>
      <c r="D1178" s="3">
        <f t="shared" si="346"/>
        <v>829500</v>
      </c>
      <c r="E1178" s="3">
        <v>0</v>
      </c>
      <c r="F1178" s="3">
        <f>1050*790</f>
        <v>829500</v>
      </c>
      <c r="G1178" s="3">
        <v>0</v>
      </c>
      <c r="H1178" s="3">
        <f t="shared" si="174"/>
        <v>0</v>
      </c>
      <c r="I1178" s="3">
        <v>0</v>
      </c>
      <c r="J1178" s="3">
        <v>0</v>
      </c>
      <c r="K1178" s="4">
        <v>0</v>
      </c>
      <c r="L1178" s="3">
        <v>0</v>
      </c>
      <c r="M1178" s="3">
        <v>615</v>
      </c>
      <c r="N1178" s="3">
        <f t="shared" si="347"/>
        <v>3382500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6">
        <f t="shared" si="348"/>
        <v>5500</v>
      </c>
    </row>
    <row r="1179" spans="1:22" ht="24.6" customHeight="1" x14ac:dyDescent="0.25">
      <c r="A1179" s="36" t="s">
        <v>2022</v>
      </c>
      <c r="B1179" s="8" t="s">
        <v>348</v>
      </c>
      <c r="C1179" s="2">
        <f>D1179+L1179+N1179+P1179+R1179+S1179+T1179+U1179</f>
        <v>400000</v>
      </c>
      <c r="D1179" s="3">
        <f t="shared" si="344"/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4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f>Q1179*3000</f>
        <v>0</v>
      </c>
      <c r="S1179" s="3">
        <v>0</v>
      </c>
      <c r="T1179" s="3">
        <v>0</v>
      </c>
      <c r="U1179" s="3">
        <v>400000</v>
      </c>
      <c r="V1179" s="6" t="e">
        <f>N1179/M1179</f>
        <v>#DIV/0!</v>
      </c>
    </row>
    <row r="1180" spans="1:22" ht="25.15" customHeight="1" x14ac:dyDescent="0.25">
      <c r="A1180" s="36" t="s">
        <v>2023</v>
      </c>
      <c r="B1180" s="8" t="s">
        <v>349</v>
      </c>
      <c r="C1180" s="2">
        <f t="shared" ref="C1180:C1181" si="351">D1180+L1180+N1180+P1180+R1180+S1180+T1180+U1180</f>
        <v>2391730</v>
      </c>
      <c r="D1180" s="3">
        <f t="shared" ref="D1180:D1181" si="352">SUM(E1180:J1180)</f>
        <v>252230</v>
      </c>
      <c r="E1180" s="3">
        <v>0</v>
      </c>
      <c r="F1180" s="3">
        <v>0</v>
      </c>
      <c r="G1180" s="3">
        <f>300*458.6</f>
        <v>137580</v>
      </c>
      <c r="H1180" s="3">
        <f>400*0</f>
        <v>0</v>
      </c>
      <c r="I1180" s="3">
        <f>250*458.6</f>
        <v>114650</v>
      </c>
      <c r="J1180" s="3">
        <v>0</v>
      </c>
      <c r="K1180" s="4">
        <v>0</v>
      </c>
      <c r="L1180" s="3">
        <v>0</v>
      </c>
      <c r="M1180" s="3">
        <v>389</v>
      </c>
      <c r="N1180" s="3">
        <f t="shared" ref="N1180:N1181" si="353">M1180*5500</f>
        <v>2139500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6">
        <f t="shared" ref="V1180:V1181" si="354">N1180/M1180</f>
        <v>5500</v>
      </c>
    </row>
    <row r="1181" spans="1:22" ht="25.15" customHeight="1" x14ac:dyDescent="0.25">
      <c r="A1181" s="36" t="s">
        <v>2024</v>
      </c>
      <c r="B1181" s="8" t="s">
        <v>350</v>
      </c>
      <c r="C1181" s="2">
        <f t="shared" si="351"/>
        <v>5413840</v>
      </c>
      <c r="D1181" s="3">
        <f t="shared" si="352"/>
        <v>1651840</v>
      </c>
      <c r="E1181" s="3">
        <v>0</v>
      </c>
      <c r="F1181" s="3">
        <f>1050*1032.4</f>
        <v>1084020</v>
      </c>
      <c r="G1181" s="3">
        <f>300*1032.4</f>
        <v>309720</v>
      </c>
      <c r="H1181" s="3">
        <f>400*0</f>
        <v>0</v>
      </c>
      <c r="I1181" s="3">
        <f>250*1032.4</f>
        <v>258100.00000000003</v>
      </c>
      <c r="J1181" s="3">
        <v>0</v>
      </c>
      <c r="K1181" s="4">
        <v>0</v>
      </c>
      <c r="L1181" s="3">
        <v>0</v>
      </c>
      <c r="M1181" s="3">
        <v>684</v>
      </c>
      <c r="N1181" s="3">
        <f t="shared" si="353"/>
        <v>3762000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6">
        <f t="shared" si="354"/>
        <v>5500</v>
      </c>
    </row>
    <row r="1182" spans="1:22" ht="25.15" customHeight="1" x14ac:dyDescent="0.25">
      <c r="A1182" s="36" t="s">
        <v>2025</v>
      </c>
      <c r="B1182" s="8" t="s">
        <v>358</v>
      </c>
      <c r="C1182" s="2">
        <f t="shared" si="343"/>
        <v>17011780</v>
      </c>
      <c r="D1182" s="3">
        <f t="shared" si="344"/>
        <v>5708040</v>
      </c>
      <c r="E1182" s="3">
        <f>700*2195.4</f>
        <v>1536780</v>
      </c>
      <c r="F1182" s="3">
        <f>1300*2195.4</f>
        <v>2854020</v>
      </c>
      <c r="G1182" s="3">
        <f>300*2195.4</f>
        <v>658620</v>
      </c>
      <c r="H1182" s="3">
        <v>0</v>
      </c>
      <c r="I1182" s="3">
        <f>300*2195.4</f>
        <v>658620</v>
      </c>
      <c r="J1182" s="3">
        <v>0</v>
      </c>
      <c r="K1182" s="4">
        <v>0</v>
      </c>
      <c r="L1182" s="3">
        <v>0</v>
      </c>
      <c r="M1182" s="3">
        <v>901.9</v>
      </c>
      <c r="N1182" s="3">
        <f t="shared" ref="N1182:N1187" si="355">M1182*6600</f>
        <v>5952540</v>
      </c>
      <c r="O1182" s="3">
        <v>0</v>
      </c>
      <c r="P1182" s="3">
        <v>0</v>
      </c>
      <c r="Q1182" s="3">
        <v>1641</v>
      </c>
      <c r="R1182" s="3">
        <f t="shared" ref="R1182:R1194" si="356">Q1182*3200</f>
        <v>5251200</v>
      </c>
      <c r="S1182" s="3">
        <v>0</v>
      </c>
      <c r="T1182" s="3">
        <v>0</v>
      </c>
      <c r="U1182" s="3">
        <v>100000</v>
      </c>
      <c r="V1182" s="6">
        <f>N1182/M1182</f>
        <v>6600</v>
      </c>
    </row>
    <row r="1183" spans="1:22" ht="25.15" customHeight="1" x14ac:dyDescent="0.25">
      <c r="A1183" s="36" t="s">
        <v>2026</v>
      </c>
      <c r="B1183" s="8" t="s">
        <v>359</v>
      </c>
      <c r="C1183" s="2">
        <f t="shared" si="343"/>
        <v>16793720</v>
      </c>
      <c r="D1183" s="3">
        <f t="shared" si="344"/>
        <v>5553340</v>
      </c>
      <c r="E1183" s="3">
        <f>700*2135.9</f>
        <v>1495130</v>
      </c>
      <c r="F1183" s="3">
        <f>1300*2135.9</f>
        <v>2776670</v>
      </c>
      <c r="G1183" s="3">
        <f>300*2135.9</f>
        <v>640770</v>
      </c>
      <c r="H1183" s="3">
        <v>0</v>
      </c>
      <c r="I1183" s="3">
        <f>300*2135.9</f>
        <v>640770</v>
      </c>
      <c r="J1183" s="3">
        <v>0</v>
      </c>
      <c r="K1183" s="4">
        <v>0</v>
      </c>
      <c r="L1183" s="3">
        <v>0</v>
      </c>
      <c r="M1183" s="3">
        <v>892.3</v>
      </c>
      <c r="N1183" s="3">
        <f t="shared" si="355"/>
        <v>5889180</v>
      </c>
      <c r="O1183" s="3">
        <v>0</v>
      </c>
      <c r="P1183" s="3">
        <v>0</v>
      </c>
      <c r="Q1183" s="3">
        <v>1641</v>
      </c>
      <c r="R1183" s="3">
        <f t="shared" si="356"/>
        <v>5251200</v>
      </c>
      <c r="S1183" s="3">
        <v>0</v>
      </c>
      <c r="T1183" s="3">
        <v>0</v>
      </c>
      <c r="U1183" s="3">
        <v>100000</v>
      </c>
      <c r="V1183" s="6">
        <f>N1183/M1183</f>
        <v>6600</v>
      </c>
    </row>
    <row r="1184" spans="1:22" ht="25.15" customHeight="1" x14ac:dyDescent="0.25">
      <c r="A1184" s="36" t="s">
        <v>2027</v>
      </c>
      <c r="B1184" s="8" t="s">
        <v>360</v>
      </c>
      <c r="C1184" s="2">
        <f t="shared" si="343"/>
        <v>16275140</v>
      </c>
      <c r="D1184" s="3">
        <f t="shared" si="344"/>
        <v>5568680.0000000009</v>
      </c>
      <c r="E1184" s="3">
        <f>700*2141.8</f>
        <v>1499260.0000000002</v>
      </c>
      <c r="F1184" s="3">
        <f>1300*2141.8</f>
        <v>2784340.0000000005</v>
      </c>
      <c r="G1184" s="3">
        <f>300*2141.8</f>
        <v>642540</v>
      </c>
      <c r="H1184" s="3">
        <v>0</v>
      </c>
      <c r="I1184" s="3">
        <f>300*2141.8</f>
        <v>642540</v>
      </c>
      <c r="J1184" s="3">
        <v>0</v>
      </c>
      <c r="K1184" s="4">
        <v>0</v>
      </c>
      <c r="L1184" s="3">
        <v>0</v>
      </c>
      <c r="M1184" s="3">
        <v>811.5</v>
      </c>
      <c r="N1184" s="3">
        <f t="shared" si="355"/>
        <v>5355900</v>
      </c>
      <c r="O1184" s="3">
        <v>0</v>
      </c>
      <c r="P1184" s="3">
        <v>0</v>
      </c>
      <c r="Q1184" s="3">
        <v>1640.8</v>
      </c>
      <c r="R1184" s="3">
        <f t="shared" si="356"/>
        <v>5250560</v>
      </c>
      <c r="S1184" s="3">
        <v>0</v>
      </c>
      <c r="T1184" s="3">
        <v>0</v>
      </c>
      <c r="U1184" s="3">
        <v>100000</v>
      </c>
      <c r="V1184" s="6">
        <f>N1184/M1184</f>
        <v>6600</v>
      </c>
    </row>
    <row r="1185" spans="1:22" ht="25.15" customHeight="1" x14ac:dyDescent="0.25">
      <c r="A1185" s="36" t="s">
        <v>2028</v>
      </c>
      <c r="B1185" s="8" t="s">
        <v>354</v>
      </c>
      <c r="C1185" s="2">
        <f t="shared" si="343"/>
        <v>6042660</v>
      </c>
      <c r="D1185" s="3">
        <f t="shared" ref="D1185:D1194" si="357">SUM(E1185:J1185)</f>
        <v>2019899.9999999998</v>
      </c>
      <c r="E1185" s="3">
        <f>700*673.3</f>
        <v>471309.99999999994</v>
      </c>
      <c r="F1185" s="3">
        <f>1300*673.3</f>
        <v>875289.99999999988</v>
      </c>
      <c r="G1185" s="3">
        <f>300*673.3</f>
        <v>201990</v>
      </c>
      <c r="H1185" s="3">
        <f>400*673.3</f>
        <v>269320</v>
      </c>
      <c r="I1185" s="3">
        <f>300*673.3</f>
        <v>201990</v>
      </c>
      <c r="J1185" s="3">
        <v>0</v>
      </c>
      <c r="K1185" s="4">
        <v>0</v>
      </c>
      <c r="L1185" s="3">
        <v>0</v>
      </c>
      <c r="M1185" s="3">
        <v>378.6</v>
      </c>
      <c r="N1185" s="3">
        <f t="shared" si="355"/>
        <v>2498760</v>
      </c>
      <c r="O1185" s="3">
        <v>0</v>
      </c>
      <c r="P1185" s="3">
        <v>0</v>
      </c>
      <c r="Q1185" s="3">
        <v>445</v>
      </c>
      <c r="R1185" s="3">
        <f t="shared" si="356"/>
        <v>1424000</v>
      </c>
      <c r="S1185" s="3">
        <v>0</v>
      </c>
      <c r="T1185" s="3">
        <v>0</v>
      </c>
      <c r="U1185" s="3">
        <v>100000</v>
      </c>
      <c r="V1185" s="6">
        <f t="shared" ref="V1185:V1194" si="358">N1185/M1185</f>
        <v>6600</v>
      </c>
    </row>
    <row r="1186" spans="1:22" ht="25.15" customHeight="1" x14ac:dyDescent="0.25">
      <c r="A1186" s="36" t="s">
        <v>2029</v>
      </c>
      <c r="B1186" s="8" t="s">
        <v>355</v>
      </c>
      <c r="C1186" s="2">
        <f t="shared" si="343"/>
        <v>13571160</v>
      </c>
      <c r="D1186" s="3">
        <f t="shared" si="357"/>
        <v>4856540</v>
      </c>
      <c r="E1186" s="3">
        <f>700*1867.9</f>
        <v>1307530</v>
      </c>
      <c r="F1186" s="3">
        <f>1300*1867.9</f>
        <v>2428270</v>
      </c>
      <c r="G1186" s="3">
        <f>300*1867.9</f>
        <v>560370</v>
      </c>
      <c r="H1186" s="3">
        <v>0</v>
      </c>
      <c r="I1186" s="3">
        <f>300*1867.9</f>
        <v>560370</v>
      </c>
      <c r="J1186" s="3">
        <v>0</v>
      </c>
      <c r="K1186" s="4">
        <v>0</v>
      </c>
      <c r="L1186" s="3">
        <v>0</v>
      </c>
      <c r="M1186" s="3">
        <v>794.7</v>
      </c>
      <c r="N1186" s="3">
        <f t="shared" si="355"/>
        <v>5245020</v>
      </c>
      <c r="O1186" s="3">
        <v>0</v>
      </c>
      <c r="P1186" s="3">
        <v>0</v>
      </c>
      <c r="Q1186" s="3">
        <v>1053</v>
      </c>
      <c r="R1186" s="3">
        <f t="shared" si="356"/>
        <v>3369600</v>
      </c>
      <c r="S1186" s="3">
        <v>0</v>
      </c>
      <c r="T1186" s="3">
        <v>0</v>
      </c>
      <c r="U1186" s="3">
        <v>100000</v>
      </c>
      <c r="V1186" s="6">
        <f t="shared" si="358"/>
        <v>6600</v>
      </c>
    </row>
    <row r="1187" spans="1:22" ht="25.15" customHeight="1" x14ac:dyDescent="0.25">
      <c r="A1187" s="36" t="s">
        <v>2030</v>
      </c>
      <c r="B1187" s="8" t="s">
        <v>356</v>
      </c>
      <c r="C1187" s="2">
        <f t="shared" si="343"/>
        <v>10020760</v>
      </c>
      <c r="D1187" s="3">
        <f t="shared" si="357"/>
        <v>2394080</v>
      </c>
      <c r="E1187" s="3">
        <f>700*920.8</f>
        <v>644560</v>
      </c>
      <c r="F1187" s="3">
        <f>1300*920.8</f>
        <v>1197040</v>
      </c>
      <c r="G1187" s="3">
        <f>300*920.8</f>
        <v>276240</v>
      </c>
      <c r="H1187" s="3">
        <v>0</v>
      </c>
      <c r="I1187" s="3">
        <f>300*920.8</f>
        <v>276240</v>
      </c>
      <c r="J1187" s="3">
        <v>0</v>
      </c>
      <c r="K1187" s="4">
        <v>0</v>
      </c>
      <c r="L1187" s="3">
        <v>0</v>
      </c>
      <c r="M1187" s="3">
        <v>759.8</v>
      </c>
      <c r="N1187" s="3">
        <f t="shared" si="355"/>
        <v>5014680</v>
      </c>
      <c r="O1187" s="3">
        <v>0</v>
      </c>
      <c r="P1187" s="3">
        <v>0</v>
      </c>
      <c r="Q1187" s="3">
        <v>785</v>
      </c>
      <c r="R1187" s="3">
        <f t="shared" si="356"/>
        <v>2512000</v>
      </c>
      <c r="S1187" s="3">
        <v>0</v>
      </c>
      <c r="T1187" s="3">
        <v>0</v>
      </c>
      <c r="U1187" s="3">
        <v>100000</v>
      </c>
      <c r="V1187" s="6">
        <f t="shared" si="358"/>
        <v>6600</v>
      </c>
    </row>
    <row r="1188" spans="1:22" ht="25.15" customHeight="1" x14ac:dyDescent="0.25">
      <c r="A1188" s="36" t="s">
        <v>2031</v>
      </c>
      <c r="B1188" s="8" t="s">
        <v>357</v>
      </c>
      <c r="C1188" s="2">
        <f t="shared" si="343"/>
        <v>5672203.2699999996</v>
      </c>
      <c r="D1188" s="3">
        <f t="shared" si="357"/>
        <v>2476240</v>
      </c>
      <c r="E1188" s="3">
        <f>700*952.4</f>
        <v>666680</v>
      </c>
      <c r="F1188" s="3">
        <f>1300*952.4</f>
        <v>1238120</v>
      </c>
      <c r="G1188" s="3">
        <f>300*952.4</f>
        <v>285720</v>
      </c>
      <c r="H1188" s="3">
        <v>0</v>
      </c>
      <c r="I1188" s="3">
        <f>300*952.4</f>
        <v>285720</v>
      </c>
      <c r="J1188" s="3">
        <v>0</v>
      </c>
      <c r="K1188" s="4">
        <v>0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950</v>
      </c>
      <c r="R1188" s="3">
        <f t="shared" si="356"/>
        <v>3040000</v>
      </c>
      <c r="S1188" s="3">
        <v>0</v>
      </c>
      <c r="T1188" s="3">
        <v>0</v>
      </c>
      <c r="U1188" s="3">
        <v>155963.26999999999</v>
      </c>
      <c r="V1188" s="6" t="e">
        <f t="shared" si="358"/>
        <v>#DIV/0!</v>
      </c>
    </row>
    <row r="1189" spans="1:22" ht="25.15" customHeight="1" x14ac:dyDescent="0.25">
      <c r="A1189" s="36" t="s">
        <v>2032</v>
      </c>
      <c r="B1189" s="8" t="s">
        <v>361</v>
      </c>
      <c r="C1189" s="2">
        <f t="shared" si="343"/>
        <v>8368197.0700000003</v>
      </c>
      <c r="D1189" s="3">
        <f t="shared" si="357"/>
        <v>2020720</v>
      </c>
      <c r="E1189" s="3">
        <f>700*777.2</f>
        <v>544040</v>
      </c>
      <c r="F1189" s="3">
        <f>1300*777.2</f>
        <v>1010360.0000000001</v>
      </c>
      <c r="G1189" s="3">
        <f>300*777.2</f>
        <v>233160</v>
      </c>
      <c r="H1189" s="3">
        <v>0</v>
      </c>
      <c r="I1189" s="3">
        <f>300*777.2</f>
        <v>233160</v>
      </c>
      <c r="J1189" s="3">
        <v>0</v>
      </c>
      <c r="K1189" s="4">
        <v>0</v>
      </c>
      <c r="L1189" s="3">
        <v>0</v>
      </c>
      <c r="M1189" s="3">
        <v>560.29999999999995</v>
      </c>
      <c r="N1189" s="3">
        <f>M1189*6600</f>
        <v>3697979.9999999995</v>
      </c>
      <c r="O1189" s="3">
        <v>0</v>
      </c>
      <c r="P1189" s="3">
        <v>0</v>
      </c>
      <c r="Q1189" s="3">
        <v>784</v>
      </c>
      <c r="R1189" s="3">
        <f t="shared" si="356"/>
        <v>2508800</v>
      </c>
      <c r="S1189" s="3">
        <v>0</v>
      </c>
      <c r="T1189" s="3">
        <v>0</v>
      </c>
      <c r="U1189" s="3">
        <v>140697.07</v>
      </c>
      <c r="V1189" s="6">
        <f t="shared" si="358"/>
        <v>6600</v>
      </c>
    </row>
    <row r="1190" spans="1:22" ht="25.15" customHeight="1" x14ac:dyDescent="0.25">
      <c r="A1190" s="36" t="s">
        <v>2033</v>
      </c>
      <c r="B1190" s="8" t="s">
        <v>362</v>
      </c>
      <c r="C1190" s="2">
        <f t="shared" si="343"/>
        <v>8432434.8499999996</v>
      </c>
      <c r="D1190" s="3">
        <f t="shared" si="357"/>
        <v>2026700</v>
      </c>
      <c r="E1190" s="3">
        <f>700*779.5</f>
        <v>545650</v>
      </c>
      <c r="F1190" s="3">
        <f>1300*779.5</f>
        <v>1013350</v>
      </c>
      <c r="G1190" s="3">
        <f>300*779.5</f>
        <v>233850</v>
      </c>
      <c r="H1190" s="3">
        <v>0</v>
      </c>
      <c r="I1190" s="3">
        <f>300*779.5</f>
        <v>233850</v>
      </c>
      <c r="J1190" s="3">
        <v>0</v>
      </c>
      <c r="K1190" s="4">
        <v>0</v>
      </c>
      <c r="L1190" s="3">
        <v>0</v>
      </c>
      <c r="M1190" s="3">
        <v>569</v>
      </c>
      <c r="N1190" s="3">
        <f>M1190*6600</f>
        <v>3755400</v>
      </c>
      <c r="O1190" s="3">
        <v>0</v>
      </c>
      <c r="P1190" s="3">
        <v>0</v>
      </c>
      <c r="Q1190" s="3">
        <v>784</v>
      </c>
      <c r="R1190" s="3">
        <f t="shared" si="356"/>
        <v>2508800</v>
      </c>
      <c r="S1190" s="3">
        <v>0</v>
      </c>
      <c r="T1190" s="3">
        <v>0</v>
      </c>
      <c r="U1190" s="3">
        <v>141534.85</v>
      </c>
      <c r="V1190" s="6">
        <f t="shared" si="358"/>
        <v>6600</v>
      </c>
    </row>
    <row r="1191" spans="1:22" ht="25.15" customHeight="1" x14ac:dyDescent="0.25">
      <c r="A1191" s="36" t="s">
        <v>2034</v>
      </c>
      <c r="B1191" s="8" t="s">
        <v>363</v>
      </c>
      <c r="C1191" s="2">
        <f t="shared" si="343"/>
        <v>8319938.4500000002</v>
      </c>
      <c r="D1191" s="3">
        <f t="shared" si="357"/>
        <v>2026700</v>
      </c>
      <c r="E1191" s="3">
        <f>700*779.5</f>
        <v>545650</v>
      </c>
      <c r="F1191" s="3">
        <f>1300*779.5</f>
        <v>1013350</v>
      </c>
      <c r="G1191" s="3">
        <f>300*779.5</f>
        <v>233850</v>
      </c>
      <c r="H1191" s="3">
        <v>0</v>
      </c>
      <c r="I1191" s="3">
        <f>300*779.5</f>
        <v>233850</v>
      </c>
      <c r="J1191" s="3">
        <v>0</v>
      </c>
      <c r="K1191" s="4">
        <v>0</v>
      </c>
      <c r="L1191" s="3">
        <v>0</v>
      </c>
      <c r="M1191" s="3">
        <v>561.29999999999995</v>
      </c>
      <c r="N1191" s="3">
        <f>M1191*6600</f>
        <v>3704579.9999999995</v>
      </c>
      <c r="O1191" s="3">
        <v>0</v>
      </c>
      <c r="P1191" s="3">
        <v>0</v>
      </c>
      <c r="Q1191" s="3">
        <v>755</v>
      </c>
      <c r="R1191" s="3">
        <f t="shared" si="356"/>
        <v>2416000</v>
      </c>
      <c r="S1191" s="3">
        <v>0</v>
      </c>
      <c r="T1191" s="3">
        <v>0</v>
      </c>
      <c r="U1191" s="3">
        <v>172658.45</v>
      </c>
      <c r="V1191" s="6">
        <f t="shared" si="358"/>
        <v>6600</v>
      </c>
    </row>
    <row r="1192" spans="1:22" ht="25.15" customHeight="1" x14ac:dyDescent="0.25">
      <c r="A1192" s="36" t="s">
        <v>2035</v>
      </c>
      <c r="B1192" s="8" t="s">
        <v>364</v>
      </c>
      <c r="C1192" s="2">
        <f t="shared" si="343"/>
        <v>8292878.4500000002</v>
      </c>
      <c r="D1192" s="3">
        <f t="shared" si="357"/>
        <v>2026700</v>
      </c>
      <c r="E1192" s="3">
        <f>700*779.5</f>
        <v>545650</v>
      </c>
      <c r="F1192" s="3">
        <f>1300*779.5</f>
        <v>1013350</v>
      </c>
      <c r="G1192" s="3">
        <f>300*779.5</f>
        <v>233850</v>
      </c>
      <c r="H1192" s="3">
        <v>0</v>
      </c>
      <c r="I1192" s="3">
        <f>300*779.5</f>
        <v>233850</v>
      </c>
      <c r="J1192" s="3">
        <v>0</v>
      </c>
      <c r="K1192" s="4">
        <v>0</v>
      </c>
      <c r="L1192" s="3">
        <v>0</v>
      </c>
      <c r="M1192" s="3">
        <v>557.20000000000005</v>
      </c>
      <c r="N1192" s="3">
        <f>M1192*6600</f>
        <v>3677520.0000000005</v>
      </c>
      <c r="O1192" s="3">
        <v>0</v>
      </c>
      <c r="P1192" s="3">
        <v>0</v>
      </c>
      <c r="Q1192" s="3">
        <v>755</v>
      </c>
      <c r="R1192" s="3">
        <f t="shared" si="356"/>
        <v>2416000</v>
      </c>
      <c r="S1192" s="3">
        <v>0</v>
      </c>
      <c r="T1192" s="3">
        <v>0</v>
      </c>
      <c r="U1192" s="3">
        <v>172658.45</v>
      </c>
      <c r="V1192" s="6">
        <f t="shared" si="358"/>
        <v>6600</v>
      </c>
    </row>
    <row r="1193" spans="1:22" ht="25.15" customHeight="1" x14ac:dyDescent="0.25">
      <c r="A1193" s="36" t="s">
        <v>2036</v>
      </c>
      <c r="B1193" s="51" t="s">
        <v>1012</v>
      </c>
      <c r="C1193" s="2">
        <f>D1193+L1193+N1193+P1193+R1193+S1193+T1193+U1193</f>
        <v>5216000</v>
      </c>
      <c r="D1193" s="3">
        <f>SUM(E1193:J1193)</f>
        <v>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4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8">
        <v>1630</v>
      </c>
      <c r="R1193" s="5">
        <f>Q1193*3200</f>
        <v>5216000</v>
      </c>
      <c r="S1193" s="3">
        <v>0</v>
      </c>
      <c r="T1193" s="3">
        <v>0</v>
      </c>
      <c r="U1193" s="3">
        <v>0</v>
      </c>
      <c r="V1193" s="6" t="e">
        <f>N1193/M1193</f>
        <v>#DIV/0!</v>
      </c>
    </row>
    <row r="1194" spans="1:22" ht="25.15" customHeight="1" x14ac:dyDescent="0.25">
      <c r="A1194" s="36" t="s">
        <v>2037</v>
      </c>
      <c r="B1194" s="8" t="s">
        <v>365</v>
      </c>
      <c r="C1194" s="2">
        <f t="shared" si="343"/>
        <v>5983087.7999999998</v>
      </c>
      <c r="D1194" s="3">
        <f t="shared" si="357"/>
        <v>1279460</v>
      </c>
      <c r="E1194" s="3">
        <f>700*492.1</f>
        <v>344470</v>
      </c>
      <c r="F1194" s="3">
        <f>1300*492.1</f>
        <v>639730</v>
      </c>
      <c r="G1194" s="3">
        <f>300*492.1</f>
        <v>147630</v>
      </c>
      <c r="H1194" s="3">
        <v>0</v>
      </c>
      <c r="I1194" s="3">
        <f>300*492.1</f>
        <v>147630</v>
      </c>
      <c r="J1194" s="3">
        <v>0</v>
      </c>
      <c r="K1194" s="4">
        <v>0</v>
      </c>
      <c r="L1194" s="3">
        <v>0</v>
      </c>
      <c r="M1194" s="3">
        <v>405.85</v>
      </c>
      <c r="N1194" s="3">
        <f>M1194*6600</f>
        <v>2678610</v>
      </c>
      <c r="O1194" s="3">
        <v>0</v>
      </c>
      <c r="P1194" s="3">
        <v>0</v>
      </c>
      <c r="Q1194" s="3">
        <v>585</v>
      </c>
      <c r="R1194" s="3">
        <f t="shared" si="356"/>
        <v>1872000</v>
      </c>
      <c r="S1194" s="3">
        <v>0</v>
      </c>
      <c r="T1194" s="3">
        <v>0</v>
      </c>
      <c r="U1194" s="3">
        <v>153017.79999999999</v>
      </c>
      <c r="V1194" s="6">
        <f t="shared" si="358"/>
        <v>6600</v>
      </c>
    </row>
    <row r="1195" spans="1:22" ht="45" customHeight="1" x14ac:dyDescent="0.25">
      <c r="A1195" s="54" t="s">
        <v>950</v>
      </c>
      <c r="B1195" s="54"/>
      <c r="C1195" s="2">
        <f>SUM(C1196:C1198)</f>
        <v>8914400</v>
      </c>
      <c r="D1195" s="2">
        <f t="shared" ref="D1195:U1195" si="359">SUM(D1196:D1198)</f>
        <v>0</v>
      </c>
      <c r="E1195" s="2">
        <f t="shared" si="359"/>
        <v>0</v>
      </c>
      <c r="F1195" s="2">
        <f t="shared" si="359"/>
        <v>0</v>
      </c>
      <c r="G1195" s="2">
        <f t="shared" si="359"/>
        <v>0</v>
      </c>
      <c r="H1195" s="2">
        <f t="shared" si="359"/>
        <v>0</v>
      </c>
      <c r="I1195" s="2">
        <f t="shared" si="359"/>
        <v>0</v>
      </c>
      <c r="J1195" s="2">
        <f t="shared" si="359"/>
        <v>0</v>
      </c>
      <c r="K1195" s="14">
        <f t="shared" si="359"/>
        <v>0</v>
      </c>
      <c r="L1195" s="2">
        <f t="shared" si="359"/>
        <v>0</v>
      </c>
      <c r="M1195" s="2">
        <f t="shared" si="359"/>
        <v>912</v>
      </c>
      <c r="N1195" s="2">
        <f t="shared" si="359"/>
        <v>4058400</v>
      </c>
      <c r="O1195" s="2">
        <f t="shared" si="359"/>
        <v>0</v>
      </c>
      <c r="P1195" s="2">
        <f t="shared" si="359"/>
        <v>0</v>
      </c>
      <c r="Q1195" s="2">
        <f t="shared" si="359"/>
        <v>1330</v>
      </c>
      <c r="R1195" s="2">
        <f t="shared" si="359"/>
        <v>4256000</v>
      </c>
      <c r="S1195" s="2">
        <f t="shared" si="359"/>
        <v>0</v>
      </c>
      <c r="T1195" s="2">
        <f t="shared" si="359"/>
        <v>0</v>
      </c>
      <c r="U1195" s="2">
        <f t="shared" si="359"/>
        <v>600000</v>
      </c>
      <c r="V1195" s="18">
        <f>C1195</f>
        <v>8914400</v>
      </c>
    </row>
    <row r="1196" spans="1:22" ht="25.15" customHeight="1" x14ac:dyDescent="0.25">
      <c r="A1196" s="36" t="s">
        <v>2038</v>
      </c>
      <c r="B1196" s="8" t="s">
        <v>1011</v>
      </c>
      <c r="C1196" s="2">
        <f>D1196+L1196+N1196+P1196+R1196+S1196+T1196+U1196</f>
        <v>300000</v>
      </c>
      <c r="D1196" s="3">
        <f>SUM(E1196:J1196)</f>
        <v>0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4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f>Q1196*3200</f>
        <v>0</v>
      </c>
      <c r="S1196" s="3">
        <v>0</v>
      </c>
      <c r="T1196" s="3">
        <v>0</v>
      </c>
      <c r="U1196" s="3">
        <v>300000</v>
      </c>
      <c r="V1196" s="18"/>
    </row>
    <row r="1197" spans="1:22" ht="25.15" customHeight="1" x14ac:dyDescent="0.25">
      <c r="A1197" s="36" t="s">
        <v>2039</v>
      </c>
      <c r="B1197" s="8" t="s">
        <v>951</v>
      </c>
      <c r="C1197" s="2">
        <f>D1197+L1197+N1197+P1197+R1197+S1197+T1197+U1197</f>
        <v>8314400</v>
      </c>
      <c r="D1197" s="3">
        <f>SUM(E1197:J1197)</f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4">
        <v>0</v>
      </c>
      <c r="L1197" s="3">
        <v>0</v>
      </c>
      <c r="M1197" s="3">
        <v>912</v>
      </c>
      <c r="N1197" s="3">
        <f>M1197*4450</f>
        <v>4058400</v>
      </c>
      <c r="O1197" s="3">
        <v>0</v>
      </c>
      <c r="P1197" s="3">
        <v>0</v>
      </c>
      <c r="Q1197" s="3">
        <v>1330</v>
      </c>
      <c r="R1197" s="3">
        <f>Q1197*3200</f>
        <v>4256000</v>
      </c>
      <c r="S1197" s="3">
        <v>0</v>
      </c>
      <c r="T1197" s="3">
        <v>0</v>
      </c>
      <c r="U1197" s="3">
        <v>0</v>
      </c>
      <c r="V1197" s="6">
        <f>N1197/M1197</f>
        <v>4450</v>
      </c>
    </row>
    <row r="1198" spans="1:22" ht="25.15" customHeight="1" x14ac:dyDescent="0.25">
      <c r="A1198" s="36" t="s">
        <v>2040</v>
      </c>
      <c r="B1198" s="8" t="s">
        <v>1010</v>
      </c>
      <c r="C1198" s="2">
        <f>D1198+L1198+N1198+P1198+R1198+S1198+T1198+U1198</f>
        <v>300000</v>
      </c>
      <c r="D1198" s="3">
        <f>SUM(E1198:J1198)</f>
        <v>0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4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f>Q1198*3200</f>
        <v>0</v>
      </c>
      <c r="S1198" s="3">
        <v>0</v>
      </c>
      <c r="T1198" s="3">
        <v>0</v>
      </c>
      <c r="U1198" s="3">
        <v>300000</v>
      </c>
    </row>
    <row r="1199" spans="1:22" ht="45" customHeight="1" x14ac:dyDescent="0.25">
      <c r="A1199" s="54" t="s">
        <v>368</v>
      </c>
      <c r="B1199" s="54"/>
      <c r="C1199" s="2">
        <f>SUM(C1200)</f>
        <v>3337800</v>
      </c>
      <c r="D1199" s="2">
        <f t="shared" ref="D1199:U1199" si="360">SUM(D1200)</f>
        <v>228200</v>
      </c>
      <c r="E1199" s="2">
        <f t="shared" si="360"/>
        <v>228200</v>
      </c>
      <c r="F1199" s="2">
        <f t="shared" si="360"/>
        <v>0</v>
      </c>
      <c r="G1199" s="2">
        <f t="shared" si="360"/>
        <v>0</v>
      </c>
      <c r="H1199" s="2">
        <f t="shared" si="360"/>
        <v>0</v>
      </c>
      <c r="I1199" s="2">
        <f t="shared" si="360"/>
        <v>0</v>
      </c>
      <c r="J1199" s="2">
        <f t="shared" si="360"/>
        <v>0</v>
      </c>
      <c r="K1199" s="14">
        <f t="shared" si="360"/>
        <v>0</v>
      </c>
      <c r="L1199" s="2">
        <f t="shared" si="360"/>
        <v>0</v>
      </c>
      <c r="M1199" s="2">
        <f t="shared" si="360"/>
        <v>280</v>
      </c>
      <c r="N1199" s="2">
        <f t="shared" si="360"/>
        <v>1848000</v>
      </c>
      <c r="O1199" s="2">
        <f t="shared" si="360"/>
        <v>0</v>
      </c>
      <c r="P1199" s="2">
        <f t="shared" si="360"/>
        <v>0</v>
      </c>
      <c r="Q1199" s="2">
        <f t="shared" si="360"/>
        <v>363</v>
      </c>
      <c r="R1199" s="2">
        <f t="shared" si="360"/>
        <v>1161600</v>
      </c>
      <c r="S1199" s="2">
        <f t="shared" si="360"/>
        <v>0</v>
      </c>
      <c r="T1199" s="2">
        <f t="shared" si="360"/>
        <v>0</v>
      </c>
      <c r="U1199" s="2">
        <f t="shared" si="360"/>
        <v>100000</v>
      </c>
      <c r="V1199" s="18">
        <f>C1199</f>
        <v>3337800</v>
      </c>
    </row>
    <row r="1200" spans="1:22" ht="25.15" customHeight="1" x14ac:dyDescent="0.25">
      <c r="A1200" s="37" t="s">
        <v>2041</v>
      </c>
      <c r="B1200" s="8" t="s">
        <v>1195</v>
      </c>
      <c r="C1200" s="2">
        <f>D1200+L1200+N1200+P1200+R1200+S1200+T1200+U1200</f>
        <v>3337800</v>
      </c>
      <c r="D1200" s="3">
        <f>SUM(E1200:J1200)</f>
        <v>228200</v>
      </c>
      <c r="E1200" s="3">
        <f>700*326</f>
        <v>228200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4">
        <v>0</v>
      </c>
      <c r="L1200" s="3">
        <v>0</v>
      </c>
      <c r="M1200" s="3">
        <v>280</v>
      </c>
      <c r="N1200" s="3">
        <f>M1200*6600</f>
        <v>1848000</v>
      </c>
      <c r="O1200" s="3">
        <v>0</v>
      </c>
      <c r="P1200" s="3">
        <v>0</v>
      </c>
      <c r="Q1200" s="3">
        <v>363</v>
      </c>
      <c r="R1200" s="3">
        <f>Q1200*3200</f>
        <v>1161600</v>
      </c>
      <c r="S1200" s="3">
        <v>0</v>
      </c>
      <c r="T1200" s="3">
        <v>0</v>
      </c>
      <c r="U1200" s="3">
        <v>100000</v>
      </c>
      <c r="V1200" s="6">
        <f>N1200/M1200</f>
        <v>6600</v>
      </c>
    </row>
    <row r="1201" spans="1:22" ht="45" customHeight="1" x14ac:dyDescent="0.25">
      <c r="A1201" s="54" t="s">
        <v>369</v>
      </c>
      <c r="B1201" s="54"/>
      <c r="C1201" s="2">
        <f>SUM(C1202)</f>
        <v>3363910</v>
      </c>
      <c r="D1201" s="2">
        <f t="shared" ref="D1201:U1201" si="361">SUM(D1202)</f>
        <v>230510</v>
      </c>
      <c r="E1201" s="2">
        <f t="shared" si="361"/>
        <v>230510</v>
      </c>
      <c r="F1201" s="2">
        <f t="shared" si="361"/>
        <v>0</v>
      </c>
      <c r="G1201" s="2">
        <f t="shared" si="361"/>
        <v>0</v>
      </c>
      <c r="H1201" s="2">
        <f t="shared" si="361"/>
        <v>0</v>
      </c>
      <c r="I1201" s="2">
        <f t="shared" si="361"/>
        <v>0</v>
      </c>
      <c r="J1201" s="2">
        <f t="shared" si="361"/>
        <v>0</v>
      </c>
      <c r="K1201" s="14">
        <f t="shared" si="361"/>
        <v>0</v>
      </c>
      <c r="L1201" s="2">
        <f t="shared" si="361"/>
        <v>0</v>
      </c>
      <c r="M1201" s="2">
        <f t="shared" si="361"/>
        <v>255</v>
      </c>
      <c r="N1201" s="2">
        <f t="shared" si="361"/>
        <v>1683000</v>
      </c>
      <c r="O1201" s="2">
        <f t="shared" si="361"/>
        <v>0</v>
      </c>
      <c r="P1201" s="2">
        <f t="shared" si="361"/>
        <v>0</v>
      </c>
      <c r="Q1201" s="2">
        <f t="shared" si="361"/>
        <v>422</v>
      </c>
      <c r="R1201" s="2">
        <f t="shared" si="361"/>
        <v>1350400</v>
      </c>
      <c r="S1201" s="2">
        <f t="shared" si="361"/>
        <v>0</v>
      </c>
      <c r="T1201" s="2">
        <f t="shared" si="361"/>
        <v>0</v>
      </c>
      <c r="U1201" s="2">
        <f t="shared" si="361"/>
        <v>100000</v>
      </c>
      <c r="V1201" s="18">
        <f>C1201</f>
        <v>3363910</v>
      </c>
    </row>
    <row r="1202" spans="1:22" ht="25.15" customHeight="1" x14ac:dyDescent="0.25">
      <c r="A1202" s="37" t="s">
        <v>2042</v>
      </c>
      <c r="B1202" s="8" t="s">
        <v>367</v>
      </c>
      <c r="C1202" s="2">
        <f>D1202+L1202+N1202+P1202+R1202+S1202+T1202+U1202</f>
        <v>3363910</v>
      </c>
      <c r="D1202" s="3">
        <f>SUM(E1202:J1202)</f>
        <v>230510</v>
      </c>
      <c r="E1202" s="3">
        <f>700*329.3</f>
        <v>230510</v>
      </c>
      <c r="F1202" s="3">
        <f>1050*0</f>
        <v>0</v>
      </c>
      <c r="G1202" s="3">
        <f>350*0</f>
        <v>0</v>
      </c>
      <c r="H1202" s="3">
        <f>400*0</f>
        <v>0</v>
      </c>
      <c r="I1202" s="3">
        <f>250*0</f>
        <v>0</v>
      </c>
      <c r="J1202" s="3">
        <v>0</v>
      </c>
      <c r="K1202" s="4">
        <v>0</v>
      </c>
      <c r="L1202" s="3">
        <v>0</v>
      </c>
      <c r="M1202" s="3">
        <v>255</v>
      </c>
      <c r="N1202" s="3">
        <f>M1202*6600</f>
        <v>1683000</v>
      </c>
      <c r="O1202" s="3">
        <v>0</v>
      </c>
      <c r="P1202" s="3">
        <v>0</v>
      </c>
      <c r="Q1202" s="3">
        <v>422</v>
      </c>
      <c r="R1202" s="3">
        <f>Q1202*3200</f>
        <v>1350400</v>
      </c>
      <c r="S1202" s="3">
        <v>0</v>
      </c>
      <c r="T1202" s="3">
        <v>0</v>
      </c>
      <c r="U1202" s="3">
        <v>100000</v>
      </c>
      <c r="V1202" s="6">
        <f>N1202/M1202</f>
        <v>6600</v>
      </c>
    </row>
    <row r="1203" spans="1:22" x14ac:dyDescent="0.25">
      <c r="A1203" s="41"/>
      <c r="B1203" s="7"/>
      <c r="C1203" s="25"/>
      <c r="D1203" s="7"/>
      <c r="E1203" s="7"/>
      <c r="F1203" s="7"/>
      <c r="G1203" s="7"/>
      <c r="H1203" s="7"/>
      <c r="I1203" s="7"/>
      <c r="J1203" s="7"/>
      <c r="K1203" s="31"/>
      <c r="L1203" s="7"/>
      <c r="M1203" s="7"/>
      <c r="N1203" s="7"/>
      <c r="O1203" s="25"/>
      <c r="P1203" s="25"/>
      <c r="Q1203" s="25"/>
      <c r="R1203" s="25"/>
      <c r="S1203" s="25"/>
      <c r="T1203" s="25"/>
      <c r="U1203" s="25"/>
    </row>
    <row r="1204" spans="1:22" x14ac:dyDescent="0.25">
      <c r="A1204" s="41"/>
      <c r="B1204" s="7"/>
      <c r="C1204" s="7"/>
      <c r="D1204" s="7"/>
      <c r="E1204" s="7"/>
      <c r="F1204" s="7"/>
      <c r="G1204" s="7"/>
      <c r="H1204" s="7"/>
      <c r="I1204" s="7"/>
      <c r="J1204" s="7"/>
      <c r="K1204" s="31"/>
      <c r="L1204" s="7"/>
      <c r="M1204" s="7"/>
      <c r="N1204" s="7"/>
      <c r="O1204" s="25"/>
      <c r="P1204" s="25"/>
      <c r="Q1204" s="25"/>
      <c r="R1204" s="25"/>
      <c r="S1204" s="25"/>
      <c r="T1204" s="25"/>
      <c r="U1204" s="25"/>
    </row>
  </sheetData>
  <sortState ref="A616:IX625">
    <sortCondition ref="B616:B625"/>
  </sortState>
  <mergeCells count="161">
    <mergeCell ref="A1201:B1201"/>
    <mergeCell ref="A26:B26"/>
    <mergeCell ref="A116:B116"/>
    <mergeCell ref="A1167:B1167"/>
    <mergeCell ref="A779:B779"/>
    <mergeCell ref="A1134:B1134"/>
    <mergeCell ref="A1146:B1146"/>
    <mergeCell ref="A1129:B1129"/>
    <mergeCell ref="A1165:B1165"/>
    <mergeCell ref="A1199:B1199"/>
    <mergeCell ref="A1171:B1171"/>
    <mergeCell ref="A1148:B1148"/>
    <mergeCell ref="A1154:B1154"/>
    <mergeCell ref="A1132:B1132"/>
    <mergeCell ref="A860:B860"/>
    <mergeCell ref="A865:B865"/>
    <mergeCell ref="A1161:B1161"/>
    <mergeCell ref="A683:B683"/>
    <mergeCell ref="A833:B833"/>
    <mergeCell ref="A814:B814"/>
    <mergeCell ref="A793:B793"/>
    <mergeCell ref="A723:B723"/>
    <mergeCell ref="A824:B824"/>
    <mergeCell ref="A768:B768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156:B1156"/>
    <mergeCell ref="A745:B745"/>
    <mergeCell ref="A739:B739"/>
    <mergeCell ref="A714:B714"/>
    <mergeCell ref="A727:B727"/>
    <mergeCell ref="A1136:B1136"/>
    <mergeCell ref="A1195:B1195"/>
    <mergeCell ref="A1169:B1169"/>
    <mergeCell ref="A781:B781"/>
    <mergeCell ref="A731:B731"/>
    <mergeCell ref="A758:B758"/>
    <mergeCell ref="A1127:B1127"/>
    <mergeCell ref="A750:B750"/>
    <mergeCell ref="A1158:B1158"/>
    <mergeCell ref="A789:B789"/>
    <mergeCell ref="A1122:B1122"/>
    <mergeCell ref="A837:B837"/>
    <mergeCell ref="A857:B857"/>
    <mergeCell ref="A1124:B1124"/>
    <mergeCell ref="A1140:B1140"/>
    <mergeCell ref="A776:B776"/>
    <mergeCell ref="A772:B772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41:B741"/>
    <mergeCell ref="A717:B717"/>
    <mergeCell ref="A343:B343"/>
    <mergeCell ref="A257:B257"/>
    <mergeCell ref="A285:B285"/>
    <mergeCell ref="A721:B721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57:B57"/>
    <mergeCell ref="A53:B53"/>
    <mergeCell ref="A55:B55"/>
    <mergeCell ref="C3:C5"/>
    <mergeCell ref="A43:B43"/>
    <mergeCell ref="D3:S3"/>
    <mergeCell ref="A766:B766"/>
    <mergeCell ref="A752:B752"/>
    <mergeCell ref="A423:B423"/>
    <mergeCell ref="A712:B712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309:B309"/>
    <mergeCell ref="A760:B760"/>
    <mergeCell ref="A791:B791"/>
    <mergeCell ref="A855:B855"/>
    <mergeCell ref="A770:B770"/>
    <mergeCell ref="A863:B863"/>
    <mergeCell ref="A737:B737"/>
    <mergeCell ref="A812:B812"/>
    <mergeCell ref="A774:B774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43" fitToHeight="0" orientation="landscape" useFirstPageNumber="1" r:id="rId1"/>
  <headerFooter>
    <oddHeader>&amp;C&amp;P</oddHeader>
  </headerFooter>
  <rowBreaks count="23" manualBreakCount="23">
    <brk id="37" max="20" man="1"/>
    <brk id="82" max="20" man="1"/>
    <brk id="131" max="20" man="1"/>
    <brk id="186" max="20" man="1"/>
    <brk id="241" max="20" man="1"/>
    <brk id="287" max="20" man="1"/>
    <brk id="335" max="20" man="1"/>
    <brk id="381" max="20" man="1"/>
    <brk id="429" max="20" man="1"/>
    <brk id="484" max="20" man="1"/>
    <brk id="539" max="20" man="1"/>
    <brk id="594" max="20" man="1"/>
    <brk id="645" max="20" man="1"/>
    <brk id="694" max="20" man="1"/>
    <brk id="742" max="20" man="1"/>
    <brk id="787" max="20" man="1"/>
    <brk id="836" max="20" man="1"/>
    <brk id="887" max="20" man="1"/>
    <brk id="942" max="20" man="1"/>
    <brk id="997" max="20" man="1"/>
    <brk id="1052" max="20" man="1"/>
    <brk id="1107" max="20" man="1"/>
    <brk id="115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2022-01-18T08:24:41Z</cp:lastPrinted>
  <dcterms:created xsi:type="dcterms:W3CDTF">2012-12-13T11:50:40Z</dcterms:created>
  <dcterms:modified xsi:type="dcterms:W3CDTF">2022-01-25T07:38:52Z</dcterms:modified>
</cp:coreProperties>
</file>